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batovaMA1\Desktop\СПГЗ контракты\ОТРАБОТКА СМЕТЫ\СМЕТЫ ФИНАЛ\0373200041122000724\"/>
    </mc:Choice>
  </mc:AlternateContent>
  <xr:revisionPtr revIDLastSave="0" documentId="13_ncr:1_{6B827D0E-6358-4459-ACB8-2BDC49C53AD6}" xr6:coauthVersionLast="36" xr6:coauthVersionMax="37" xr10:uidLastSave="{00000000-0000-0000-0000-000000000000}"/>
  <bookViews>
    <workbookView xWindow="0" yWindow="0" windowWidth="28800" windowHeight="11810" xr2:uid="{B2B13034-363F-4FA6-BECF-72759813F8C8}"/>
  </bookViews>
  <sheets>
    <sheet name="ул.Гурьянова д.19 к.1" sheetId="2" r:id="rId1"/>
    <sheet name="Дефектная ведомость (3)" sheetId="19" state="hidden" r:id="rId2"/>
    <sheet name="Ведомость объемов работ (3)" sheetId="20" state="hidden" r:id="rId3"/>
    <sheet name="Расчет стоимости ресурсов ( (3)" sheetId="21" state="hidden" r:id="rId4"/>
    <sheet name="Source (3)" sheetId="22" state="hidden" r:id="rId5"/>
    <sheet name="SourceObSm (3)" sheetId="23" state="hidden" r:id="rId6"/>
    <sheet name="SmtRes (3)" sheetId="24" state="hidden" r:id="rId7"/>
    <sheet name="EtalonRes (3)" sheetId="25" state="hidden" r:id="rId8"/>
    <sheet name="Дефектная ведомость (2)" sheetId="11" state="hidden" r:id="rId9"/>
    <sheet name="Ведомость объемов работ (2)" sheetId="12" state="hidden" r:id="rId10"/>
    <sheet name="Расчет стоимости ресурсов (2)" sheetId="13" state="hidden" r:id="rId11"/>
    <sheet name="Source (2)" sheetId="14" state="hidden" r:id="rId12"/>
    <sheet name="SourceObSm (2)" sheetId="15" state="hidden" r:id="rId13"/>
    <sheet name="SmtRes (2)" sheetId="16" state="hidden" r:id="rId14"/>
    <sheet name="EtalonRes (2)" sheetId="17" state="hidden" r:id="rId15"/>
    <sheet name="Дефектная ведомость" sheetId="3" state="hidden" r:id="rId16"/>
    <sheet name="Ведомость объемов работ" sheetId="4" state="hidden" r:id="rId17"/>
    <sheet name="Расчет стоимости ресурсов" sheetId="5" state="hidden" r:id="rId18"/>
    <sheet name="Source" sheetId="6" state="hidden" r:id="rId19"/>
    <sheet name="SourceObSm" sheetId="7" state="hidden" r:id="rId20"/>
    <sheet name="SmtRes" sheetId="8" state="hidden" r:id="rId21"/>
    <sheet name="EtalonRes" sheetId="9" state="hidden" r:id="rId22"/>
  </sheets>
  <externalReferences>
    <externalReference r:id="rId23"/>
    <externalReference r:id="rId24"/>
    <externalReference r:id="rId25"/>
  </externalReferences>
  <definedNames>
    <definedName name="_xlnm.Print_Titles" localSheetId="16">'Ведомость объемов работ'!$17:$17</definedName>
    <definedName name="_xlnm.Print_Titles" localSheetId="9">'Ведомость объемов работ (2)'!$17:$17</definedName>
    <definedName name="_xlnm.Print_Titles" localSheetId="2">'Ведомость объемов работ (3)'!$17:$17</definedName>
    <definedName name="_xlnm.Print_Titles" localSheetId="15">'Дефектная ведомость'!$18:$18</definedName>
    <definedName name="_xlnm.Print_Titles" localSheetId="8">'Дефектная ведомость (2)'!$18:$18</definedName>
    <definedName name="_xlnm.Print_Titles" localSheetId="1">'Дефектная ведомость (3)'!$18:$18</definedName>
    <definedName name="_xlnm.Print_Titles" localSheetId="17">'Расчет стоимости ресурсов'!$4:$7</definedName>
    <definedName name="_xlnm.Print_Titles" localSheetId="3">'Расчет стоимости ресурсов ( (3)'!$4:$7</definedName>
    <definedName name="_xlnm.Print_Titles" localSheetId="10">'Расчет стоимости ресурсов (2)'!$4:$7</definedName>
    <definedName name="_xlnm.Print_Titles" localSheetId="0">'ул.Гурьянова д.19 к.1'!$20:$20</definedName>
    <definedName name="_xlnm.Print_Area" localSheetId="16">'Ведомость объемов работ'!$A$1:$H$66</definedName>
    <definedName name="_xlnm.Print_Area" localSheetId="9">'Ведомость объемов работ (2)'!$A$1:$H$52</definedName>
    <definedName name="_xlnm.Print_Area" localSheetId="2">'Ведомость объемов работ (3)'!$A$1:$H$79</definedName>
    <definedName name="_xlnm.Print_Area" localSheetId="15">'Дефектная ведомость'!$A$1:$E$67</definedName>
    <definedName name="_xlnm.Print_Area" localSheetId="8">'Дефектная ведомость (2)'!$A$1:$E$53</definedName>
    <definedName name="_xlnm.Print_Area" localSheetId="1">'Дефектная ведомость (3)'!$A$1:$E$80</definedName>
    <definedName name="_xlnm.Print_Area" localSheetId="17">'Расчет стоимости ресурсов'!$A$1:$F$81</definedName>
    <definedName name="_xlnm.Print_Area" localSheetId="3">'Расчет стоимости ресурсов ( (3)'!$A$1:$F$91</definedName>
    <definedName name="_xlnm.Print_Area" localSheetId="10">'Расчет стоимости ресурсов (2)'!$A$1:$F$60</definedName>
    <definedName name="_xlnm.Print_Area" localSheetId="0">'ул.Гурьянова д.19 к.1'!$A$6:$K$263</definedName>
  </definedNames>
  <calcPr calcId="191029" fullPrecision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9" i="25" l="1"/>
  <c r="A108" i="25"/>
  <c r="A107" i="25"/>
  <c r="A106" i="25"/>
  <c r="A105" i="25"/>
  <c r="A104" i="25"/>
  <c r="A103" i="25"/>
  <c r="A102" i="25"/>
  <c r="A101" i="25"/>
  <c r="A100" i="25"/>
  <c r="A99" i="25"/>
  <c r="A98" i="25"/>
  <c r="A97" i="25"/>
  <c r="A96" i="25"/>
  <c r="A95" i="25"/>
  <c r="A94" i="25"/>
  <c r="A93" i="25"/>
  <c r="A92" i="25"/>
  <c r="A91" i="25"/>
  <c r="A90" i="25"/>
  <c r="A89" i="25"/>
  <c r="A88" i="25"/>
  <c r="A87" i="25"/>
  <c r="A86" i="25"/>
  <c r="A85" i="25"/>
  <c r="A84" i="25"/>
  <c r="A83" i="25"/>
  <c r="A82" i="25"/>
  <c r="A81" i="25"/>
  <c r="A80" i="25"/>
  <c r="A79" i="25"/>
  <c r="A78" i="25"/>
  <c r="A77" i="25"/>
  <c r="A76" i="25"/>
  <c r="A75" i="25"/>
  <c r="A74" i="25"/>
  <c r="A73" i="25"/>
  <c r="A72" i="25"/>
  <c r="A71" i="25"/>
  <c r="A70" i="25"/>
  <c r="A69" i="25"/>
  <c r="A68" i="25"/>
  <c r="A67" i="25"/>
  <c r="A66" i="25"/>
  <c r="A65" i="25"/>
  <c r="A64" i="25"/>
  <c r="A63" i="25"/>
  <c r="A62" i="25"/>
  <c r="A61" i="25"/>
  <c r="A60" i="25"/>
  <c r="A59" i="25"/>
  <c r="A58" i="25"/>
  <c r="A57" i="25"/>
  <c r="A56" i="25"/>
  <c r="A55" i="25"/>
  <c r="A54" i="25"/>
  <c r="A53" i="25"/>
  <c r="A52" i="25"/>
  <c r="A51" i="25"/>
  <c r="A50" i="25"/>
  <c r="A49" i="25"/>
  <c r="A48" i="25"/>
  <c r="A47" i="25"/>
  <c r="A46" i="25"/>
  <c r="A45" i="25"/>
  <c r="A44" i="25"/>
  <c r="A43" i="25"/>
  <c r="A42" i="25"/>
  <c r="A41" i="25"/>
  <c r="A40" i="25"/>
  <c r="A39" i="25"/>
  <c r="A38" i="25"/>
  <c r="A37" i="25"/>
  <c r="A36" i="25"/>
  <c r="A35" i="25"/>
  <c r="A34" i="25"/>
  <c r="A33" i="25"/>
  <c r="A32" i="25"/>
  <c r="A31" i="25"/>
  <c r="A30" i="25"/>
  <c r="A29" i="25"/>
  <c r="A28" i="25"/>
  <c r="A27" i="25"/>
  <c r="A26" i="25"/>
  <c r="A25" i="25"/>
  <c r="A24" i="25"/>
  <c r="A23" i="25"/>
  <c r="A22" i="25"/>
  <c r="A21" i="25"/>
  <c r="A20" i="25"/>
  <c r="A19" i="25"/>
  <c r="A18" i="25"/>
  <c r="A17" i="25"/>
  <c r="A16" i="25"/>
  <c r="A15" i="25"/>
  <c r="A14" i="25"/>
  <c r="A13" i="25"/>
  <c r="A12" i="25"/>
  <c r="A11" i="25"/>
  <c r="A10" i="25"/>
  <c r="A9" i="25"/>
  <c r="A8" i="25"/>
  <c r="A7" i="25"/>
  <c r="A6" i="25"/>
  <c r="A5" i="25"/>
  <c r="A4" i="25"/>
  <c r="A3" i="25"/>
  <c r="A2" i="25"/>
  <c r="A1" i="25"/>
  <c r="DC114" i="24"/>
  <c r="DA114" i="24"/>
  <c r="CZ114" i="24"/>
  <c r="DB114" i="24" s="1"/>
  <c r="CY114" i="24"/>
  <c r="CX114" i="24"/>
  <c r="A114" i="24"/>
  <c r="DC113" i="24"/>
  <c r="DA113" i="24"/>
  <c r="CZ113" i="24"/>
  <c r="DB113" i="24" s="1"/>
  <c r="CY113" i="24"/>
  <c r="CX113" i="24"/>
  <c r="A113" i="24"/>
  <c r="DC112" i="24"/>
  <c r="DA112" i="24"/>
  <c r="CZ112" i="24"/>
  <c r="DB112" i="24" s="1"/>
  <c r="CY112" i="24"/>
  <c r="CX112" i="24"/>
  <c r="A112" i="24"/>
  <c r="DC111" i="24"/>
  <c r="DA111" i="24"/>
  <c r="CZ111" i="24"/>
  <c r="DB111" i="24" s="1"/>
  <c r="CY111" i="24"/>
  <c r="CX111" i="24"/>
  <c r="A111" i="24"/>
  <c r="DC110" i="24"/>
  <c r="DB110" i="24"/>
  <c r="DA110" i="24"/>
  <c r="CZ110" i="24"/>
  <c r="CY110" i="24"/>
  <c r="CX110" i="24"/>
  <c r="A110" i="24"/>
  <c r="DC109" i="24"/>
  <c r="DA109" i="24"/>
  <c r="CZ109" i="24"/>
  <c r="DB109" i="24" s="1"/>
  <c r="CY109" i="24"/>
  <c r="CX109" i="24"/>
  <c r="A109" i="24"/>
  <c r="DC108" i="24"/>
  <c r="DA108" i="24"/>
  <c r="CZ108" i="24"/>
  <c r="DB108" i="24" s="1"/>
  <c r="CY108" i="24"/>
  <c r="CX108" i="24"/>
  <c r="A108" i="24"/>
  <c r="DC107" i="24"/>
  <c r="DA107" i="24"/>
  <c r="CZ107" i="24"/>
  <c r="DB107" i="24" s="1"/>
  <c r="CY107" i="24"/>
  <c r="A107" i="24"/>
  <c r="DC106" i="24"/>
  <c r="DA106" i="24"/>
  <c r="CZ106" i="24"/>
  <c r="DB106" i="24" s="1"/>
  <c r="CY106" i="24"/>
  <c r="A106" i="24"/>
  <c r="DC105" i="24"/>
  <c r="DA105" i="24"/>
  <c r="CZ105" i="24"/>
  <c r="DB105" i="24" s="1"/>
  <c r="CY105" i="24"/>
  <c r="A105" i="24"/>
  <c r="DC104" i="24"/>
  <c r="DA104" i="24"/>
  <c r="CZ104" i="24"/>
  <c r="DB104" i="24" s="1"/>
  <c r="CY104" i="24"/>
  <c r="A104" i="24"/>
  <c r="DC103" i="24"/>
  <c r="DA103" i="24"/>
  <c r="CZ103" i="24"/>
  <c r="DB103" i="24" s="1"/>
  <c r="CY103" i="24"/>
  <c r="A103" i="24"/>
  <c r="DC102" i="24"/>
  <c r="DA102" i="24"/>
  <c r="CZ102" i="24"/>
  <c r="DB102" i="24" s="1"/>
  <c r="CY102" i="24"/>
  <c r="A102" i="24"/>
  <c r="DC101" i="24"/>
  <c r="DA101" i="24"/>
  <c r="CZ101" i="24"/>
  <c r="DB101" i="24" s="1"/>
  <c r="CY101" i="24"/>
  <c r="A101" i="24"/>
  <c r="DC100" i="24"/>
  <c r="DA100" i="24"/>
  <c r="CZ100" i="24"/>
  <c r="DB100" i="24" s="1"/>
  <c r="CY100" i="24"/>
  <c r="A100" i="24"/>
  <c r="DC99" i="24"/>
  <c r="DB99" i="24"/>
  <c r="DA99" i="24"/>
  <c r="CZ99" i="24"/>
  <c r="CY99" i="24"/>
  <c r="A99" i="24"/>
  <c r="DC98" i="24"/>
  <c r="DA98" i="24"/>
  <c r="CZ98" i="24"/>
  <c r="DB98" i="24" s="1"/>
  <c r="CY98" i="24"/>
  <c r="A98" i="24"/>
  <c r="DC97" i="24"/>
  <c r="DA97" i="24"/>
  <c r="CZ97" i="24"/>
  <c r="DB97" i="24" s="1"/>
  <c r="CY97" i="24"/>
  <c r="A97" i="24"/>
  <c r="DC96" i="24"/>
  <c r="DA96" i="24"/>
  <c r="CZ96" i="24"/>
  <c r="DB96" i="24" s="1"/>
  <c r="CY96" i="24"/>
  <c r="A96" i="24"/>
  <c r="DC95" i="24"/>
  <c r="DA95" i="24"/>
  <c r="CZ95" i="24"/>
  <c r="DB95" i="24" s="1"/>
  <c r="CY95" i="24"/>
  <c r="A95" i="24"/>
  <c r="DC94" i="24"/>
  <c r="DB94" i="24"/>
  <c r="DA94" i="24"/>
  <c r="CZ94" i="24"/>
  <c r="CY94" i="24"/>
  <c r="A94" i="24"/>
  <c r="DC93" i="24"/>
  <c r="DB93" i="24"/>
  <c r="DA93" i="24"/>
  <c r="CZ93" i="24"/>
  <c r="CY93" i="24"/>
  <c r="A93" i="24"/>
  <c r="DC92" i="24"/>
  <c r="DA92" i="24"/>
  <c r="CZ92" i="24"/>
  <c r="DB92" i="24" s="1"/>
  <c r="CY92" i="24"/>
  <c r="A92" i="24"/>
  <c r="DC91" i="24"/>
  <c r="DB91" i="24"/>
  <c r="DA91" i="24"/>
  <c r="CZ91" i="24"/>
  <c r="CY91" i="24"/>
  <c r="A91" i="24"/>
  <c r="DC90" i="24"/>
  <c r="DA90" i="24"/>
  <c r="CZ90" i="24"/>
  <c r="DB90" i="24" s="1"/>
  <c r="CY90" i="24"/>
  <c r="A90" i="24"/>
  <c r="DC89" i="24"/>
  <c r="DA89" i="24"/>
  <c r="CZ89" i="24"/>
  <c r="DB89" i="24" s="1"/>
  <c r="CY89" i="24"/>
  <c r="A89" i="24"/>
  <c r="DC88" i="24"/>
  <c r="DA88" i="24"/>
  <c r="CZ88" i="24"/>
  <c r="DB88" i="24" s="1"/>
  <c r="CY88" i="24"/>
  <c r="A88" i="24"/>
  <c r="DC87" i="24"/>
  <c r="DA87" i="24"/>
  <c r="CZ87" i="24"/>
  <c r="DB87" i="24" s="1"/>
  <c r="CY87" i="24"/>
  <c r="A87" i="24"/>
  <c r="DC86" i="24"/>
  <c r="DA86" i="24"/>
  <c r="CZ86" i="24"/>
  <c r="DB86" i="24" s="1"/>
  <c r="CY86" i="24"/>
  <c r="A86" i="24"/>
  <c r="DC85" i="24"/>
  <c r="DB85" i="24"/>
  <c r="DA85" i="24"/>
  <c r="CZ85" i="24"/>
  <c r="CY85" i="24"/>
  <c r="A85" i="24"/>
  <c r="DC84" i="24"/>
  <c r="DA84" i="24"/>
  <c r="CZ84" i="24"/>
  <c r="DB84" i="24" s="1"/>
  <c r="CY84" i="24"/>
  <c r="A84" i="24"/>
  <c r="DC83" i="24"/>
  <c r="DA83" i="24"/>
  <c r="CZ83" i="24"/>
  <c r="DB83" i="24" s="1"/>
  <c r="CY83" i="24"/>
  <c r="A83" i="24"/>
  <c r="DC82" i="24"/>
  <c r="DA82" i="24"/>
  <c r="CZ82" i="24"/>
  <c r="DB82" i="24" s="1"/>
  <c r="CY82" i="24"/>
  <c r="A82" i="24"/>
  <c r="DC81" i="24"/>
  <c r="DA81" i="24"/>
  <c r="CZ81" i="24"/>
  <c r="DB81" i="24" s="1"/>
  <c r="CY81" i="24"/>
  <c r="A81" i="24"/>
  <c r="DC80" i="24"/>
  <c r="DA80" i="24"/>
  <c r="CZ80" i="24"/>
  <c r="DB80" i="24" s="1"/>
  <c r="CY80" i="24"/>
  <c r="A80" i="24"/>
  <c r="DC79" i="24"/>
  <c r="DA79" i="24"/>
  <c r="CZ79" i="24"/>
  <c r="DB79" i="24" s="1"/>
  <c r="CY79" i="24"/>
  <c r="A79" i="24"/>
  <c r="DC78" i="24"/>
  <c r="DB78" i="24"/>
  <c r="DA78" i="24"/>
  <c r="CZ78" i="24"/>
  <c r="CY78" i="24"/>
  <c r="A78" i="24"/>
  <c r="DC77" i="24"/>
  <c r="DA77" i="24"/>
  <c r="CZ77" i="24"/>
  <c r="DB77" i="24" s="1"/>
  <c r="CY77" i="24"/>
  <c r="A77" i="24"/>
  <c r="DC76" i="24"/>
  <c r="DA76" i="24"/>
  <c r="CZ76" i="24"/>
  <c r="DB76" i="24" s="1"/>
  <c r="CY76" i="24"/>
  <c r="A76" i="24"/>
  <c r="DC75" i="24"/>
  <c r="DB75" i="24"/>
  <c r="DA75" i="24"/>
  <c r="CZ75" i="24"/>
  <c r="CY75" i="24"/>
  <c r="A75" i="24"/>
  <c r="DC74" i="24"/>
  <c r="DA74" i="24"/>
  <c r="CZ74" i="24"/>
  <c r="DB74" i="24" s="1"/>
  <c r="CY74" i="24"/>
  <c r="A74" i="24"/>
  <c r="DC73" i="24"/>
  <c r="DA73" i="24"/>
  <c r="CZ73" i="24"/>
  <c r="DB73" i="24" s="1"/>
  <c r="CY73" i="24"/>
  <c r="CX73" i="24"/>
  <c r="A73" i="24"/>
  <c r="DC72" i="24"/>
  <c r="DA72" i="24"/>
  <c r="CZ72" i="24"/>
  <c r="DB72" i="24" s="1"/>
  <c r="CY72" i="24"/>
  <c r="CX72" i="24"/>
  <c r="A72" i="24"/>
  <c r="DC71" i="24"/>
  <c r="DA71" i="24"/>
  <c r="CZ71" i="24"/>
  <c r="DB71" i="24" s="1"/>
  <c r="CY71" i="24"/>
  <c r="A71" i="24"/>
  <c r="DC70" i="24"/>
  <c r="DA70" i="24"/>
  <c r="CZ70" i="24"/>
  <c r="DB70" i="24" s="1"/>
  <c r="CY70" i="24"/>
  <c r="A70" i="24"/>
  <c r="DC69" i="24"/>
  <c r="DB69" i="24"/>
  <c r="DA69" i="24"/>
  <c r="CZ69" i="24"/>
  <c r="CY69" i="24"/>
  <c r="A69" i="24"/>
  <c r="DC68" i="24"/>
  <c r="DA68" i="24"/>
  <c r="CZ68" i="24"/>
  <c r="DB68" i="24" s="1"/>
  <c r="CY68" i="24"/>
  <c r="A68" i="24"/>
  <c r="DC67" i="24"/>
  <c r="DA67" i="24"/>
  <c r="CZ67" i="24"/>
  <c r="DB67" i="24" s="1"/>
  <c r="CY67" i="24"/>
  <c r="A67" i="24"/>
  <c r="DC66" i="24"/>
  <c r="DA66" i="24"/>
  <c r="CZ66" i="24"/>
  <c r="DB66" i="24" s="1"/>
  <c r="CY66" i="24"/>
  <c r="A66" i="24"/>
  <c r="DC65" i="24"/>
  <c r="DA65" i="24"/>
  <c r="CZ65" i="24"/>
  <c r="DB65" i="24" s="1"/>
  <c r="CY65" i="24"/>
  <c r="A65" i="24"/>
  <c r="DC64" i="24"/>
  <c r="DA64" i="24"/>
  <c r="CZ64" i="24"/>
  <c r="DB64" i="24" s="1"/>
  <c r="CY64" i="24"/>
  <c r="A64" i="24"/>
  <c r="DC63" i="24"/>
  <c r="DA63" i="24"/>
  <c r="CZ63" i="24"/>
  <c r="DB63" i="24" s="1"/>
  <c r="CY63" i="24"/>
  <c r="CX63" i="24"/>
  <c r="A63" i="24"/>
  <c r="DC62" i="24"/>
  <c r="DA62" i="24"/>
  <c r="CZ62" i="24"/>
  <c r="DB62" i="24" s="1"/>
  <c r="CY62" i="24"/>
  <c r="CX62" i="24"/>
  <c r="A62" i="24"/>
  <c r="DC61" i="24"/>
  <c r="DB61" i="24"/>
  <c r="DA61" i="24"/>
  <c r="CZ61" i="24"/>
  <c r="CY61" i="24"/>
  <c r="CX61" i="24"/>
  <c r="A61" i="24"/>
  <c r="DC60" i="24"/>
  <c r="DA60" i="24"/>
  <c r="CZ60" i="24"/>
  <c r="DB60" i="24" s="1"/>
  <c r="CY60" i="24"/>
  <c r="CX60" i="24"/>
  <c r="A60" i="24"/>
  <c r="DC59" i="24"/>
  <c r="DA59" i="24"/>
  <c r="CZ59" i="24"/>
  <c r="DB59" i="24" s="1"/>
  <c r="CY59" i="24"/>
  <c r="CX59" i="24"/>
  <c r="A59" i="24"/>
  <c r="DC58" i="24"/>
  <c r="DA58" i="24"/>
  <c r="CZ58" i="24"/>
  <c r="DB58" i="24" s="1"/>
  <c r="CY58" i="24"/>
  <c r="CX58" i="24"/>
  <c r="A58" i="24"/>
  <c r="DC57" i="24"/>
  <c r="DA57" i="24"/>
  <c r="CZ57" i="24"/>
  <c r="DB57" i="24" s="1"/>
  <c r="CY57" i="24"/>
  <c r="CX57" i="24"/>
  <c r="A57" i="24"/>
  <c r="DC56" i="24"/>
  <c r="DA56" i="24"/>
  <c r="CZ56" i="24"/>
  <c r="DB56" i="24" s="1"/>
  <c r="CY56" i="24"/>
  <c r="CX56" i="24"/>
  <c r="A56" i="24"/>
  <c r="DC55" i="24"/>
  <c r="DA55" i="24"/>
  <c r="CZ55" i="24"/>
  <c r="DB55" i="24" s="1"/>
  <c r="CY55" i="24"/>
  <c r="A55" i="24"/>
  <c r="DC54" i="24"/>
  <c r="DB54" i="24"/>
  <c r="DA54" i="24"/>
  <c r="CZ54" i="24"/>
  <c r="CY54" i="24"/>
  <c r="A54" i="24"/>
  <c r="DC53" i="24"/>
  <c r="DA53" i="24"/>
  <c r="CZ53" i="24"/>
  <c r="DB53" i="24" s="1"/>
  <c r="CY53" i="24"/>
  <c r="A53" i="24"/>
  <c r="DC52" i="24"/>
  <c r="DA52" i="24"/>
  <c r="CZ52" i="24"/>
  <c r="DB52" i="24" s="1"/>
  <c r="CY52" i="24"/>
  <c r="A52" i="24"/>
  <c r="DC51" i="24"/>
  <c r="DB51" i="24"/>
  <c r="DA51" i="24"/>
  <c r="CZ51" i="24"/>
  <c r="CY51" i="24"/>
  <c r="A51" i="24"/>
  <c r="DC50" i="24"/>
  <c r="DA50" i="24"/>
  <c r="CZ50" i="24"/>
  <c r="DB50" i="24" s="1"/>
  <c r="CY50" i="24"/>
  <c r="A50" i="24"/>
  <c r="DC49" i="24"/>
  <c r="DA49" i="24"/>
  <c r="CZ49" i="24"/>
  <c r="DB49" i="24" s="1"/>
  <c r="CY49" i="24"/>
  <c r="A49" i="24"/>
  <c r="DC48" i="24"/>
  <c r="DA48" i="24"/>
  <c r="CZ48" i="24"/>
  <c r="DB48" i="24" s="1"/>
  <c r="CY48" i="24"/>
  <c r="A48" i="24"/>
  <c r="DC47" i="24"/>
  <c r="DA47" i="24"/>
  <c r="CZ47" i="24"/>
  <c r="DB47" i="24" s="1"/>
  <c r="CY47" i="24"/>
  <c r="A47" i="24"/>
  <c r="DC46" i="24"/>
  <c r="DA46" i="24"/>
  <c r="CZ46" i="24"/>
  <c r="DB46" i="24" s="1"/>
  <c r="CY46" i="24"/>
  <c r="A46" i="24"/>
  <c r="DC45" i="24"/>
  <c r="DB45" i="24"/>
  <c r="DA45" i="24"/>
  <c r="CZ45" i="24"/>
  <c r="CY45" i="24"/>
  <c r="CX45" i="24"/>
  <c r="A45" i="24"/>
  <c r="DC44" i="24"/>
  <c r="DA44" i="24"/>
  <c r="CZ44" i="24"/>
  <c r="DB44" i="24" s="1"/>
  <c r="CY44" i="24"/>
  <c r="CX44" i="24"/>
  <c r="A44" i="24"/>
  <c r="DC43" i="24"/>
  <c r="DA43" i="24"/>
  <c r="CZ43" i="24"/>
  <c r="DB43" i="24" s="1"/>
  <c r="CY43" i="24"/>
  <c r="CX43" i="24"/>
  <c r="A43" i="24"/>
  <c r="DC42" i="24"/>
  <c r="DB42" i="24"/>
  <c r="DA42" i="24"/>
  <c r="CZ42" i="24"/>
  <c r="CY42" i="24"/>
  <c r="CX42" i="24"/>
  <c r="A42" i="24"/>
  <c r="DC41" i="24"/>
  <c r="DA41" i="24"/>
  <c r="CZ41" i="24"/>
  <c r="DB41" i="24" s="1"/>
  <c r="CY41" i="24"/>
  <c r="CX41" i="24"/>
  <c r="A41" i="24"/>
  <c r="DC40" i="24"/>
  <c r="DA40" i="24"/>
  <c r="CZ40" i="24"/>
  <c r="DB40" i="24" s="1"/>
  <c r="CY40" i="24"/>
  <c r="CX40" i="24"/>
  <c r="A40" i="24"/>
  <c r="DC39" i="24"/>
  <c r="DA39" i="24"/>
  <c r="CZ39" i="24"/>
  <c r="DB39" i="24" s="1"/>
  <c r="CY39" i="24"/>
  <c r="CX39" i="24"/>
  <c r="A39" i="24"/>
  <c r="DC38" i="24"/>
  <c r="DA38" i="24"/>
  <c r="CZ38" i="24"/>
  <c r="DB38" i="24" s="1"/>
  <c r="CY38" i="24"/>
  <c r="CX38" i="24"/>
  <c r="A38" i="24"/>
  <c r="DC37" i="24"/>
  <c r="DB37" i="24"/>
  <c r="DA37" i="24"/>
  <c r="CZ37" i="24"/>
  <c r="CY37" i="24"/>
  <c r="CX37" i="24"/>
  <c r="A37" i="24"/>
  <c r="DC36" i="24"/>
  <c r="DA36" i="24"/>
  <c r="CZ36" i="24"/>
  <c r="DB36" i="24" s="1"/>
  <c r="CY36" i="24"/>
  <c r="CX36" i="24"/>
  <c r="A36" i="24"/>
  <c r="DC35" i="24"/>
  <c r="DA35" i="24"/>
  <c r="CZ35" i="24"/>
  <c r="DB35" i="24" s="1"/>
  <c r="CY35" i="24"/>
  <c r="CX35" i="24"/>
  <c r="A35" i="24"/>
  <c r="DC34" i="24"/>
  <c r="DB34" i="24"/>
  <c r="DA34" i="24"/>
  <c r="CZ34" i="24"/>
  <c r="CY34" i="24"/>
  <c r="CX34" i="24"/>
  <c r="A34" i="24"/>
  <c r="DC33" i="24"/>
  <c r="DA33" i="24"/>
  <c r="CZ33" i="24"/>
  <c r="DB33" i="24" s="1"/>
  <c r="CY33" i="24"/>
  <c r="CX33" i="24"/>
  <c r="A33" i="24"/>
  <c r="DC32" i="24"/>
  <c r="DA32" i="24"/>
  <c r="CZ32" i="24"/>
  <c r="DB32" i="24" s="1"/>
  <c r="CY32" i="24"/>
  <c r="A32" i="24"/>
  <c r="DC31" i="24"/>
  <c r="DA31" i="24"/>
  <c r="CZ31" i="24"/>
  <c r="DB31" i="24" s="1"/>
  <c r="CY31" i="24"/>
  <c r="A31" i="24"/>
  <c r="DC30" i="24"/>
  <c r="DB30" i="24"/>
  <c r="DA30" i="24"/>
  <c r="CZ30" i="24"/>
  <c r="CY30" i="24"/>
  <c r="A30" i="24"/>
  <c r="DC29" i="24"/>
  <c r="DA29" i="24"/>
  <c r="CZ29" i="24"/>
  <c r="DB29" i="24" s="1"/>
  <c r="CY29" i="24"/>
  <c r="A29" i="24"/>
  <c r="DC28" i="24"/>
  <c r="DA28" i="24"/>
  <c r="CZ28" i="24"/>
  <c r="DB28" i="24" s="1"/>
  <c r="CY28" i="24"/>
  <c r="A28" i="24"/>
  <c r="DC27" i="24"/>
  <c r="DB27" i="24"/>
  <c r="DA27" i="24"/>
  <c r="CZ27" i="24"/>
  <c r="CY27" i="24"/>
  <c r="CX27" i="24"/>
  <c r="A27" i="24"/>
  <c r="DC26" i="24"/>
  <c r="DB26" i="24"/>
  <c r="DA26" i="24"/>
  <c r="CZ26" i="24"/>
  <c r="CY26" i="24"/>
  <c r="CX26" i="24"/>
  <c r="A26" i="24"/>
  <c r="DC25" i="24"/>
  <c r="DA25" i="24"/>
  <c r="CZ25" i="24"/>
  <c r="DB25" i="24" s="1"/>
  <c r="CY25" i="24"/>
  <c r="CX25" i="24"/>
  <c r="A25" i="24"/>
  <c r="DC24" i="24"/>
  <c r="DA24" i="24"/>
  <c r="CZ24" i="24"/>
  <c r="DB24" i="24" s="1"/>
  <c r="CY24" i="24"/>
  <c r="CX24" i="24"/>
  <c r="A24" i="24"/>
  <c r="DC23" i="24"/>
  <c r="DA23" i="24"/>
  <c r="CZ23" i="24"/>
  <c r="DB23" i="24" s="1"/>
  <c r="CY23" i="24"/>
  <c r="A23" i="24"/>
  <c r="DC22" i="24"/>
  <c r="DB22" i="24"/>
  <c r="DA22" i="24"/>
  <c r="CZ22" i="24"/>
  <c r="CY22" i="24"/>
  <c r="A22" i="24"/>
  <c r="DC21" i="24"/>
  <c r="DA21" i="24"/>
  <c r="CZ21" i="24"/>
  <c r="DB21" i="24" s="1"/>
  <c r="CY21" i="24"/>
  <c r="A21" i="24"/>
  <c r="DC20" i="24"/>
  <c r="DA20" i="24"/>
  <c r="CZ20" i="24"/>
  <c r="DB20" i="24" s="1"/>
  <c r="CY20" i="24"/>
  <c r="A20" i="24"/>
  <c r="DC19" i="24"/>
  <c r="DB19" i="24"/>
  <c r="DA19" i="24"/>
  <c r="CZ19" i="24"/>
  <c r="CY19" i="24"/>
  <c r="A19" i="24"/>
  <c r="DC18" i="24"/>
  <c r="DB18" i="24"/>
  <c r="DA18" i="24"/>
  <c r="CZ18" i="24"/>
  <c r="CY18" i="24"/>
  <c r="A18" i="24"/>
  <c r="DC17" i="24"/>
  <c r="DA17" i="24"/>
  <c r="CZ17" i="24"/>
  <c r="DB17" i="24" s="1"/>
  <c r="CY17" i="24"/>
  <c r="A17" i="24"/>
  <c r="DC16" i="24"/>
  <c r="DA16" i="24"/>
  <c r="CZ16" i="24"/>
  <c r="DB16" i="24" s="1"/>
  <c r="CY16" i="24"/>
  <c r="A16" i="24"/>
  <c r="DC15" i="24"/>
  <c r="DA15" i="24"/>
  <c r="CZ15" i="24"/>
  <c r="DB15" i="24" s="1"/>
  <c r="CY15" i="24"/>
  <c r="A15" i="24"/>
  <c r="DC14" i="24"/>
  <c r="DA14" i="24"/>
  <c r="CZ14" i="24"/>
  <c r="DB14" i="24" s="1"/>
  <c r="CY14" i="24"/>
  <c r="A14" i="24"/>
  <c r="DC13" i="24"/>
  <c r="DA13" i="24"/>
  <c r="CZ13" i="24"/>
  <c r="DB13" i="24" s="1"/>
  <c r="CY13" i="24"/>
  <c r="A13" i="24"/>
  <c r="DC12" i="24"/>
  <c r="DA12" i="24"/>
  <c r="CZ12" i="24"/>
  <c r="DB12" i="24" s="1"/>
  <c r="CY12" i="24"/>
  <c r="A12" i="24"/>
  <c r="DC11" i="24"/>
  <c r="DB11" i="24"/>
  <c r="DA11" i="24"/>
  <c r="CZ11" i="24"/>
  <c r="CY11" i="24"/>
  <c r="A11" i="24"/>
  <c r="DC10" i="24"/>
  <c r="DA10" i="24"/>
  <c r="CZ10" i="24"/>
  <c r="DB10" i="24" s="1"/>
  <c r="CY10" i="24"/>
  <c r="A10" i="24"/>
  <c r="DC9" i="24"/>
  <c r="DA9" i="24"/>
  <c r="CZ9" i="24"/>
  <c r="DB9" i="24" s="1"/>
  <c r="CY9" i="24"/>
  <c r="A9" i="24"/>
  <c r="DC8" i="24"/>
  <c r="DA8" i="24"/>
  <c r="CZ8" i="24"/>
  <c r="DB8" i="24" s="1"/>
  <c r="CY8" i="24"/>
  <c r="A8" i="24"/>
  <c r="DC7" i="24"/>
  <c r="DA7" i="24"/>
  <c r="CZ7" i="24"/>
  <c r="DB7" i="24" s="1"/>
  <c r="CY7" i="24"/>
  <c r="A7" i="24"/>
  <c r="DC6" i="24"/>
  <c r="DB6" i="24"/>
  <c r="DA6" i="24"/>
  <c r="CZ6" i="24"/>
  <c r="CY6" i="24"/>
  <c r="A6" i="24"/>
  <c r="DC5" i="24"/>
  <c r="DB5" i="24"/>
  <c r="DA5" i="24"/>
  <c r="CZ5" i="24"/>
  <c r="CY5" i="24"/>
  <c r="A5" i="24"/>
  <c r="DC4" i="24"/>
  <c r="DA4" i="24"/>
  <c r="CZ4" i="24"/>
  <c r="DB4" i="24" s="1"/>
  <c r="CY4" i="24"/>
  <c r="A4" i="24"/>
  <c r="DC3" i="24"/>
  <c r="DB3" i="24"/>
  <c r="DA3" i="24"/>
  <c r="CZ3" i="24"/>
  <c r="CY3" i="24"/>
  <c r="A3" i="24"/>
  <c r="DC2" i="24"/>
  <c r="DB2" i="24"/>
  <c r="DA2" i="24"/>
  <c r="CZ2" i="24"/>
  <c r="CY2" i="24"/>
  <c r="A2" i="24"/>
  <c r="DC1" i="24"/>
  <c r="DA1" i="24"/>
  <c r="CZ1" i="24"/>
  <c r="DB1" i="24" s="1"/>
  <c r="CY1" i="24"/>
  <c r="A1" i="24"/>
  <c r="G354" i="22"/>
  <c r="F354" i="22"/>
  <c r="D354" i="22"/>
  <c r="C354" i="22"/>
  <c r="B354" i="22"/>
  <c r="B18" i="22" s="1"/>
  <c r="G314" i="22"/>
  <c r="G22" i="22" s="1"/>
  <c r="A8" i="21" s="1"/>
  <c r="F314" i="22"/>
  <c r="D314" i="22"/>
  <c r="C314" i="22"/>
  <c r="B314" i="22"/>
  <c r="CM284" i="22"/>
  <c r="CL284" i="22"/>
  <c r="BC284" i="22" s="1"/>
  <c r="CK284" i="22"/>
  <c r="CC284" i="22"/>
  <c r="AT284" i="22" s="1"/>
  <c r="BX284" i="22"/>
  <c r="AO284" i="22" s="1"/>
  <c r="BD284" i="22"/>
  <c r="G284" i="22"/>
  <c r="G276" i="22" s="1"/>
  <c r="F284" i="22"/>
  <c r="F276" i="22" s="1"/>
  <c r="D284" i="22"/>
  <c r="D276" i="22" s="1"/>
  <c r="C284" i="22"/>
  <c r="C276" i="22" s="1"/>
  <c r="B284" i="22"/>
  <c r="B276" i="22" s="1"/>
  <c r="GV282" i="22"/>
  <c r="HC282" i="22" s="1"/>
  <c r="GX282" i="22" s="1"/>
  <c r="GO282" i="22"/>
  <c r="GN282" i="22"/>
  <c r="GL282" i="22"/>
  <c r="FR282" i="22"/>
  <c r="CX282" i="22"/>
  <c r="W282" i="22" s="1"/>
  <c r="CU282" i="22"/>
  <c r="T282" i="22" s="1"/>
  <c r="CS282" i="22"/>
  <c r="AJ282" i="22"/>
  <c r="AI282" i="22"/>
  <c r="CW282" i="22" s="1"/>
  <c r="AH282" i="22"/>
  <c r="CV282" i="22" s="1"/>
  <c r="AG282" i="22"/>
  <c r="AF282" i="22"/>
  <c r="CT282" i="22" s="1"/>
  <c r="S282" i="22" s="1"/>
  <c r="AE282" i="22"/>
  <c r="CR282" i="22" s="1"/>
  <c r="AD282" i="22"/>
  <c r="AC282" i="22"/>
  <c r="CQ282" i="22" s="1"/>
  <c r="P282" i="22"/>
  <c r="I282" i="22"/>
  <c r="GV281" i="22"/>
  <c r="HC281" i="22" s="1"/>
  <c r="GO281" i="22"/>
  <c r="GN281" i="22"/>
  <c r="GL281" i="22"/>
  <c r="FR281" i="22"/>
  <c r="CU281" i="22"/>
  <c r="CS281" i="22"/>
  <c r="AJ281" i="22"/>
  <c r="CX281" i="22" s="1"/>
  <c r="AI281" i="22"/>
  <c r="CW281" i="22" s="1"/>
  <c r="AH281" i="22"/>
  <c r="CV281" i="22" s="1"/>
  <c r="U281" i="22" s="1"/>
  <c r="AG281" i="22"/>
  <c r="AF281" i="22"/>
  <c r="CT281" i="22" s="1"/>
  <c r="AE281" i="22"/>
  <c r="CR281" i="22" s="1"/>
  <c r="AC281" i="22"/>
  <c r="CQ281" i="22" s="1"/>
  <c r="R281" i="22"/>
  <c r="GK281" i="22" s="1"/>
  <c r="I281" i="22"/>
  <c r="Q281" i="22" s="1"/>
  <c r="GV280" i="22"/>
  <c r="HC280" i="22" s="1"/>
  <c r="GX280" i="22" s="1"/>
  <c r="GO280" i="22"/>
  <c r="GN280" i="22"/>
  <c r="GL280" i="22"/>
  <c r="FR280" i="22"/>
  <c r="CX280" i="22"/>
  <c r="W280" i="22" s="1"/>
  <c r="CW280" i="22"/>
  <c r="V280" i="22" s="1"/>
  <c r="CU280" i="22"/>
  <c r="T280" i="22" s="1"/>
  <c r="CQ280" i="22"/>
  <c r="P280" i="22" s="1"/>
  <c r="AJ280" i="22"/>
  <c r="AI280" i="22"/>
  <c r="AH280" i="22"/>
  <c r="CV280" i="22" s="1"/>
  <c r="AG280" i="22"/>
  <c r="AF280" i="22"/>
  <c r="CT280" i="22" s="1"/>
  <c r="S280" i="22" s="1"/>
  <c r="AE280" i="22"/>
  <c r="AC280" i="22"/>
  <c r="I280" i="22"/>
  <c r="GV279" i="22"/>
  <c r="HC279" i="22" s="1"/>
  <c r="GX279" i="22" s="1"/>
  <c r="GO279" i="22"/>
  <c r="GN279" i="22"/>
  <c r="GL279" i="22"/>
  <c r="FR279" i="22"/>
  <c r="CW279" i="22"/>
  <c r="CV279" i="22"/>
  <c r="U279" i="22" s="1"/>
  <c r="AJ279" i="22"/>
  <c r="CX279" i="22" s="1"/>
  <c r="W279" i="22" s="1"/>
  <c r="AI279" i="22"/>
  <c r="AH279" i="22"/>
  <c r="AG279" i="22"/>
  <c r="CU279" i="22" s="1"/>
  <c r="AF279" i="22"/>
  <c r="CT279" i="22" s="1"/>
  <c r="S279" i="22" s="1"/>
  <c r="CZ279" i="22" s="1"/>
  <c r="Y279" i="22" s="1"/>
  <c r="AE279" i="22"/>
  <c r="CS279" i="22" s="1"/>
  <c r="R279" i="22" s="1"/>
  <c r="GK279" i="22" s="1"/>
  <c r="AC279" i="22"/>
  <c r="CQ279" i="22" s="1"/>
  <c r="P279" i="22" s="1"/>
  <c r="V279" i="22"/>
  <c r="T279" i="22"/>
  <c r="K279" i="22"/>
  <c r="D279" i="22"/>
  <c r="C279" i="22"/>
  <c r="GV278" i="22"/>
  <c r="HC278" i="22" s="1"/>
  <c r="GX278" i="22" s="1"/>
  <c r="GO278" i="22"/>
  <c r="GN278" i="22"/>
  <c r="GL278" i="22"/>
  <c r="FR278" i="22"/>
  <c r="CS278" i="22"/>
  <c r="AJ278" i="22"/>
  <c r="CX278" i="22" s="1"/>
  <c r="W278" i="22" s="1"/>
  <c r="AI278" i="22"/>
  <c r="CW278" i="22" s="1"/>
  <c r="V278" i="22" s="1"/>
  <c r="AH278" i="22"/>
  <c r="CV278" i="22" s="1"/>
  <c r="U278" i="22" s="1"/>
  <c r="AG278" i="22"/>
  <c r="CU278" i="22" s="1"/>
  <c r="T278" i="22" s="1"/>
  <c r="AF278" i="22"/>
  <c r="CT278" i="22" s="1"/>
  <c r="S278" i="22" s="1"/>
  <c r="AE278" i="22"/>
  <c r="CR278" i="22" s="1"/>
  <c r="Q278" i="22" s="1"/>
  <c r="AC278" i="22"/>
  <c r="CQ278" i="22" s="1"/>
  <c r="P278" i="22" s="1"/>
  <c r="R278" i="22"/>
  <c r="K278" i="22"/>
  <c r="D278" i="22"/>
  <c r="C278" i="22"/>
  <c r="GX276" i="22"/>
  <c r="GW276" i="22"/>
  <c r="GV276" i="22"/>
  <c r="GU276" i="22"/>
  <c r="GT276" i="22"/>
  <c r="GS276" i="22"/>
  <c r="GR276" i="22"/>
  <c r="GQ276" i="22"/>
  <c r="GP276" i="22"/>
  <c r="GO276" i="22"/>
  <c r="GN276" i="22"/>
  <c r="GM276" i="22"/>
  <c r="GL276" i="22"/>
  <c r="GK276" i="22"/>
  <c r="GJ276" i="22"/>
  <c r="GI276" i="22"/>
  <c r="GH276" i="22"/>
  <c r="GG276" i="22"/>
  <c r="GF276" i="22"/>
  <c r="GE276" i="22"/>
  <c r="GD276" i="22"/>
  <c r="GC276" i="22"/>
  <c r="GB276" i="22"/>
  <c r="GA276" i="22"/>
  <c r="FZ276" i="22"/>
  <c r="FY276" i="22"/>
  <c r="FX276" i="22"/>
  <c r="FW276" i="22"/>
  <c r="FV276" i="22"/>
  <c r="FU276" i="22"/>
  <c r="FT276" i="22"/>
  <c r="FS276" i="22"/>
  <c r="FR276" i="22"/>
  <c r="FQ276" i="22"/>
  <c r="FP276" i="22"/>
  <c r="FO276" i="22"/>
  <c r="FN276" i="22"/>
  <c r="FM276" i="22"/>
  <c r="FL276" i="22"/>
  <c r="FK276" i="22"/>
  <c r="FJ276" i="22"/>
  <c r="FI276" i="22"/>
  <c r="FH276" i="22"/>
  <c r="FG276" i="22"/>
  <c r="FF276" i="22"/>
  <c r="FE276" i="22"/>
  <c r="FD276" i="22"/>
  <c r="FC276" i="22"/>
  <c r="FB276" i="22"/>
  <c r="FA276" i="22"/>
  <c r="EZ276" i="22"/>
  <c r="EY276" i="22"/>
  <c r="EX276" i="22"/>
  <c r="EW276" i="22"/>
  <c r="EV276" i="22"/>
  <c r="EU276" i="22"/>
  <c r="ET276" i="22"/>
  <c r="ES276" i="22"/>
  <c r="ER276" i="22"/>
  <c r="EQ276" i="22"/>
  <c r="EP276" i="22"/>
  <c r="EO276" i="22"/>
  <c r="EN276" i="22"/>
  <c r="EM276" i="22"/>
  <c r="EL276" i="22"/>
  <c r="EK276" i="22"/>
  <c r="EJ276" i="22"/>
  <c r="EI276" i="22"/>
  <c r="EH276" i="22"/>
  <c r="EG276" i="22"/>
  <c r="EF276" i="22"/>
  <c r="EE276" i="22"/>
  <c r="ED276" i="22"/>
  <c r="EC276" i="22"/>
  <c r="EB276" i="22"/>
  <c r="EA276" i="22"/>
  <c r="DZ276" i="22"/>
  <c r="DY276" i="22"/>
  <c r="DX276" i="22"/>
  <c r="DW276" i="22"/>
  <c r="DV276" i="22"/>
  <c r="DU276" i="22"/>
  <c r="DT276" i="22"/>
  <c r="DS276" i="22"/>
  <c r="DR276" i="22"/>
  <c r="DQ276" i="22"/>
  <c r="DP276" i="22"/>
  <c r="DO276" i="22"/>
  <c r="DN276" i="22"/>
  <c r="DM276" i="22"/>
  <c r="DL276" i="22"/>
  <c r="DK276" i="22"/>
  <c r="DJ276" i="22"/>
  <c r="DI276" i="22"/>
  <c r="DH276" i="22"/>
  <c r="DG276" i="22"/>
  <c r="DF276" i="22"/>
  <c r="DE276" i="22"/>
  <c r="DD276" i="22"/>
  <c r="DC276" i="22"/>
  <c r="DB276" i="22"/>
  <c r="DA276" i="22"/>
  <c r="CZ276" i="22"/>
  <c r="CY276" i="22"/>
  <c r="CX276" i="22"/>
  <c r="CW276" i="22"/>
  <c r="CV276" i="22"/>
  <c r="CU276" i="22"/>
  <c r="CT276" i="22"/>
  <c r="CS276" i="22"/>
  <c r="CR276" i="22"/>
  <c r="CQ276" i="22"/>
  <c r="CP276" i="22"/>
  <c r="CO276" i="22"/>
  <c r="CN276" i="22"/>
  <c r="CM276" i="22"/>
  <c r="CL276" i="22"/>
  <c r="BX276" i="22"/>
  <c r="BW276" i="22"/>
  <c r="BV276" i="22"/>
  <c r="BU276" i="22"/>
  <c r="BT276" i="22"/>
  <c r="BS276" i="22"/>
  <c r="BR276" i="22"/>
  <c r="BQ276" i="22"/>
  <c r="BP276" i="22"/>
  <c r="BO276" i="22"/>
  <c r="BN276" i="22"/>
  <c r="BM276" i="22"/>
  <c r="BL276" i="22"/>
  <c r="BK276" i="22"/>
  <c r="BJ276" i="22"/>
  <c r="BI276" i="22"/>
  <c r="BH276" i="22"/>
  <c r="BG276" i="22"/>
  <c r="BF276" i="22"/>
  <c r="BE276" i="22"/>
  <c r="AN276" i="22"/>
  <c r="AM276" i="22"/>
  <c r="AA276" i="22"/>
  <c r="Z276" i="22"/>
  <c r="E276" i="22"/>
  <c r="D274" i="22"/>
  <c r="F257" i="22"/>
  <c r="CM244" i="22"/>
  <c r="BD244" i="22" s="1"/>
  <c r="CL244" i="22"/>
  <c r="CK244" i="22"/>
  <c r="BX244" i="22"/>
  <c r="BB244" i="22"/>
  <c r="BB237" i="22" s="1"/>
  <c r="AO244" i="22"/>
  <c r="G244" i="22"/>
  <c r="G237" i="22" s="1"/>
  <c r="A73" i="21" s="1"/>
  <c r="F244" i="22"/>
  <c r="D244" i="22"/>
  <c r="D237" i="22" s="1"/>
  <c r="C244" i="22"/>
  <c r="B244" i="22"/>
  <c r="B237" i="22" s="1"/>
  <c r="GV242" i="22"/>
  <c r="HC242" i="22" s="1"/>
  <c r="GO242" i="22"/>
  <c r="GN242" i="22"/>
  <c r="GL242" i="22"/>
  <c r="FR242" i="22"/>
  <c r="CS242" i="22"/>
  <c r="AJ242" i="22"/>
  <c r="CX242" i="22" s="1"/>
  <c r="AI242" i="22"/>
  <c r="CW242" i="22" s="1"/>
  <c r="V242" i="22" s="1"/>
  <c r="AH242" i="22"/>
  <c r="CV242" i="22" s="1"/>
  <c r="AG242" i="22"/>
  <c r="CU242" i="22" s="1"/>
  <c r="T242" i="22" s="1"/>
  <c r="AF242" i="22"/>
  <c r="AE242" i="22"/>
  <c r="CR242" i="22" s="1"/>
  <c r="AC242" i="22"/>
  <c r="CQ242" i="22" s="1"/>
  <c r="K242" i="22"/>
  <c r="I242" i="22"/>
  <c r="D242" i="22"/>
  <c r="C242" i="22"/>
  <c r="GV241" i="22"/>
  <c r="HC241" i="22" s="1"/>
  <c r="GX241" i="22" s="1"/>
  <c r="GO241" i="22"/>
  <c r="GN241" i="22"/>
  <c r="GL241" i="22"/>
  <c r="GK241" i="22"/>
  <c r="FR241" i="22"/>
  <c r="CS241" i="22"/>
  <c r="AJ241" i="22"/>
  <c r="CX241" i="22" s="1"/>
  <c r="W241" i="22" s="1"/>
  <c r="AI241" i="22"/>
  <c r="CW241" i="22" s="1"/>
  <c r="V241" i="22" s="1"/>
  <c r="AH241" i="22"/>
  <c r="CV241" i="22" s="1"/>
  <c r="U241" i="22" s="1"/>
  <c r="AG241" i="22"/>
  <c r="CU241" i="22" s="1"/>
  <c r="T241" i="22" s="1"/>
  <c r="AF241" i="22"/>
  <c r="CT241" i="22" s="1"/>
  <c r="AE241" i="22"/>
  <c r="CR241" i="22" s="1"/>
  <c r="Q241" i="22" s="1"/>
  <c r="AC241" i="22"/>
  <c r="S241" i="22"/>
  <c r="CZ241" i="22" s="1"/>
  <c r="Y241" i="22" s="1"/>
  <c r="R241" i="22"/>
  <c r="K241" i="22"/>
  <c r="I241" i="22"/>
  <c r="CX104" i="24" s="1"/>
  <c r="D241" i="22"/>
  <c r="C241" i="22"/>
  <c r="GV240" i="22"/>
  <c r="HC240" i="22" s="1"/>
  <c r="GO240" i="22"/>
  <c r="GN240" i="22"/>
  <c r="GL240" i="22"/>
  <c r="FR240" i="22"/>
  <c r="AJ240" i="22"/>
  <c r="CX240" i="22" s="1"/>
  <c r="AI240" i="22"/>
  <c r="CW240" i="22" s="1"/>
  <c r="AH240" i="22"/>
  <c r="CV240" i="22" s="1"/>
  <c r="AG240" i="22"/>
  <c r="CU240" i="22" s="1"/>
  <c r="T240" i="22" s="1"/>
  <c r="AF240" i="22"/>
  <c r="CT240" i="22" s="1"/>
  <c r="AE240" i="22"/>
  <c r="CS240" i="22" s="1"/>
  <c r="AC240" i="22"/>
  <c r="CQ240" i="22" s="1"/>
  <c r="K240" i="22"/>
  <c r="I240" i="22"/>
  <c r="D240" i="22"/>
  <c r="C240" i="22"/>
  <c r="GV239" i="22"/>
  <c r="HC239" i="22" s="1"/>
  <c r="GO239" i="22"/>
  <c r="GN239" i="22"/>
  <c r="CB244" i="22" s="1"/>
  <c r="GL239" i="22"/>
  <c r="FR239" i="22"/>
  <c r="CS239" i="22"/>
  <c r="AJ239" i="22"/>
  <c r="CX239" i="22" s="1"/>
  <c r="AI239" i="22"/>
  <c r="CW239" i="22" s="1"/>
  <c r="V239" i="22" s="1"/>
  <c r="AH239" i="22"/>
  <c r="CV239" i="22" s="1"/>
  <c r="U239" i="22" s="1"/>
  <c r="AG239" i="22"/>
  <c r="CU239" i="22" s="1"/>
  <c r="AF239" i="22"/>
  <c r="AE239" i="22"/>
  <c r="AD239" i="22" s="1"/>
  <c r="AC239" i="22"/>
  <c r="CQ239" i="22" s="1"/>
  <c r="K239" i="22"/>
  <c r="I239" i="22"/>
  <c r="D239" i="22"/>
  <c r="C239" i="22"/>
  <c r="GX237" i="22"/>
  <c r="GW237" i="22"/>
  <c r="GV237" i="22"/>
  <c r="GU237" i="22"/>
  <c r="GT237" i="22"/>
  <c r="GS237" i="22"/>
  <c r="GR237" i="22"/>
  <c r="GQ237" i="22"/>
  <c r="GP237" i="22"/>
  <c r="GO237" i="22"/>
  <c r="GN237" i="22"/>
  <c r="GM237" i="22"/>
  <c r="GL237" i="22"/>
  <c r="GK237" i="22"/>
  <c r="GJ237" i="22"/>
  <c r="GI237" i="22"/>
  <c r="GH237" i="22"/>
  <c r="GG237" i="22"/>
  <c r="GF237" i="22"/>
  <c r="GE237" i="22"/>
  <c r="GD237" i="22"/>
  <c r="GC237" i="22"/>
  <c r="GB237" i="22"/>
  <c r="GA237" i="22"/>
  <c r="FZ237" i="22"/>
  <c r="FY237" i="22"/>
  <c r="FX237" i="22"/>
  <c r="FW237" i="22"/>
  <c r="FV237" i="22"/>
  <c r="FU237" i="22"/>
  <c r="FT237" i="22"/>
  <c r="FS237" i="22"/>
  <c r="FR237" i="22"/>
  <c r="FQ237" i="22"/>
  <c r="FP237" i="22"/>
  <c r="FO237" i="22"/>
  <c r="FN237" i="22"/>
  <c r="FM237" i="22"/>
  <c r="FL237" i="22"/>
  <c r="FK237" i="22"/>
  <c r="FJ237" i="22"/>
  <c r="FI237" i="22"/>
  <c r="FH237" i="22"/>
  <c r="FG237" i="22"/>
  <c r="FF237" i="22"/>
  <c r="FE237" i="22"/>
  <c r="FD237" i="22"/>
  <c r="FC237" i="22"/>
  <c r="FB237" i="22"/>
  <c r="FA237" i="22"/>
  <c r="EZ237" i="22"/>
  <c r="EY237" i="22"/>
  <c r="EX237" i="22"/>
  <c r="EW237" i="22"/>
  <c r="EV237" i="22"/>
  <c r="EU237" i="22"/>
  <c r="ET237" i="22"/>
  <c r="ES237" i="22"/>
  <c r="ER237" i="22"/>
  <c r="EQ237" i="22"/>
  <c r="EP237" i="22"/>
  <c r="EO237" i="22"/>
  <c r="EN237" i="22"/>
  <c r="EM237" i="22"/>
  <c r="EL237" i="22"/>
  <c r="EK237" i="22"/>
  <c r="EJ237" i="22"/>
  <c r="EI237" i="22"/>
  <c r="EH237" i="22"/>
  <c r="EG237" i="22"/>
  <c r="EF237" i="22"/>
  <c r="EE237" i="22"/>
  <c r="ED237" i="22"/>
  <c r="EC237" i="22"/>
  <c r="EB237" i="22"/>
  <c r="EA237" i="22"/>
  <c r="DZ237" i="22"/>
  <c r="DY237" i="22"/>
  <c r="DX237" i="22"/>
  <c r="DW237" i="22"/>
  <c r="DV237" i="22"/>
  <c r="DU237" i="22"/>
  <c r="DT237" i="22"/>
  <c r="DS237" i="22"/>
  <c r="DR237" i="22"/>
  <c r="DQ237" i="22"/>
  <c r="DP237" i="22"/>
  <c r="DO237" i="22"/>
  <c r="DN237" i="22"/>
  <c r="DM237" i="22"/>
  <c r="DL237" i="22"/>
  <c r="DK237" i="22"/>
  <c r="DJ237" i="22"/>
  <c r="DI237" i="22"/>
  <c r="DH237" i="22"/>
  <c r="DG237" i="22"/>
  <c r="DF237" i="22"/>
  <c r="DE237" i="22"/>
  <c r="DD237" i="22"/>
  <c r="DC237" i="22"/>
  <c r="DB237" i="22"/>
  <c r="DA237" i="22"/>
  <c r="CZ237" i="22"/>
  <c r="CY237" i="22"/>
  <c r="CX237" i="22"/>
  <c r="CW237" i="22"/>
  <c r="CV237" i="22"/>
  <c r="CU237" i="22"/>
  <c r="CT237" i="22"/>
  <c r="CS237" i="22"/>
  <c r="CR237" i="22"/>
  <c r="CQ237" i="22"/>
  <c r="CP237" i="22"/>
  <c r="CO237" i="22"/>
  <c r="CN237" i="22"/>
  <c r="CK237" i="22"/>
  <c r="BW237" i="22"/>
  <c r="BV237" i="22"/>
  <c r="BU237" i="22"/>
  <c r="BT237" i="22"/>
  <c r="BS237" i="22"/>
  <c r="BR237" i="22"/>
  <c r="BQ237" i="22"/>
  <c r="BP237" i="22"/>
  <c r="BO237" i="22"/>
  <c r="BN237" i="22"/>
  <c r="BM237" i="22"/>
  <c r="BL237" i="22"/>
  <c r="BK237" i="22"/>
  <c r="BJ237" i="22"/>
  <c r="BI237" i="22"/>
  <c r="BH237" i="22"/>
  <c r="BG237" i="22"/>
  <c r="BF237" i="22"/>
  <c r="BE237" i="22"/>
  <c r="AN237" i="22"/>
  <c r="AM237" i="22"/>
  <c r="AA237" i="22"/>
  <c r="Z237" i="22"/>
  <c r="F237" i="22"/>
  <c r="E237" i="22"/>
  <c r="C237" i="22"/>
  <c r="D235" i="22"/>
  <c r="CM205" i="22"/>
  <c r="BD205" i="22" s="1"/>
  <c r="F230" i="22" s="1"/>
  <c r="CL205" i="22"/>
  <c r="BC205" i="22" s="1"/>
  <c r="F221" i="22" s="1"/>
  <c r="CK205" i="22"/>
  <c r="BB205" i="22" s="1"/>
  <c r="F218" i="22" s="1"/>
  <c r="BX205" i="22"/>
  <c r="G205" i="22"/>
  <c r="F205" i="22"/>
  <c r="D205" i="22"/>
  <c r="C205" i="22"/>
  <c r="C182" i="22" s="1"/>
  <c r="B205" i="22"/>
  <c r="B182" i="22" s="1"/>
  <c r="GV203" i="22"/>
  <c r="HC203" i="22" s="1"/>
  <c r="GO203" i="22"/>
  <c r="GN203" i="22"/>
  <c r="GL203" i="22"/>
  <c r="FR203" i="22"/>
  <c r="CX203" i="22"/>
  <c r="CW203" i="22"/>
  <c r="AJ203" i="22"/>
  <c r="AI203" i="22"/>
  <c r="AH203" i="22"/>
  <c r="CV203" i="22" s="1"/>
  <c r="AG203" i="22"/>
  <c r="CU203" i="22" s="1"/>
  <c r="T203" i="22" s="1"/>
  <c r="AF203" i="22"/>
  <c r="CT203" i="22" s="1"/>
  <c r="AE203" i="22"/>
  <c r="AC203" i="22"/>
  <c r="GV202" i="22"/>
  <c r="HC202" i="22" s="1"/>
  <c r="GO202" i="22"/>
  <c r="GN202" i="22"/>
  <c r="GL202" i="22"/>
  <c r="FR202" i="22"/>
  <c r="CQ202" i="22"/>
  <c r="AJ202" i="22"/>
  <c r="CX202" i="22" s="1"/>
  <c r="AI202" i="22"/>
  <c r="CW202" i="22" s="1"/>
  <c r="AH202" i="22"/>
  <c r="CV202" i="22" s="1"/>
  <c r="U202" i="22" s="1"/>
  <c r="AG202" i="22"/>
  <c r="CU202" i="22" s="1"/>
  <c r="T202" i="22" s="1"/>
  <c r="AF202" i="22"/>
  <c r="CT202" i="22" s="1"/>
  <c r="S202" i="22" s="1"/>
  <c r="AE202" i="22"/>
  <c r="AC202" i="22"/>
  <c r="I202" i="22"/>
  <c r="GV201" i="22"/>
  <c r="HC201" i="22" s="1"/>
  <c r="GX201" i="22" s="1"/>
  <c r="GO201" i="22"/>
  <c r="GN201" i="22"/>
  <c r="GL201" i="22"/>
  <c r="FR201" i="22"/>
  <c r="CT201" i="22"/>
  <c r="S201" i="22" s="1"/>
  <c r="AJ201" i="22"/>
  <c r="CX201" i="22" s="1"/>
  <c r="W201" i="22" s="1"/>
  <c r="AI201" i="22"/>
  <c r="CW201" i="22" s="1"/>
  <c r="AH201" i="22"/>
  <c r="CV201" i="22" s="1"/>
  <c r="U201" i="22" s="1"/>
  <c r="AG201" i="22"/>
  <c r="CU201" i="22" s="1"/>
  <c r="AF201" i="22"/>
  <c r="AE201" i="22"/>
  <c r="CR201" i="22" s="1"/>
  <c r="Q201" i="22" s="1"/>
  <c r="AC201" i="22"/>
  <c r="CQ201" i="22" s="1"/>
  <c r="P201" i="22" s="1"/>
  <c r="K201" i="22"/>
  <c r="I201" i="22"/>
  <c r="I203" i="22" s="1"/>
  <c r="D201" i="22"/>
  <c r="C201" i="22"/>
  <c r="GV200" i="22"/>
  <c r="HC200" i="22" s="1"/>
  <c r="GO200" i="22"/>
  <c r="GN200" i="22"/>
  <c r="GL200" i="22"/>
  <c r="FR200" i="22"/>
  <c r="AJ200" i="22"/>
  <c r="CX200" i="22" s="1"/>
  <c r="AI200" i="22"/>
  <c r="CW200" i="22" s="1"/>
  <c r="AH200" i="22"/>
  <c r="CV200" i="22" s="1"/>
  <c r="AG200" i="22"/>
  <c r="CU200" i="22" s="1"/>
  <c r="AF200" i="22"/>
  <c r="CT200" i="22" s="1"/>
  <c r="AE200" i="22"/>
  <c r="CS200" i="22" s="1"/>
  <c r="AC200" i="22"/>
  <c r="GV199" i="22"/>
  <c r="HC199" i="22" s="1"/>
  <c r="GO199" i="22"/>
  <c r="GN199" i="22"/>
  <c r="GL199" i="22"/>
  <c r="FR199" i="22"/>
  <c r="CS199" i="22"/>
  <c r="AJ199" i="22"/>
  <c r="CX199" i="22" s="1"/>
  <c r="AI199" i="22"/>
  <c r="CW199" i="22" s="1"/>
  <c r="AH199" i="22"/>
  <c r="CV199" i="22" s="1"/>
  <c r="AG199" i="22"/>
  <c r="CU199" i="22" s="1"/>
  <c r="AF199" i="22"/>
  <c r="CT199" i="22" s="1"/>
  <c r="AE199" i="22"/>
  <c r="AD199" i="22" s="1"/>
  <c r="AC199" i="22"/>
  <c r="GV198" i="22"/>
  <c r="HC198" i="22" s="1"/>
  <c r="GO198" i="22"/>
  <c r="GN198" i="22"/>
  <c r="GL198" i="22"/>
  <c r="FR198" i="22"/>
  <c r="CR198" i="22"/>
  <c r="AJ198" i="22"/>
  <c r="CX198" i="22" s="1"/>
  <c r="AI198" i="22"/>
  <c r="CW198" i="22" s="1"/>
  <c r="AH198" i="22"/>
  <c r="CV198" i="22" s="1"/>
  <c r="U198" i="22" s="1"/>
  <c r="AG198" i="22"/>
  <c r="CU198" i="22" s="1"/>
  <c r="AF198" i="22"/>
  <c r="CT198" i="22" s="1"/>
  <c r="AE198" i="22"/>
  <c r="CS198" i="22" s="1"/>
  <c r="AD198" i="22"/>
  <c r="AC198" i="22"/>
  <c r="CQ198" i="22" s="1"/>
  <c r="K198" i="22"/>
  <c r="I198" i="22"/>
  <c r="D198" i="22"/>
  <c r="C198" i="22"/>
  <c r="HC197" i="22"/>
  <c r="GV197" i="22"/>
  <c r="GO197" i="22"/>
  <c r="GN197" i="22"/>
  <c r="GL197" i="22"/>
  <c r="FR197" i="22"/>
  <c r="CX197" i="22"/>
  <c r="W197" i="22" s="1"/>
  <c r="CS197" i="22"/>
  <c r="AJ197" i="22"/>
  <c r="AI197" i="22"/>
  <c r="CW197" i="22" s="1"/>
  <c r="AH197" i="22"/>
  <c r="CV197" i="22" s="1"/>
  <c r="AG197" i="22"/>
  <c r="CU197" i="22" s="1"/>
  <c r="AF197" i="22"/>
  <c r="AE197" i="22"/>
  <c r="AD197" i="22" s="1"/>
  <c r="AC197" i="22"/>
  <c r="CQ197" i="22" s="1"/>
  <c r="U197" i="22"/>
  <c r="T197" i="22"/>
  <c r="K197" i="22"/>
  <c r="I197" i="22"/>
  <c r="D197" i="22"/>
  <c r="C197" i="22"/>
  <c r="GV196" i="22"/>
  <c r="HC196" i="22" s="1"/>
  <c r="GX196" i="22" s="1"/>
  <c r="GO196" i="22"/>
  <c r="GN196" i="22"/>
  <c r="GL196" i="22"/>
  <c r="FR196" i="22"/>
  <c r="CS196" i="22"/>
  <c r="R196" i="22" s="1"/>
  <c r="AJ196" i="22"/>
  <c r="CX196" i="22" s="1"/>
  <c r="W196" i="22" s="1"/>
  <c r="AI196" i="22"/>
  <c r="CW196" i="22" s="1"/>
  <c r="V196" i="22" s="1"/>
  <c r="AH196" i="22"/>
  <c r="CV196" i="22" s="1"/>
  <c r="U196" i="22" s="1"/>
  <c r="AG196" i="22"/>
  <c r="CU196" i="22" s="1"/>
  <c r="T196" i="22" s="1"/>
  <c r="AF196" i="22"/>
  <c r="CT196" i="22" s="1"/>
  <c r="S196" i="22" s="1"/>
  <c r="AE196" i="22"/>
  <c r="AC196" i="22"/>
  <c r="CQ196" i="22" s="1"/>
  <c r="P196" i="22"/>
  <c r="D196" i="22"/>
  <c r="C196" i="22"/>
  <c r="GV195" i="22"/>
  <c r="HC195" i="22" s="1"/>
  <c r="GX195" i="22" s="1"/>
  <c r="GO195" i="22"/>
  <c r="GN195" i="22"/>
  <c r="GL195" i="22"/>
  <c r="FR195" i="22"/>
  <c r="CT195" i="22"/>
  <c r="S195" i="22" s="1"/>
  <c r="AJ195" i="22"/>
  <c r="CX195" i="22" s="1"/>
  <c r="W195" i="22" s="1"/>
  <c r="AI195" i="22"/>
  <c r="CW195" i="22" s="1"/>
  <c r="V195" i="22" s="1"/>
  <c r="AH195" i="22"/>
  <c r="CV195" i="22" s="1"/>
  <c r="U195" i="22" s="1"/>
  <c r="AG195" i="22"/>
  <c r="CU195" i="22" s="1"/>
  <c r="T195" i="22" s="1"/>
  <c r="AF195" i="22"/>
  <c r="AE195" i="22"/>
  <c r="CS195" i="22" s="1"/>
  <c r="AD195" i="22"/>
  <c r="AC195" i="22"/>
  <c r="CQ195" i="22" s="1"/>
  <c r="P195" i="22" s="1"/>
  <c r="R195" i="22"/>
  <c r="D195" i="22"/>
  <c r="C195" i="22"/>
  <c r="GV194" i="22"/>
  <c r="HC194" i="22" s="1"/>
  <c r="GX194" i="22" s="1"/>
  <c r="GO194" i="22"/>
  <c r="GN194" i="22"/>
  <c r="GL194" i="22"/>
  <c r="FR194" i="22"/>
  <c r="AJ194" i="22"/>
  <c r="CX194" i="22" s="1"/>
  <c r="AI194" i="22"/>
  <c r="CW194" i="22" s="1"/>
  <c r="AH194" i="22"/>
  <c r="CV194" i="22" s="1"/>
  <c r="AG194" i="22"/>
  <c r="CU194" i="22" s="1"/>
  <c r="T194" i="22" s="1"/>
  <c r="AF194" i="22"/>
  <c r="CT194" i="22" s="1"/>
  <c r="S194" i="22" s="1"/>
  <c r="CY194" i="22" s="1"/>
  <c r="X194" i="22" s="1"/>
  <c r="AE194" i="22"/>
  <c r="AC194" i="22"/>
  <c r="K194" i="22"/>
  <c r="I194" i="22"/>
  <c r="CX71" i="24" s="1"/>
  <c r="D194" i="22"/>
  <c r="C194" i="22"/>
  <c r="GV193" i="22"/>
  <c r="HC193" i="22" s="1"/>
  <c r="GX193" i="22" s="1"/>
  <c r="GO193" i="22"/>
  <c r="GN193" i="22"/>
  <c r="GL193" i="22"/>
  <c r="FR193" i="22"/>
  <c r="CW193" i="22"/>
  <c r="CT193" i="22"/>
  <c r="S193" i="22" s="1"/>
  <c r="CZ193" i="22" s="1"/>
  <c r="Y193" i="22" s="1"/>
  <c r="AJ193" i="22"/>
  <c r="CX193" i="22" s="1"/>
  <c r="W193" i="22" s="1"/>
  <c r="AI193" i="22"/>
  <c r="AH193" i="22"/>
  <c r="CV193" i="22" s="1"/>
  <c r="U193" i="22" s="1"/>
  <c r="AG193" i="22"/>
  <c r="CU193" i="22" s="1"/>
  <c r="AF193" i="22"/>
  <c r="AE193" i="22"/>
  <c r="CS193" i="22" s="1"/>
  <c r="AD193" i="22"/>
  <c r="AC193" i="22"/>
  <c r="CQ193" i="22" s="1"/>
  <c r="P193" i="22" s="1"/>
  <c r="AB193" i="22"/>
  <c r="K193" i="22"/>
  <c r="I193" i="22"/>
  <c r="D193" i="22"/>
  <c r="C193" i="22"/>
  <c r="GV192" i="22"/>
  <c r="HC192" i="22" s="1"/>
  <c r="GX192" i="22" s="1"/>
  <c r="GO192" i="22"/>
  <c r="GN192" i="22"/>
  <c r="GL192" i="22"/>
  <c r="FR192" i="22"/>
  <c r="CW192" i="22"/>
  <c r="V192" i="22" s="1"/>
  <c r="CV192" i="22"/>
  <c r="U192" i="22" s="1"/>
  <c r="CT192" i="22"/>
  <c r="S192" i="22" s="1"/>
  <c r="AJ192" i="22"/>
  <c r="CX192" i="22" s="1"/>
  <c r="W192" i="22" s="1"/>
  <c r="AI192" i="22"/>
  <c r="AH192" i="22"/>
  <c r="AG192" i="22"/>
  <c r="CU192" i="22" s="1"/>
  <c r="AF192" i="22"/>
  <c r="AE192" i="22"/>
  <c r="AC192" i="22"/>
  <c r="CQ192" i="22" s="1"/>
  <c r="T192" i="22"/>
  <c r="K192" i="22"/>
  <c r="I192" i="22"/>
  <c r="D192" i="22"/>
  <c r="C192" i="22"/>
  <c r="GV191" i="22"/>
  <c r="HC191" i="22" s="1"/>
  <c r="GX191" i="22" s="1"/>
  <c r="GO191" i="22"/>
  <c r="GN191" i="22"/>
  <c r="GL191" i="22"/>
  <c r="FR191" i="22"/>
  <c r="CQ191" i="22"/>
  <c r="AJ191" i="22"/>
  <c r="CX191" i="22" s="1"/>
  <c r="W191" i="22" s="1"/>
  <c r="AI191" i="22"/>
  <c r="CW191" i="22" s="1"/>
  <c r="AH191" i="22"/>
  <c r="CV191" i="22" s="1"/>
  <c r="U191" i="22" s="1"/>
  <c r="AG191" i="22"/>
  <c r="CU191" i="22" s="1"/>
  <c r="AF191" i="22"/>
  <c r="CT191" i="22" s="1"/>
  <c r="AE191" i="22"/>
  <c r="AC191" i="22"/>
  <c r="K191" i="22"/>
  <c r="I191" i="22"/>
  <c r="T191" i="22" s="1"/>
  <c r="D191" i="22"/>
  <c r="C191" i="22"/>
  <c r="GV190" i="22"/>
  <c r="HC190" i="22" s="1"/>
  <c r="GX190" i="22" s="1"/>
  <c r="GO190" i="22"/>
  <c r="GN190" i="22"/>
  <c r="GL190" i="22"/>
  <c r="FR190" i="22"/>
  <c r="AJ190" i="22"/>
  <c r="CX190" i="22" s="1"/>
  <c r="W190" i="22" s="1"/>
  <c r="AI190" i="22"/>
  <c r="CW190" i="22" s="1"/>
  <c r="V190" i="22" s="1"/>
  <c r="AH190" i="22"/>
  <c r="CV190" i="22" s="1"/>
  <c r="U190" i="22" s="1"/>
  <c r="AG190" i="22"/>
  <c r="CU190" i="22" s="1"/>
  <c r="T190" i="22" s="1"/>
  <c r="AF190" i="22"/>
  <c r="CT190" i="22" s="1"/>
  <c r="S190" i="22" s="1"/>
  <c r="AE190" i="22"/>
  <c r="CS190" i="22" s="1"/>
  <c r="AC190" i="22"/>
  <c r="CQ190" i="22" s="1"/>
  <c r="P190" i="22"/>
  <c r="D190" i="22"/>
  <c r="C190" i="22"/>
  <c r="GV189" i="22"/>
  <c r="HC189" i="22" s="1"/>
  <c r="GX189" i="22" s="1"/>
  <c r="GO189" i="22"/>
  <c r="GN189" i="22"/>
  <c r="GL189" i="22"/>
  <c r="FR189" i="22"/>
  <c r="CW189" i="22"/>
  <c r="V189" i="22" s="1"/>
  <c r="CT189" i="22"/>
  <c r="S189" i="22" s="1"/>
  <c r="AJ189" i="22"/>
  <c r="CX189" i="22" s="1"/>
  <c r="W189" i="22" s="1"/>
  <c r="AI189" i="22"/>
  <c r="AH189" i="22"/>
  <c r="CV189" i="22" s="1"/>
  <c r="U189" i="22" s="1"/>
  <c r="AG189" i="22"/>
  <c r="CU189" i="22" s="1"/>
  <c r="T189" i="22" s="1"/>
  <c r="AF189" i="22"/>
  <c r="AE189" i="22"/>
  <c r="CS189" i="22" s="1"/>
  <c r="AC189" i="22"/>
  <c r="CQ189" i="22" s="1"/>
  <c r="P189" i="22" s="1"/>
  <c r="D189" i="22"/>
  <c r="C189" i="22"/>
  <c r="GV188" i="22"/>
  <c r="HC188" i="22" s="1"/>
  <c r="GX188" i="22" s="1"/>
  <c r="GO188" i="22"/>
  <c r="GN188" i="22"/>
  <c r="GL188" i="22"/>
  <c r="FR188" i="22"/>
  <c r="CW188" i="22"/>
  <c r="V188" i="22" s="1"/>
  <c r="CV188" i="22"/>
  <c r="U188" i="22" s="1"/>
  <c r="AJ188" i="22"/>
  <c r="CX188" i="22" s="1"/>
  <c r="W188" i="22" s="1"/>
  <c r="AI188" i="22"/>
  <c r="AH188" i="22"/>
  <c r="AG188" i="22"/>
  <c r="CU188" i="22" s="1"/>
  <c r="T188" i="22" s="1"/>
  <c r="AF188" i="22"/>
  <c r="CT188" i="22" s="1"/>
  <c r="S188" i="22" s="1"/>
  <c r="CY188" i="22" s="1"/>
  <c r="X188" i="22" s="1"/>
  <c r="AE188" i="22"/>
  <c r="CS188" i="22" s="1"/>
  <c r="R188" i="22" s="1"/>
  <c r="AC188" i="22"/>
  <c r="CQ188" i="22" s="1"/>
  <c r="P188" i="22" s="1"/>
  <c r="D188" i="22"/>
  <c r="C188" i="22"/>
  <c r="GV187" i="22"/>
  <c r="HC187" i="22" s="1"/>
  <c r="GX187" i="22" s="1"/>
  <c r="GO187" i="22"/>
  <c r="GN187" i="22"/>
  <c r="GL187" i="22"/>
  <c r="FR187" i="22"/>
  <c r="CV187" i="22"/>
  <c r="U187" i="22" s="1"/>
  <c r="AJ187" i="22"/>
  <c r="CX187" i="22" s="1"/>
  <c r="AI187" i="22"/>
  <c r="CW187" i="22" s="1"/>
  <c r="V187" i="22" s="1"/>
  <c r="AH187" i="22"/>
  <c r="AG187" i="22"/>
  <c r="CU187" i="22" s="1"/>
  <c r="T187" i="22" s="1"/>
  <c r="AF187" i="22"/>
  <c r="AE187" i="22"/>
  <c r="AC187" i="22"/>
  <c r="CQ187" i="22" s="1"/>
  <c r="P187" i="22" s="1"/>
  <c r="W187" i="22"/>
  <c r="D187" i="22"/>
  <c r="C187" i="22"/>
  <c r="GV186" i="22"/>
  <c r="HC186" i="22" s="1"/>
  <c r="GX186" i="22" s="1"/>
  <c r="GO186" i="22"/>
  <c r="GN186" i="22"/>
  <c r="GL186" i="22"/>
  <c r="FR186" i="22"/>
  <c r="CX186" i="22"/>
  <c r="W186" i="22" s="1"/>
  <c r="AJ186" i="22"/>
  <c r="AI186" i="22"/>
  <c r="CW186" i="22" s="1"/>
  <c r="V186" i="22" s="1"/>
  <c r="AH186" i="22"/>
  <c r="CV186" i="22" s="1"/>
  <c r="U186" i="22" s="1"/>
  <c r="AG186" i="22"/>
  <c r="CU186" i="22" s="1"/>
  <c r="T186" i="22" s="1"/>
  <c r="AF186" i="22"/>
  <c r="AE186" i="22"/>
  <c r="CS186" i="22" s="1"/>
  <c r="AD186" i="22"/>
  <c r="AC186" i="22"/>
  <c r="CQ186" i="22" s="1"/>
  <c r="R186" i="22"/>
  <c r="GK186" i="22" s="1"/>
  <c r="P186" i="22"/>
  <c r="D186" i="22"/>
  <c r="C186" i="22"/>
  <c r="HC185" i="22"/>
  <c r="GV185" i="22"/>
  <c r="GO185" i="22"/>
  <c r="GN185" i="22"/>
  <c r="GL185" i="22"/>
  <c r="FR185" i="22"/>
  <c r="BY205" i="22" s="1"/>
  <c r="CX185" i="22"/>
  <c r="W185" i="22" s="1"/>
  <c r="CR185" i="22"/>
  <c r="AJ185" i="22"/>
  <c r="AI185" i="22"/>
  <c r="CW185" i="22" s="1"/>
  <c r="AH185" i="22"/>
  <c r="CV185" i="22" s="1"/>
  <c r="U185" i="22" s="1"/>
  <c r="AG185" i="22"/>
  <c r="CU185" i="22" s="1"/>
  <c r="T185" i="22" s="1"/>
  <c r="AF185" i="22"/>
  <c r="CT185" i="22" s="1"/>
  <c r="S185" i="22" s="1"/>
  <c r="AE185" i="22"/>
  <c r="AD185" i="22" s="1"/>
  <c r="AC185" i="22"/>
  <c r="CQ185" i="22" s="1"/>
  <c r="K185" i="22"/>
  <c r="I185" i="22"/>
  <c r="D46" i="19" s="1"/>
  <c r="D185" i="22"/>
  <c r="C185" i="22"/>
  <c r="GV184" i="22"/>
  <c r="HC184" i="22" s="1"/>
  <c r="GO184" i="22"/>
  <c r="GN184" i="22"/>
  <c r="GL184" i="22"/>
  <c r="FR184" i="22"/>
  <c r="AJ184" i="22"/>
  <c r="CX184" i="22" s="1"/>
  <c r="AI184" i="22"/>
  <c r="CW184" i="22" s="1"/>
  <c r="V184" i="22" s="1"/>
  <c r="AH184" i="22"/>
  <c r="CV184" i="22" s="1"/>
  <c r="U184" i="22" s="1"/>
  <c r="AG184" i="22"/>
  <c r="CU184" i="22" s="1"/>
  <c r="AF184" i="22"/>
  <c r="CT184" i="22" s="1"/>
  <c r="S184" i="22" s="1"/>
  <c r="AE184" i="22"/>
  <c r="CS184" i="22" s="1"/>
  <c r="AD184" i="22"/>
  <c r="AC184" i="22"/>
  <c r="CQ184" i="22" s="1"/>
  <c r="P184" i="22" s="1"/>
  <c r="R184" i="22"/>
  <c r="GK184" i="22" s="1"/>
  <c r="K184" i="22"/>
  <c r="I184" i="22"/>
  <c r="D184" i="22"/>
  <c r="C184" i="22"/>
  <c r="GX182" i="22"/>
  <c r="GW182" i="22"/>
  <c r="GV182" i="22"/>
  <c r="GU182" i="22"/>
  <c r="GT182" i="22"/>
  <c r="GS182" i="22"/>
  <c r="GR182" i="22"/>
  <c r="GQ182" i="22"/>
  <c r="GP182" i="22"/>
  <c r="GO182" i="22"/>
  <c r="GN182" i="22"/>
  <c r="GM182" i="22"/>
  <c r="GL182" i="22"/>
  <c r="GK182" i="22"/>
  <c r="GJ182" i="22"/>
  <c r="GI182" i="22"/>
  <c r="GH182" i="22"/>
  <c r="GG182" i="22"/>
  <c r="GF182" i="22"/>
  <c r="GE182" i="22"/>
  <c r="GD182" i="22"/>
  <c r="GC182" i="22"/>
  <c r="GB182" i="22"/>
  <c r="GA182" i="22"/>
  <c r="FZ182" i="22"/>
  <c r="FY182" i="22"/>
  <c r="FX182" i="22"/>
  <c r="FW182" i="22"/>
  <c r="FV182" i="22"/>
  <c r="FU182" i="22"/>
  <c r="FT182" i="22"/>
  <c r="FS182" i="22"/>
  <c r="FR182" i="22"/>
  <c r="FQ182" i="22"/>
  <c r="FP182" i="22"/>
  <c r="FO182" i="22"/>
  <c r="FN182" i="22"/>
  <c r="FM182" i="22"/>
  <c r="FL182" i="22"/>
  <c r="FK182" i="22"/>
  <c r="FJ182" i="22"/>
  <c r="FI182" i="22"/>
  <c r="FH182" i="22"/>
  <c r="FG182" i="22"/>
  <c r="FF182" i="22"/>
  <c r="FE182" i="22"/>
  <c r="FD182" i="22"/>
  <c r="FC182" i="22"/>
  <c r="FB182" i="22"/>
  <c r="FA182" i="22"/>
  <c r="EZ182" i="22"/>
  <c r="EY182" i="22"/>
  <c r="EX182" i="22"/>
  <c r="EW182" i="22"/>
  <c r="EV182" i="22"/>
  <c r="EU182" i="22"/>
  <c r="ET182" i="22"/>
  <c r="ES182" i="22"/>
  <c r="ER182" i="22"/>
  <c r="EQ182" i="22"/>
  <c r="EP182" i="22"/>
  <c r="EO182" i="22"/>
  <c r="EN182" i="22"/>
  <c r="EM182" i="22"/>
  <c r="EL182" i="22"/>
  <c r="EK182" i="22"/>
  <c r="EJ182" i="22"/>
  <c r="EI182" i="22"/>
  <c r="EH182" i="22"/>
  <c r="EG182" i="22"/>
  <c r="EF182" i="22"/>
  <c r="EE182" i="22"/>
  <c r="ED182" i="22"/>
  <c r="EC182" i="22"/>
  <c r="EB182" i="22"/>
  <c r="EA182" i="22"/>
  <c r="DZ182" i="22"/>
  <c r="DY182" i="22"/>
  <c r="DX182" i="22"/>
  <c r="DW182" i="22"/>
  <c r="DV182" i="22"/>
  <c r="DU182" i="22"/>
  <c r="DT182" i="22"/>
  <c r="DS182" i="22"/>
  <c r="DR182" i="22"/>
  <c r="DQ182" i="22"/>
  <c r="DP182" i="22"/>
  <c r="DO182" i="22"/>
  <c r="DN182" i="22"/>
  <c r="DM182" i="22"/>
  <c r="DL182" i="22"/>
  <c r="DK182" i="22"/>
  <c r="DJ182" i="22"/>
  <c r="DI182" i="22"/>
  <c r="DH182" i="22"/>
  <c r="DG182" i="22"/>
  <c r="DF182" i="22"/>
  <c r="DE182" i="22"/>
  <c r="DD182" i="22"/>
  <c r="DC182" i="22"/>
  <c r="DB182" i="22"/>
  <c r="DA182" i="22"/>
  <c r="CZ182" i="22"/>
  <c r="CY182" i="22"/>
  <c r="CX182" i="22"/>
  <c r="CW182" i="22"/>
  <c r="CV182" i="22"/>
  <c r="CU182" i="22"/>
  <c r="CT182" i="22"/>
  <c r="CS182" i="22"/>
  <c r="CR182" i="22"/>
  <c r="CQ182" i="22"/>
  <c r="CP182" i="22"/>
  <c r="CO182" i="22"/>
  <c r="CN182" i="22"/>
  <c r="CL182" i="22"/>
  <c r="CK182" i="22"/>
  <c r="BW182" i="22"/>
  <c r="BV182" i="22"/>
  <c r="BU182" i="22"/>
  <c r="BT182" i="22"/>
  <c r="BS182" i="22"/>
  <c r="BR182" i="22"/>
  <c r="BQ182" i="22"/>
  <c r="BP182" i="22"/>
  <c r="BO182" i="22"/>
  <c r="BN182" i="22"/>
  <c r="BM182" i="22"/>
  <c r="BL182" i="22"/>
  <c r="BK182" i="22"/>
  <c r="BJ182" i="22"/>
  <c r="BI182" i="22"/>
  <c r="BH182" i="22"/>
  <c r="BG182" i="22"/>
  <c r="BF182" i="22"/>
  <c r="BE182" i="22"/>
  <c r="BC182" i="22"/>
  <c r="BB182" i="22"/>
  <c r="AN182" i="22"/>
  <c r="AM182" i="22"/>
  <c r="AA182" i="22"/>
  <c r="Z182" i="22"/>
  <c r="G182" i="22"/>
  <c r="A50" i="21" s="1"/>
  <c r="F182" i="22"/>
  <c r="E182" i="22"/>
  <c r="D182" i="22"/>
  <c r="D180" i="22"/>
  <c r="F144" i="22"/>
  <c r="CM140" i="22"/>
  <c r="BD140" i="22" s="1"/>
  <c r="F165" i="22" s="1"/>
  <c r="CL140" i="22"/>
  <c r="CL135" i="22" s="1"/>
  <c r="CK140" i="22"/>
  <c r="BX140" i="22"/>
  <c r="BB140" i="22"/>
  <c r="AO140" i="22"/>
  <c r="AO135" i="22" s="1"/>
  <c r="G140" i="22"/>
  <c r="G135" i="22" s="1"/>
  <c r="F140" i="22"/>
  <c r="D140" i="22"/>
  <c r="C140" i="22"/>
  <c r="B140" i="22"/>
  <c r="HC138" i="22"/>
  <c r="GX138" i="22" s="1"/>
  <c r="GV138" i="22"/>
  <c r="GO138" i="22"/>
  <c r="GN138" i="22"/>
  <c r="GL138" i="22"/>
  <c r="FR138" i="22"/>
  <c r="CW138" i="22"/>
  <c r="V138" i="22" s="1"/>
  <c r="CV138" i="22"/>
  <c r="U138" i="22" s="1"/>
  <c r="AH140" i="22" s="1"/>
  <c r="AJ138" i="22"/>
  <c r="CX138" i="22" s="1"/>
  <c r="W138" i="22" s="1"/>
  <c r="AI138" i="22"/>
  <c r="AH138" i="22"/>
  <c r="AG138" i="22"/>
  <c r="CU138" i="22" s="1"/>
  <c r="T138" i="22" s="1"/>
  <c r="AF138" i="22"/>
  <c r="AE138" i="22"/>
  <c r="CR138" i="22" s="1"/>
  <c r="Q138" i="22" s="1"/>
  <c r="AC138" i="22"/>
  <c r="CQ138" i="22" s="1"/>
  <c r="P138" i="22" s="1"/>
  <c r="GV137" i="22"/>
  <c r="HC137" i="22" s="1"/>
  <c r="GX137" i="22" s="1"/>
  <c r="GO137" i="22"/>
  <c r="GN137" i="22"/>
  <c r="CB140" i="22" s="1"/>
  <c r="GL137" i="22"/>
  <c r="BZ140" i="22" s="1"/>
  <c r="GK137" i="22"/>
  <c r="FR137" i="22"/>
  <c r="BY140" i="22" s="1"/>
  <c r="AJ137" i="22"/>
  <c r="CX137" i="22" s="1"/>
  <c r="W137" i="22" s="1"/>
  <c r="AI137" i="22"/>
  <c r="CW137" i="22" s="1"/>
  <c r="V137" i="22" s="1"/>
  <c r="AH137" i="22"/>
  <c r="CV137" i="22" s="1"/>
  <c r="U137" i="22" s="1"/>
  <c r="AG137" i="22"/>
  <c r="CU137" i="22" s="1"/>
  <c r="T137" i="22" s="1"/>
  <c r="AG140" i="22" s="1"/>
  <c r="AF137" i="22"/>
  <c r="CT137" i="22" s="1"/>
  <c r="S137" i="22" s="1"/>
  <c r="AE137" i="22"/>
  <c r="CS137" i="22" s="1"/>
  <c r="R137" i="22" s="1"/>
  <c r="AC137" i="22"/>
  <c r="CQ137" i="22" s="1"/>
  <c r="P137" i="22"/>
  <c r="GX135" i="22"/>
  <c r="GW135" i="22"/>
  <c r="GV135" i="22"/>
  <c r="GU135" i="22"/>
  <c r="GT135" i="22"/>
  <c r="GS135" i="22"/>
  <c r="GR135" i="22"/>
  <c r="GQ135" i="22"/>
  <c r="GP135" i="22"/>
  <c r="GO135" i="22"/>
  <c r="GN135" i="22"/>
  <c r="GM135" i="22"/>
  <c r="GL135" i="22"/>
  <c r="GK135" i="22"/>
  <c r="GJ135" i="22"/>
  <c r="GI135" i="22"/>
  <c r="GH135" i="22"/>
  <c r="GG135" i="22"/>
  <c r="GF135" i="22"/>
  <c r="GE135" i="22"/>
  <c r="GD135" i="22"/>
  <c r="GC135" i="22"/>
  <c r="GB135" i="22"/>
  <c r="GA135" i="22"/>
  <c r="FZ135" i="22"/>
  <c r="FY135" i="22"/>
  <c r="FX135" i="22"/>
  <c r="FW135" i="22"/>
  <c r="FV135" i="22"/>
  <c r="FU135" i="22"/>
  <c r="FT135" i="22"/>
  <c r="FS135" i="22"/>
  <c r="FR135" i="22"/>
  <c r="FQ135" i="22"/>
  <c r="FP135" i="22"/>
  <c r="FO135" i="22"/>
  <c r="FN135" i="22"/>
  <c r="FM135" i="22"/>
  <c r="FL135" i="22"/>
  <c r="FK135" i="22"/>
  <c r="FJ135" i="22"/>
  <c r="FI135" i="22"/>
  <c r="FH135" i="22"/>
  <c r="FG135" i="22"/>
  <c r="FF135" i="22"/>
  <c r="FE135" i="22"/>
  <c r="FD135" i="22"/>
  <c r="FC135" i="22"/>
  <c r="FB135" i="22"/>
  <c r="FA135" i="22"/>
  <c r="EZ135" i="22"/>
  <c r="EY135" i="22"/>
  <c r="EX135" i="22"/>
  <c r="EW135" i="22"/>
  <c r="EV135" i="22"/>
  <c r="EU135" i="22"/>
  <c r="ET135" i="22"/>
  <c r="ES135" i="22"/>
  <c r="ER135" i="22"/>
  <c r="EQ135" i="22"/>
  <c r="EP135" i="22"/>
  <c r="EO135" i="22"/>
  <c r="EN135" i="22"/>
  <c r="EM135" i="22"/>
  <c r="EL135" i="22"/>
  <c r="EK135" i="22"/>
  <c r="EJ135" i="22"/>
  <c r="EI135" i="22"/>
  <c r="EH135" i="22"/>
  <c r="EG135" i="22"/>
  <c r="EF135" i="22"/>
  <c r="EE135" i="22"/>
  <c r="ED135" i="22"/>
  <c r="EC135" i="22"/>
  <c r="EB135" i="22"/>
  <c r="EA135" i="22"/>
  <c r="DZ135" i="22"/>
  <c r="DY135" i="22"/>
  <c r="DX135" i="22"/>
  <c r="DW135" i="22"/>
  <c r="DV135" i="22"/>
  <c r="DU135" i="22"/>
  <c r="DT135" i="22"/>
  <c r="DS135" i="22"/>
  <c r="DR135" i="22"/>
  <c r="DQ135" i="22"/>
  <c r="DP135" i="22"/>
  <c r="DO135" i="22"/>
  <c r="DN135" i="22"/>
  <c r="DM135" i="22"/>
  <c r="DL135" i="22"/>
  <c r="DK135" i="22"/>
  <c r="DJ135" i="22"/>
  <c r="DI135" i="22"/>
  <c r="DH135" i="22"/>
  <c r="DG135" i="22"/>
  <c r="DF135" i="22"/>
  <c r="DE135" i="22"/>
  <c r="DD135" i="22"/>
  <c r="DC135" i="22"/>
  <c r="DB135" i="22"/>
  <c r="DA135" i="22"/>
  <c r="CZ135" i="22"/>
  <c r="CY135" i="22"/>
  <c r="CX135" i="22"/>
  <c r="CW135" i="22"/>
  <c r="CV135" i="22"/>
  <c r="CU135" i="22"/>
  <c r="CT135" i="22"/>
  <c r="CS135" i="22"/>
  <c r="CR135" i="22"/>
  <c r="CQ135" i="22"/>
  <c r="CP135" i="22"/>
  <c r="CO135" i="22"/>
  <c r="CN135" i="22"/>
  <c r="CK135" i="22"/>
  <c r="BX135" i="22"/>
  <c r="BW135" i="22"/>
  <c r="BV135" i="22"/>
  <c r="BU135" i="22"/>
  <c r="BT135" i="22"/>
  <c r="BS135" i="22"/>
  <c r="BR135" i="22"/>
  <c r="BQ135" i="22"/>
  <c r="BP135" i="22"/>
  <c r="BO135" i="22"/>
  <c r="BN135" i="22"/>
  <c r="BM135" i="22"/>
  <c r="BL135" i="22"/>
  <c r="BK135" i="22"/>
  <c r="BJ135" i="22"/>
  <c r="BI135" i="22"/>
  <c r="BH135" i="22"/>
  <c r="BG135" i="22"/>
  <c r="BF135" i="22"/>
  <c r="BE135" i="22"/>
  <c r="AN135" i="22"/>
  <c r="AM135" i="22"/>
  <c r="AA135" i="22"/>
  <c r="Z135" i="22"/>
  <c r="F135" i="22"/>
  <c r="E135" i="22"/>
  <c r="D135" i="22"/>
  <c r="C135" i="22"/>
  <c r="B135" i="22"/>
  <c r="D133" i="22"/>
  <c r="CM93" i="22"/>
  <c r="CL93" i="22"/>
  <c r="CK93" i="22"/>
  <c r="BX93" i="22"/>
  <c r="BC93" i="22"/>
  <c r="BB93" i="22"/>
  <c r="F106" i="22" s="1"/>
  <c r="G93" i="22"/>
  <c r="G82" i="22" s="1"/>
  <c r="F93" i="22"/>
  <c r="F82" i="22" s="1"/>
  <c r="D93" i="22"/>
  <c r="D82" i="22" s="1"/>
  <c r="C93" i="22"/>
  <c r="B93" i="22"/>
  <c r="GV91" i="22"/>
  <c r="HC91" i="22" s="1"/>
  <c r="GO91" i="22"/>
  <c r="GN91" i="22"/>
  <c r="GL91" i="22"/>
  <c r="FR91" i="22"/>
  <c r="CS91" i="22"/>
  <c r="AJ91" i="22"/>
  <c r="CX91" i="22" s="1"/>
  <c r="W91" i="22" s="1"/>
  <c r="AI91" i="22"/>
  <c r="CW91" i="22" s="1"/>
  <c r="V91" i="22" s="1"/>
  <c r="AH91" i="22"/>
  <c r="CV91" i="22" s="1"/>
  <c r="AG91" i="22"/>
  <c r="CU91" i="22" s="1"/>
  <c r="AF91" i="22"/>
  <c r="CT91" i="22" s="1"/>
  <c r="AE91" i="22"/>
  <c r="AC91" i="22"/>
  <c r="CQ91" i="22" s="1"/>
  <c r="K91" i="22"/>
  <c r="I91" i="22"/>
  <c r="D40" i="19" s="1"/>
  <c r="D91" i="22"/>
  <c r="C91" i="22"/>
  <c r="HC90" i="22"/>
  <c r="GV90" i="22"/>
  <c r="GO90" i="22"/>
  <c r="GN90" i="22"/>
  <c r="GL90" i="22"/>
  <c r="FR90" i="22"/>
  <c r="CW90" i="22"/>
  <c r="AJ90" i="22"/>
  <c r="CX90" i="22" s="1"/>
  <c r="AI90" i="22"/>
  <c r="AH90" i="22"/>
  <c r="CV90" i="22" s="1"/>
  <c r="AG90" i="22"/>
  <c r="CU90" i="22" s="1"/>
  <c r="AF90" i="22"/>
  <c r="CT90" i="22" s="1"/>
  <c r="AE90" i="22"/>
  <c r="CS90" i="22" s="1"/>
  <c r="AC90" i="22"/>
  <c r="CQ90" i="22" s="1"/>
  <c r="GV89" i="22"/>
  <c r="HC89" i="22" s="1"/>
  <c r="GX89" i="22" s="1"/>
  <c r="GO89" i="22"/>
  <c r="GN89" i="22"/>
  <c r="GL89" i="22"/>
  <c r="FR89" i="22"/>
  <c r="CW89" i="22"/>
  <c r="V89" i="22" s="1"/>
  <c r="CV89" i="22"/>
  <c r="U89" i="22" s="1"/>
  <c r="CT89" i="22"/>
  <c r="S89" i="22" s="1"/>
  <c r="AJ89" i="22"/>
  <c r="CX89" i="22" s="1"/>
  <c r="AI89" i="22"/>
  <c r="AH89" i="22"/>
  <c r="AG89" i="22"/>
  <c r="CU89" i="22" s="1"/>
  <c r="T89" i="22" s="1"/>
  <c r="AF89" i="22"/>
  <c r="AE89" i="22"/>
  <c r="AC89" i="22"/>
  <c r="CQ89" i="22" s="1"/>
  <c r="P89" i="22" s="1"/>
  <c r="K89" i="22"/>
  <c r="I89" i="22"/>
  <c r="D89" i="22"/>
  <c r="C89" i="22"/>
  <c r="GV88" i="22"/>
  <c r="HC88" i="22" s="1"/>
  <c r="GX88" i="22" s="1"/>
  <c r="GO88" i="22"/>
  <c r="GN88" i="22"/>
  <c r="GL88" i="22"/>
  <c r="FR88" i="22"/>
  <c r="CU88" i="22"/>
  <c r="T88" i="22" s="1"/>
  <c r="CS88" i="22"/>
  <c r="R88" i="22" s="1"/>
  <c r="AJ88" i="22"/>
  <c r="CX88" i="22" s="1"/>
  <c r="W88" i="22" s="1"/>
  <c r="AI88" i="22"/>
  <c r="CW88" i="22" s="1"/>
  <c r="V88" i="22" s="1"/>
  <c r="AH88" i="22"/>
  <c r="CV88" i="22" s="1"/>
  <c r="U88" i="22" s="1"/>
  <c r="AG88" i="22"/>
  <c r="AF88" i="22"/>
  <c r="CT88" i="22" s="1"/>
  <c r="S88" i="22" s="1"/>
  <c r="AE88" i="22"/>
  <c r="AD88" i="22" s="1"/>
  <c r="AC88" i="22"/>
  <c r="CQ88" i="22" s="1"/>
  <c r="P88" i="22" s="1"/>
  <c r="D88" i="22"/>
  <c r="C88" i="22"/>
  <c r="GV87" i="22"/>
  <c r="HC87" i="22" s="1"/>
  <c r="GX87" i="22" s="1"/>
  <c r="GO87" i="22"/>
  <c r="GN87" i="22"/>
  <c r="GL87" i="22"/>
  <c r="FR87" i="22"/>
  <c r="CW87" i="22"/>
  <c r="V87" i="22" s="1"/>
  <c r="CU87" i="22"/>
  <c r="T87" i="22" s="1"/>
  <c r="CT87" i="22"/>
  <c r="S87" i="22" s="1"/>
  <c r="AJ87" i="22"/>
  <c r="CX87" i="22" s="1"/>
  <c r="AI87" i="22"/>
  <c r="AH87" i="22"/>
  <c r="CV87" i="22" s="1"/>
  <c r="U87" i="22" s="1"/>
  <c r="AG87" i="22"/>
  <c r="AF87" i="22"/>
  <c r="AE87" i="22"/>
  <c r="CS87" i="22" s="1"/>
  <c r="R87" i="22" s="1"/>
  <c r="AD87" i="22"/>
  <c r="AB87" i="22" s="1"/>
  <c r="AC87" i="22"/>
  <c r="CQ87" i="22" s="1"/>
  <c r="P87" i="22" s="1"/>
  <c r="W87" i="22"/>
  <c r="D87" i="22"/>
  <c r="C87" i="22"/>
  <c r="GV86" i="22"/>
  <c r="HC86" i="22" s="1"/>
  <c r="GX86" i="22" s="1"/>
  <c r="GO86" i="22"/>
  <c r="GN86" i="22"/>
  <c r="GL86" i="22"/>
  <c r="FR86" i="22"/>
  <c r="CT86" i="22"/>
  <c r="AJ86" i="22"/>
  <c r="CX86" i="22" s="1"/>
  <c r="AI86" i="22"/>
  <c r="CW86" i="22" s="1"/>
  <c r="V86" i="22" s="1"/>
  <c r="AH86" i="22"/>
  <c r="CV86" i="22" s="1"/>
  <c r="U86" i="22" s="1"/>
  <c r="AG86" i="22"/>
  <c r="CU86" i="22" s="1"/>
  <c r="AF86" i="22"/>
  <c r="AE86" i="22"/>
  <c r="CS86" i="22" s="1"/>
  <c r="AC86" i="22"/>
  <c r="CQ86" i="22" s="1"/>
  <c r="I86" i="22"/>
  <c r="E34" i="20" s="1"/>
  <c r="GV85" i="22"/>
  <c r="HC85" i="22" s="1"/>
  <c r="GX85" i="22" s="1"/>
  <c r="GO85" i="22"/>
  <c r="GN85" i="22"/>
  <c r="GL85" i="22"/>
  <c r="FR85" i="22"/>
  <c r="CV85" i="22"/>
  <c r="U85" i="22" s="1"/>
  <c r="CR85" i="22"/>
  <c r="Q85" i="22" s="1"/>
  <c r="AJ85" i="22"/>
  <c r="CX85" i="22" s="1"/>
  <c r="AI85" i="22"/>
  <c r="CW85" i="22" s="1"/>
  <c r="V85" i="22" s="1"/>
  <c r="AH85" i="22"/>
  <c r="AG85" i="22"/>
  <c r="CU85" i="22" s="1"/>
  <c r="T85" i="22" s="1"/>
  <c r="AF85" i="22"/>
  <c r="AE85" i="22"/>
  <c r="CS85" i="22" s="1"/>
  <c r="R85" i="22" s="1"/>
  <c r="GK85" i="22" s="1"/>
  <c r="AD85" i="22"/>
  <c r="AC85" i="22"/>
  <c r="CQ85" i="22" s="1"/>
  <c r="P85" i="22" s="1"/>
  <c r="I85" i="22"/>
  <c r="GV84" i="22"/>
  <c r="HC84" i="22" s="1"/>
  <c r="GX84" i="22" s="1"/>
  <c r="GO84" i="22"/>
  <c r="GN84" i="22"/>
  <c r="GL84" i="22"/>
  <c r="FR84" i="22"/>
  <c r="CV84" i="22"/>
  <c r="U84" i="22" s="1"/>
  <c r="CT84" i="22"/>
  <c r="S84" i="22" s="1"/>
  <c r="CS84" i="22"/>
  <c r="R84" i="22" s="1"/>
  <c r="GK84" i="22" s="1"/>
  <c r="AJ84" i="22"/>
  <c r="CX84" i="22" s="1"/>
  <c r="AI84" i="22"/>
  <c r="CW84" i="22" s="1"/>
  <c r="V84" i="22" s="1"/>
  <c r="AH84" i="22"/>
  <c r="AG84" i="22"/>
  <c r="CU84" i="22" s="1"/>
  <c r="T84" i="22" s="1"/>
  <c r="AF84" i="22"/>
  <c r="AE84" i="22"/>
  <c r="CR84" i="22" s="1"/>
  <c r="Q84" i="22" s="1"/>
  <c r="AD84" i="22"/>
  <c r="AC84" i="22"/>
  <c r="W84" i="22"/>
  <c r="D84" i="22"/>
  <c r="C84" i="22"/>
  <c r="GX82" i="22"/>
  <c r="GW82" i="22"/>
  <c r="GV82" i="22"/>
  <c r="GU82" i="22"/>
  <c r="GT82" i="22"/>
  <c r="GS82" i="22"/>
  <c r="GR82" i="22"/>
  <c r="GQ82" i="22"/>
  <c r="GP82" i="22"/>
  <c r="GO82" i="22"/>
  <c r="GN82" i="22"/>
  <c r="GM82" i="22"/>
  <c r="GL82" i="22"/>
  <c r="GK82" i="22"/>
  <c r="GJ82" i="22"/>
  <c r="GI82" i="22"/>
  <c r="GH82" i="22"/>
  <c r="GG82" i="22"/>
  <c r="GF82" i="22"/>
  <c r="GE82" i="22"/>
  <c r="GD82" i="22"/>
  <c r="GC82" i="22"/>
  <c r="GB82" i="22"/>
  <c r="GA82" i="22"/>
  <c r="FZ82" i="22"/>
  <c r="FY82" i="22"/>
  <c r="FX82" i="22"/>
  <c r="FW82" i="22"/>
  <c r="FV82" i="22"/>
  <c r="FU82" i="22"/>
  <c r="FT82" i="22"/>
  <c r="FS82" i="22"/>
  <c r="FR82" i="22"/>
  <c r="FQ82" i="22"/>
  <c r="FP82" i="22"/>
  <c r="FO82" i="22"/>
  <c r="FN82" i="22"/>
  <c r="FM82" i="22"/>
  <c r="FL82" i="22"/>
  <c r="FK82" i="22"/>
  <c r="FJ82" i="22"/>
  <c r="FI82" i="22"/>
  <c r="FH82" i="22"/>
  <c r="FG82" i="22"/>
  <c r="FF82" i="22"/>
  <c r="FE82" i="22"/>
  <c r="FD82" i="22"/>
  <c r="FC82" i="22"/>
  <c r="FB82" i="22"/>
  <c r="FA82" i="22"/>
  <c r="EZ82" i="22"/>
  <c r="EY82" i="22"/>
  <c r="EX82" i="22"/>
  <c r="EW82" i="22"/>
  <c r="EV82" i="22"/>
  <c r="EU82" i="22"/>
  <c r="ET82" i="22"/>
  <c r="ES82" i="22"/>
  <c r="ER82" i="22"/>
  <c r="EQ82" i="22"/>
  <c r="EP82" i="22"/>
  <c r="EO82" i="22"/>
  <c r="EN82" i="22"/>
  <c r="EM82" i="22"/>
  <c r="EL82" i="22"/>
  <c r="EK82" i="22"/>
  <c r="EJ82" i="22"/>
  <c r="EI82" i="22"/>
  <c r="EH82" i="22"/>
  <c r="EG82" i="22"/>
  <c r="EF82" i="22"/>
  <c r="EE82" i="22"/>
  <c r="ED82" i="22"/>
  <c r="EC82" i="22"/>
  <c r="EB82" i="22"/>
  <c r="EA82" i="22"/>
  <c r="DZ82" i="22"/>
  <c r="DY82" i="22"/>
  <c r="DX82" i="22"/>
  <c r="DW82" i="22"/>
  <c r="DV82" i="22"/>
  <c r="DU82" i="22"/>
  <c r="DT82" i="22"/>
  <c r="DS82" i="22"/>
  <c r="DR82" i="22"/>
  <c r="DQ82" i="22"/>
  <c r="DP82" i="22"/>
  <c r="DO82" i="22"/>
  <c r="DN82" i="22"/>
  <c r="DM82" i="22"/>
  <c r="DL82" i="22"/>
  <c r="DK82" i="22"/>
  <c r="DJ82" i="22"/>
  <c r="DI82" i="22"/>
  <c r="DH82" i="22"/>
  <c r="DG82" i="22"/>
  <c r="DF82" i="22"/>
  <c r="DE82" i="22"/>
  <c r="DD82" i="22"/>
  <c r="DC82" i="22"/>
  <c r="DB82" i="22"/>
  <c r="DA82" i="22"/>
  <c r="CZ82" i="22"/>
  <c r="CY82" i="22"/>
  <c r="CX82" i="22"/>
  <c r="CW82" i="22"/>
  <c r="CV82" i="22"/>
  <c r="CU82" i="22"/>
  <c r="CT82" i="22"/>
  <c r="CS82" i="22"/>
  <c r="CR82" i="22"/>
  <c r="CQ82" i="22"/>
  <c r="CP82" i="22"/>
  <c r="CO82" i="22"/>
  <c r="CN82" i="22"/>
  <c r="CL82" i="22"/>
  <c r="CK82" i="22"/>
  <c r="BW82" i="22"/>
  <c r="BV82" i="22"/>
  <c r="BU82" i="22"/>
  <c r="BT82" i="22"/>
  <c r="BS82" i="22"/>
  <c r="BR82" i="22"/>
  <c r="BQ82" i="22"/>
  <c r="BP82" i="22"/>
  <c r="BO82" i="22"/>
  <c r="BN82" i="22"/>
  <c r="BM82" i="22"/>
  <c r="BL82" i="22"/>
  <c r="BK82" i="22"/>
  <c r="BJ82" i="22"/>
  <c r="BI82" i="22"/>
  <c r="BH82" i="22"/>
  <c r="BG82" i="22"/>
  <c r="BF82" i="22"/>
  <c r="BE82" i="22"/>
  <c r="AN82" i="22"/>
  <c r="AM82" i="22"/>
  <c r="AA82" i="22"/>
  <c r="Z82" i="22"/>
  <c r="E82" i="22"/>
  <c r="C82" i="22"/>
  <c r="B82" i="22"/>
  <c r="D80" i="22"/>
  <c r="F56" i="22"/>
  <c r="F44" i="22"/>
  <c r="CM40" i="22"/>
  <c r="CL40" i="22"/>
  <c r="CK40" i="22"/>
  <c r="BB40" i="22" s="1"/>
  <c r="BX40" i="22"/>
  <c r="BD40" i="22"/>
  <c r="BD26" i="22" s="1"/>
  <c r="BC40" i="22"/>
  <c r="AO40" i="22"/>
  <c r="AO26" i="22" s="1"/>
  <c r="G40" i="22"/>
  <c r="G26" i="22" s="1"/>
  <c r="A9" i="21" s="1"/>
  <c r="F40" i="22"/>
  <c r="D40" i="22"/>
  <c r="C40" i="22"/>
  <c r="B40" i="22"/>
  <c r="GV38" i="22"/>
  <c r="HC38" i="22" s="1"/>
  <c r="GO38" i="22"/>
  <c r="GN38" i="22"/>
  <c r="GL38" i="22"/>
  <c r="FR38" i="22"/>
  <c r="AJ38" i="22"/>
  <c r="CX38" i="22" s="1"/>
  <c r="AI38" i="22"/>
  <c r="CW38" i="22" s="1"/>
  <c r="AH38" i="22"/>
  <c r="CV38" i="22" s="1"/>
  <c r="AG38" i="22"/>
  <c r="CU38" i="22" s="1"/>
  <c r="AF38" i="22"/>
  <c r="CT38" i="22" s="1"/>
  <c r="AE38" i="22"/>
  <c r="CR38" i="22" s="1"/>
  <c r="AC38" i="22"/>
  <c r="CQ38" i="22" s="1"/>
  <c r="GV37" i="22"/>
  <c r="HC37" i="22" s="1"/>
  <c r="GO37" i="22"/>
  <c r="GN37" i="22"/>
  <c r="GL37" i="22"/>
  <c r="FR37" i="22"/>
  <c r="AJ37" i="22"/>
  <c r="CX37" i="22" s="1"/>
  <c r="AI37" i="22"/>
  <c r="CW37" i="22" s="1"/>
  <c r="AH37" i="22"/>
  <c r="CV37" i="22" s="1"/>
  <c r="AG37" i="22"/>
  <c r="CU37" i="22" s="1"/>
  <c r="AF37" i="22"/>
  <c r="CT37" i="22" s="1"/>
  <c r="AE37" i="22"/>
  <c r="CS37" i="22" s="1"/>
  <c r="AC37" i="22"/>
  <c r="CQ37" i="22" s="1"/>
  <c r="GV36" i="22"/>
  <c r="HC36" i="22" s="1"/>
  <c r="GO36" i="22"/>
  <c r="GN36" i="22"/>
  <c r="GL36" i="22"/>
  <c r="FR36" i="22"/>
  <c r="AJ36" i="22"/>
  <c r="CX36" i="22" s="1"/>
  <c r="AI36" i="22"/>
  <c r="CW36" i="22" s="1"/>
  <c r="AH36" i="22"/>
  <c r="CV36" i="22" s="1"/>
  <c r="U36" i="22" s="1"/>
  <c r="AG36" i="22"/>
  <c r="CU36" i="22" s="1"/>
  <c r="AF36" i="22"/>
  <c r="CT36" i="22" s="1"/>
  <c r="AE36" i="22"/>
  <c r="CS36" i="22" s="1"/>
  <c r="AC36" i="22"/>
  <c r="CQ36" i="22" s="1"/>
  <c r="K36" i="22"/>
  <c r="I36" i="22"/>
  <c r="D36" i="22"/>
  <c r="C36" i="22"/>
  <c r="HC35" i="22"/>
  <c r="GX35" i="22"/>
  <c r="GV35" i="22"/>
  <c r="GO35" i="22"/>
  <c r="GN35" i="22"/>
  <c r="GL35" i="22"/>
  <c r="FR35" i="22"/>
  <c r="CX35" i="22"/>
  <c r="W35" i="22" s="1"/>
  <c r="CU35" i="22"/>
  <c r="T35" i="22" s="1"/>
  <c r="AJ35" i="22"/>
  <c r="AI35" i="22"/>
  <c r="CW35" i="22" s="1"/>
  <c r="AH35" i="22"/>
  <c r="CV35" i="22" s="1"/>
  <c r="U35" i="22" s="1"/>
  <c r="AG35" i="22"/>
  <c r="AF35" i="22"/>
  <c r="CT35" i="22" s="1"/>
  <c r="S35" i="22" s="1"/>
  <c r="CY35" i="22" s="1"/>
  <c r="X35" i="22" s="1"/>
  <c r="AE35" i="22"/>
  <c r="CR35" i="22" s="1"/>
  <c r="Q35" i="22" s="1"/>
  <c r="AC35" i="22"/>
  <c r="CQ35" i="22" s="1"/>
  <c r="P35" i="22" s="1"/>
  <c r="V35" i="22"/>
  <c r="D35" i="22"/>
  <c r="C35" i="22"/>
  <c r="GV34" i="22"/>
  <c r="HC34" i="22" s="1"/>
  <c r="GX34" i="22" s="1"/>
  <c r="GO34" i="22"/>
  <c r="GN34" i="22"/>
  <c r="GL34" i="22"/>
  <c r="FR34" i="22"/>
  <c r="CT34" i="22"/>
  <c r="S34" i="22" s="1"/>
  <c r="AJ34" i="22"/>
  <c r="CX34" i="22" s="1"/>
  <c r="W34" i="22" s="1"/>
  <c r="AI34" i="22"/>
  <c r="CW34" i="22" s="1"/>
  <c r="V34" i="22" s="1"/>
  <c r="AH34" i="22"/>
  <c r="CV34" i="22" s="1"/>
  <c r="U34" i="22" s="1"/>
  <c r="AG34" i="22"/>
  <c r="CU34" i="22" s="1"/>
  <c r="T34" i="22" s="1"/>
  <c r="AF34" i="22"/>
  <c r="AE34" i="22"/>
  <c r="CS34" i="22" s="1"/>
  <c r="AC34" i="22"/>
  <c r="CQ34" i="22" s="1"/>
  <c r="P34" i="22" s="1"/>
  <c r="R34" i="22"/>
  <c r="D34" i="22"/>
  <c r="C34" i="22"/>
  <c r="GV33" i="22"/>
  <c r="HC33" i="22" s="1"/>
  <c r="GO33" i="22"/>
  <c r="GN33" i="22"/>
  <c r="GL33" i="22"/>
  <c r="FR33" i="22"/>
  <c r="CX33" i="22"/>
  <c r="CW33" i="22"/>
  <c r="AJ33" i="22"/>
  <c r="AI33" i="22"/>
  <c r="AH33" i="22"/>
  <c r="CV33" i="22" s="1"/>
  <c r="AG33" i="22"/>
  <c r="CU33" i="22" s="1"/>
  <c r="AF33" i="22"/>
  <c r="CT33" i="22" s="1"/>
  <c r="AE33" i="22"/>
  <c r="AC33" i="22"/>
  <c r="CQ33" i="22" s="1"/>
  <c r="GV32" i="22"/>
  <c r="HC32" i="22" s="1"/>
  <c r="GO32" i="22"/>
  <c r="GN32" i="22"/>
  <c r="GL32" i="22"/>
  <c r="FR32" i="22"/>
  <c r="CT32" i="22"/>
  <c r="CR32" i="22"/>
  <c r="AJ32" i="22"/>
  <c r="CX32" i="22" s="1"/>
  <c r="AI32" i="22"/>
  <c r="CW32" i="22" s="1"/>
  <c r="AH32" i="22"/>
  <c r="CV32" i="22" s="1"/>
  <c r="AG32" i="22"/>
  <c r="CU32" i="22" s="1"/>
  <c r="AF32" i="22"/>
  <c r="AE32" i="22"/>
  <c r="CS32" i="22" s="1"/>
  <c r="AD32" i="22"/>
  <c r="AB32" i="22" s="1"/>
  <c r="AC32" i="22"/>
  <c r="CQ32" i="22" s="1"/>
  <c r="GV31" i="22"/>
  <c r="HC31" i="22" s="1"/>
  <c r="GO31" i="22"/>
  <c r="GN31" i="22"/>
  <c r="GL31" i="22"/>
  <c r="FR31" i="22"/>
  <c r="CV31" i="22"/>
  <c r="CS31" i="22"/>
  <c r="AJ31" i="22"/>
  <c r="CX31" i="22" s="1"/>
  <c r="AI31" i="22"/>
  <c r="CW31" i="22" s="1"/>
  <c r="AH31" i="22"/>
  <c r="AG31" i="22"/>
  <c r="CU31" i="22" s="1"/>
  <c r="AF31" i="22"/>
  <c r="CT31" i="22" s="1"/>
  <c r="AE31" i="22"/>
  <c r="CR31" i="22" s="1"/>
  <c r="AD31" i="22"/>
  <c r="AC31" i="22"/>
  <c r="AB31" i="22" s="1"/>
  <c r="HC30" i="22"/>
  <c r="GX30" i="22" s="1"/>
  <c r="GV30" i="22"/>
  <c r="GO30" i="22"/>
  <c r="GN30" i="22"/>
  <c r="GL30" i="22"/>
  <c r="FR30" i="22"/>
  <c r="CX30" i="22"/>
  <c r="W30" i="22" s="1"/>
  <c r="CU30" i="22"/>
  <c r="T30" i="22" s="1"/>
  <c r="AJ30" i="22"/>
  <c r="AI30" i="22"/>
  <c r="CW30" i="22" s="1"/>
  <c r="AH30" i="22"/>
  <c r="CV30" i="22" s="1"/>
  <c r="AG30" i="22"/>
  <c r="AF30" i="22"/>
  <c r="CT30" i="22" s="1"/>
  <c r="S30" i="22" s="1"/>
  <c r="AE30" i="22"/>
  <c r="CR30" i="22" s="1"/>
  <c r="Q30" i="22" s="1"/>
  <c r="AC30" i="22"/>
  <c r="CQ30" i="22" s="1"/>
  <c r="P30" i="22" s="1"/>
  <c r="K30" i="22"/>
  <c r="I30" i="22"/>
  <c r="D30" i="22"/>
  <c r="C30" i="22"/>
  <c r="GX29" i="22"/>
  <c r="GV29" i="22"/>
  <c r="HC29" i="22" s="1"/>
  <c r="GO29" i="22"/>
  <c r="GN29" i="22"/>
  <c r="GL29" i="22"/>
  <c r="FR29" i="22"/>
  <c r="CX29" i="22"/>
  <c r="W29" i="22" s="1"/>
  <c r="CU29" i="22"/>
  <c r="CS29" i="22"/>
  <c r="AJ29" i="22"/>
  <c r="AI29" i="22"/>
  <c r="CW29" i="22" s="1"/>
  <c r="AH29" i="22"/>
  <c r="CV29" i="22" s="1"/>
  <c r="U29" i="22" s="1"/>
  <c r="AG29" i="22"/>
  <c r="AF29" i="22"/>
  <c r="CT29" i="22" s="1"/>
  <c r="AE29" i="22"/>
  <c r="AC29" i="22"/>
  <c r="CQ29" i="22" s="1"/>
  <c r="P29" i="22" s="1"/>
  <c r="K29" i="22"/>
  <c r="I29" i="22"/>
  <c r="V29" i="22" s="1"/>
  <c r="D29" i="22"/>
  <c r="C29" i="22"/>
  <c r="GV28" i="22"/>
  <c r="HC28" i="22" s="1"/>
  <c r="GO28" i="22"/>
  <c r="GN28" i="22"/>
  <c r="GL28" i="22"/>
  <c r="FR28" i="22"/>
  <c r="AJ28" i="22"/>
  <c r="CX28" i="22" s="1"/>
  <c r="AI28" i="22"/>
  <c r="CW28" i="22" s="1"/>
  <c r="AH28" i="22"/>
  <c r="CV28" i="22" s="1"/>
  <c r="AG28" i="22"/>
  <c r="CU28" i="22" s="1"/>
  <c r="AF28" i="22"/>
  <c r="CT28" i="22" s="1"/>
  <c r="AE28" i="22"/>
  <c r="AD28" i="22" s="1"/>
  <c r="AC28" i="22"/>
  <c r="CQ28" i="22" s="1"/>
  <c r="K28" i="22"/>
  <c r="I28" i="22"/>
  <c r="D28" i="22"/>
  <c r="C28" i="22"/>
  <c r="GX26" i="22"/>
  <c r="GW26" i="22"/>
  <c r="GV26" i="22"/>
  <c r="GU26" i="22"/>
  <c r="GT26" i="22"/>
  <c r="GS26" i="22"/>
  <c r="GR26" i="22"/>
  <c r="GQ26" i="22"/>
  <c r="GP26" i="22"/>
  <c r="GO26" i="22"/>
  <c r="GN26" i="22"/>
  <c r="GM26" i="22"/>
  <c r="GL26" i="22"/>
  <c r="GK26" i="22"/>
  <c r="GJ26" i="22"/>
  <c r="GI26" i="22"/>
  <c r="GH26" i="22"/>
  <c r="GG26" i="22"/>
  <c r="GF26" i="22"/>
  <c r="GE26" i="22"/>
  <c r="GD26" i="22"/>
  <c r="GC26" i="22"/>
  <c r="GB26" i="22"/>
  <c r="GA26" i="22"/>
  <c r="FZ26" i="22"/>
  <c r="FY26" i="22"/>
  <c r="FX26" i="22"/>
  <c r="FW26" i="22"/>
  <c r="FV26" i="22"/>
  <c r="FU26" i="22"/>
  <c r="FT26" i="22"/>
  <c r="FS26" i="22"/>
  <c r="FR26" i="22"/>
  <c r="FQ26" i="22"/>
  <c r="FP26" i="22"/>
  <c r="FO26" i="22"/>
  <c r="FN26" i="22"/>
  <c r="FM26" i="22"/>
  <c r="FL26" i="22"/>
  <c r="FK26" i="22"/>
  <c r="FJ26" i="22"/>
  <c r="FI26" i="22"/>
  <c r="FH26" i="22"/>
  <c r="FG26" i="22"/>
  <c r="FF26" i="22"/>
  <c r="FE26" i="22"/>
  <c r="FD26" i="22"/>
  <c r="FC26" i="22"/>
  <c r="FB26" i="22"/>
  <c r="FA26" i="22"/>
  <c r="EZ26" i="22"/>
  <c r="EY26" i="22"/>
  <c r="EX26" i="22"/>
  <c r="EW26" i="22"/>
  <c r="EV26" i="22"/>
  <c r="EU26" i="22"/>
  <c r="ET26" i="22"/>
  <c r="ES26" i="22"/>
  <c r="ER26" i="22"/>
  <c r="EQ26" i="22"/>
  <c r="EP26" i="22"/>
  <c r="EO26" i="22"/>
  <c r="EN26" i="22"/>
  <c r="EM26" i="22"/>
  <c r="EL26" i="22"/>
  <c r="EK26" i="22"/>
  <c r="EJ26" i="22"/>
  <c r="EI26" i="22"/>
  <c r="EH26" i="22"/>
  <c r="EG26" i="22"/>
  <c r="EF26" i="22"/>
  <c r="EE26" i="22"/>
  <c r="ED26" i="22"/>
  <c r="EC26" i="22"/>
  <c r="EB26" i="22"/>
  <c r="EA26" i="22"/>
  <c r="DZ26" i="22"/>
  <c r="DY26" i="22"/>
  <c r="DX26" i="22"/>
  <c r="DW26" i="22"/>
  <c r="DV26" i="22"/>
  <c r="DU26" i="22"/>
  <c r="DT26" i="22"/>
  <c r="DS26" i="22"/>
  <c r="DR26" i="22"/>
  <c r="DQ26" i="22"/>
  <c r="DP26" i="22"/>
  <c r="DO26" i="22"/>
  <c r="DN26" i="22"/>
  <c r="DM26" i="22"/>
  <c r="DL26" i="22"/>
  <c r="DK26" i="22"/>
  <c r="DJ26" i="22"/>
  <c r="DI26" i="22"/>
  <c r="DH26" i="22"/>
  <c r="DG26" i="22"/>
  <c r="DF26" i="22"/>
  <c r="DE26" i="22"/>
  <c r="DD26" i="22"/>
  <c r="DC26" i="22"/>
  <c r="DB26" i="22"/>
  <c r="DA26" i="22"/>
  <c r="CZ26" i="22"/>
  <c r="CY26" i="22"/>
  <c r="CX26" i="22"/>
  <c r="CW26" i="22"/>
  <c r="CV26" i="22"/>
  <c r="CU26" i="22"/>
  <c r="CT26" i="22"/>
  <c r="CS26" i="22"/>
  <c r="CR26" i="22"/>
  <c r="CQ26" i="22"/>
  <c r="CP26" i="22"/>
  <c r="CO26" i="22"/>
  <c r="CN26" i="22"/>
  <c r="CM26" i="22"/>
  <c r="CL26" i="22"/>
  <c r="CK26" i="22"/>
  <c r="BX26" i="22"/>
  <c r="BW26" i="22"/>
  <c r="BV26" i="22"/>
  <c r="BU26" i="22"/>
  <c r="BT26" i="22"/>
  <c r="BS26" i="22"/>
  <c r="BR26" i="22"/>
  <c r="BQ26" i="22"/>
  <c r="BP26" i="22"/>
  <c r="BO26" i="22"/>
  <c r="BN26" i="22"/>
  <c r="BM26" i="22"/>
  <c r="BL26" i="22"/>
  <c r="BK26" i="22"/>
  <c r="BJ26" i="22"/>
  <c r="BI26" i="22"/>
  <c r="BH26" i="22"/>
  <c r="BG26" i="22"/>
  <c r="BF26" i="22"/>
  <c r="BE26" i="22"/>
  <c r="AN26" i="22"/>
  <c r="AM26" i="22"/>
  <c r="AA26" i="22"/>
  <c r="Z26" i="22"/>
  <c r="F26" i="22"/>
  <c r="E26" i="22"/>
  <c r="D26" i="22"/>
  <c r="C26" i="22"/>
  <c r="B26" i="22"/>
  <c r="D24" i="22"/>
  <c r="GX22" i="22"/>
  <c r="GW22" i="22"/>
  <c r="GV22" i="22"/>
  <c r="GU22" i="22"/>
  <c r="GT22" i="22"/>
  <c r="GS22" i="22"/>
  <c r="GR22" i="22"/>
  <c r="GQ22" i="22"/>
  <c r="GP22" i="22"/>
  <c r="GO22" i="22"/>
  <c r="GN22" i="22"/>
  <c r="GM22" i="22"/>
  <c r="GL22" i="22"/>
  <c r="GK22" i="22"/>
  <c r="GJ22" i="22"/>
  <c r="GI22" i="22"/>
  <c r="GH22" i="22"/>
  <c r="GG22" i="22"/>
  <c r="GF22" i="22"/>
  <c r="GE22" i="22"/>
  <c r="GD22" i="22"/>
  <c r="GC22" i="22"/>
  <c r="GB22" i="22"/>
  <c r="GA22" i="22"/>
  <c r="FZ22" i="22"/>
  <c r="FY22" i="22"/>
  <c r="FX22" i="22"/>
  <c r="FW22" i="22"/>
  <c r="FV22" i="22"/>
  <c r="FU22" i="22"/>
  <c r="FT22" i="22"/>
  <c r="FS22" i="22"/>
  <c r="FR22" i="22"/>
  <c r="FQ22" i="22"/>
  <c r="FP22" i="22"/>
  <c r="FO22" i="22"/>
  <c r="FN22" i="22"/>
  <c r="FM22" i="22"/>
  <c r="FL22" i="22"/>
  <c r="FK22" i="22"/>
  <c r="FJ22" i="22"/>
  <c r="FI22" i="22"/>
  <c r="FH22" i="22"/>
  <c r="FG22" i="22"/>
  <c r="FF22" i="22"/>
  <c r="FE22" i="22"/>
  <c r="FD22" i="22"/>
  <c r="FC22" i="22"/>
  <c r="FB22" i="22"/>
  <c r="FA22" i="22"/>
  <c r="EZ22" i="22"/>
  <c r="EY22" i="22"/>
  <c r="EX22" i="22"/>
  <c r="EW22" i="22"/>
  <c r="EV22" i="22"/>
  <c r="EU22" i="22"/>
  <c r="ET22" i="22"/>
  <c r="ES22" i="22"/>
  <c r="ER22" i="22"/>
  <c r="EQ22" i="22"/>
  <c r="EP22" i="22"/>
  <c r="EO22" i="22"/>
  <c r="EN22" i="22"/>
  <c r="EM22" i="22"/>
  <c r="EL22" i="22"/>
  <c r="EK22" i="22"/>
  <c r="EJ22" i="22"/>
  <c r="EI22" i="22"/>
  <c r="EH22" i="22"/>
  <c r="EG22" i="22"/>
  <c r="EF22" i="22"/>
  <c r="EE22" i="22"/>
  <c r="ED22" i="22"/>
  <c r="EC22" i="22"/>
  <c r="EB22" i="22"/>
  <c r="EA22" i="22"/>
  <c r="DZ22" i="22"/>
  <c r="DY22" i="22"/>
  <c r="DX22" i="22"/>
  <c r="DW22" i="22"/>
  <c r="DV22" i="22"/>
  <c r="DU22" i="22"/>
  <c r="DT22" i="22"/>
  <c r="DS22" i="22"/>
  <c r="DR22" i="22"/>
  <c r="DQ22" i="22"/>
  <c r="DP22" i="22"/>
  <c r="DO22" i="22"/>
  <c r="DN22" i="22"/>
  <c r="DM22" i="22"/>
  <c r="DL22" i="22"/>
  <c r="DK22" i="22"/>
  <c r="DJ22" i="22"/>
  <c r="DI22" i="22"/>
  <c r="DH22" i="22"/>
  <c r="DG22" i="22"/>
  <c r="DF22" i="22"/>
  <c r="DE22" i="22"/>
  <c r="DD22" i="22"/>
  <c r="DC22" i="22"/>
  <c r="DB22" i="22"/>
  <c r="DA22" i="22"/>
  <c r="CZ22" i="22"/>
  <c r="CY22" i="22"/>
  <c r="CX22" i="22"/>
  <c r="CW22" i="22"/>
  <c r="CV22" i="22"/>
  <c r="CU22" i="22"/>
  <c r="CT22" i="22"/>
  <c r="CS22" i="22"/>
  <c r="CR22" i="22"/>
  <c r="CQ22" i="22"/>
  <c r="CP22" i="22"/>
  <c r="CO22" i="22"/>
  <c r="CN22" i="22"/>
  <c r="CM22" i="22"/>
  <c r="CL22" i="22"/>
  <c r="CK22" i="22"/>
  <c r="CJ22" i="22"/>
  <c r="CI22" i="22"/>
  <c r="CH22" i="22"/>
  <c r="CG22" i="22"/>
  <c r="CF22" i="22"/>
  <c r="CE22" i="22"/>
  <c r="CD22" i="22"/>
  <c r="CC22" i="22"/>
  <c r="CB22" i="22"/>
  <c r="CA22" i="22"/>
  <c r="BZ22" i="22"/>
  <c r="BY22" i="22"/>
  <c r="BX22" i="22"/>
  <c r="BW22" i="22"/>
  <c r="BV22" i="22"/>
  <c r="BU22" i="22"/>
  <c r="BT22" i="22"/>
  <c r="BS22" i="22"/>
  <c r="BR22" i="22"/>
  <c r="BQ22" i="22"/>
  <c r="BP22" i="22"/>
  <c r="BO22" i="22"/>
  <c r="BN22" i="22"/>
  <c r="BM22" i="22"/>
  <c r="BL22" i="22"/>
  <c r="BK22" i="22"/>
  <c r="BJ22" i="22"/>
  <c r="BI22" i="22"/>
  <c r="BH22" i="22"/>
  <c r="BG22" i="22"/>
  <c r="BF22" i="22"/>
  <c r="BE22" i="22"/>
  <c r="AN22" i="22"/>
  <c r="AM22" i="22"/>
  <c r="AL22" i="22"/>
  <c r="AK22" i="22"/>
  <c r="AJ22" i="22"/>
  <c r="AI22" i="22"/>
  <c r="AH22" i="22"/>
  <c r="AG22" i="22"/>
  <c r="AF22" i="22"/>
  <c r="AE22" i="22"/>
  <c r="AD22" i="22"/>
  <c r="AC22" i="22"/>
  <c r="AB22" i="22"/>
  <c r="AA22" i="22"/>
  <c r="Z22" i="22"/>
  <c r="F22" i="22"/>
  <c r="E22" i="22"/>
  <c r="D22" i="22"/>
  <c r="C22" i="22"/>
  <c r="B22" i="22"/>
  <c r="D20" i="22"/>
  <c r="GX18" i="22"/>
  <c r="GW18" i="22"/>
  <c r="GV18" i="22"/>
  <c r="GU18" i="22"/>
  <c r="GT18" i="22"/>
  <c r="GS18" i="22"/>
  <c r="GR18" i="22"/>
  <c r="GQ18" i="22"/>
  <c r="GP18" i="22"/>
  <c r="GO18" i="22"/>
  <c r="GN18" i="22"/>
  <c r="GM18" i="22"/>
  <c r="GL18" i="22"/>
  <c r="GK18" i="22"/>
  <c r="GJ18" i="22"/>
  <c r="GI18" i="22"/>
  <c r="GH18" i="22"/>
  <c r="GG18" i="22"/>
  <c r="GF18" i="22"/>
  <c r="GE18" i="22"/>
  <c r="GD18" i="22"/>
  <c r="GC18" i="22"/>
  <c r="GB18" i="22"/>
  <c r="GA18" i="22"/>
  <c r="FZ18" i="22"/>
  <c r="FY18" i="22"/>
  <c r="FX18" i="22"/>
  <c r="FW18" i="22"/>
  <c r="FV18" i="22"/>
  <c r="FU18" i="22"/>
  <c r="FT18" i="22"/>
  <c r="FS18" i="22"/>
  <c r="FR18" i="22"/>
  <c r="FQ18" i="22"/>
  <c r="FP18" i="22"/>
  <c r="FO18" i="22"/>
  <c r="FN18" i="22"/>
  <c r="FM18" i="22"/>
  <c r="FL18" i="22"/>
  <c r="FK18" i="22"/>
  <c r="FJ18" i="22"/>
  <c r="FI18" i="22"/>
  <c r="FH18" i="22"/>
  <c r="FG18" i="22"/>
  <c r="FF18" i="22"/>
  <c r="FE18" i="22"/>
  <c r="FD18" i="22"/>
  <c r="FC18" i="22"/>
  <c r="FB18" i="22"/>
  <c r="FA18" i="22"/>
  <c r="EZ18" i="22"/>
  <c r="EY18" i="22"/>
  <c r="EX18" i="22"/>
  <c r="EW18" i="22"/>
  <c r="EV18" i="22"/>
  <c r="EU18" i="22"/>
  <c r="ET18" i="22"/>
  <c r="ES18" i="22"/>
  <c r="ER18" i="22"/>
  <c r="EQ18" i="22"/>
  <c r="EP18" i="22"/>
  <c r="EO18" i="22"/>
  <c r="EN18" i="22"/>
  <c r="EM18" i="22"/>
  <c r="EL18" i="22"/>
  <c r="EK18" i="22"/>
  <c r="EJ18" i="22"/>
  <c r="EI18" i="22"/>
  <c r="EH18" i="22"/>
  <c r="EG18" i="22"/>
  <c r="EF18" i="22"/>
  <c r="EE18" i="22"/>
  <c r="ED18" i="22"/>
  <c r="EC18" i="22"/>
  <c r="EB18" i="22"/>
  <c r="EA18" i="22"/>
  <c r="DZ18" i="22"/>
  <c r="DY18" i="22"/>
  <c r="DX18" i="22"/>
  <c r="DW18" i="22"/>
  <c r="DV18" i="22"/>
  <c r="DU18" i="22"/>
  <c r="DT18" i="22"/>
  <c r="DS18" i="22"/>
  <c r="DR18" i="22"/>
  <c r="DQ18" i="22"/>
  <c r="DP18" i="22"/>
  <c r="DO18" i="22"/>
  <c r="DN18" i="22"/>
  <c r="DM18" i="22"/>
  <c r="DL18" i="22"/>
  <c r="DK18" i="22"/>
  <c r="DJ18" i="22"/>
  <c r="DI18" i="22"/>
  <c r="DH18" i="22"/>
  <c r="DG18" i="22"/>
  <c r="DF18" i="22"/>
  <c r="DE18" i="22"/>
  <c r="DD18" i="22"/>
  <c r="DC18" i="22"/>
  <c r="DB18" i="22"/>
  <c r="DA18" i="22"/>
  <c r="CZ18" i="22"/>
  <c r="CY18" i="22"/>
  <c r="CX18" i="22"/>
  <c r="CW18" i="22"/>
  <c r="CV18" i="22"/>
  <c r="CU18" i="22"/>
  <c r="CT18" i="22"/>
  <c r="CS18" i="22"/>
  <c r="CR18" i="22"/>
  <c r="CQ18" i="22"/>
  <c r="CP18" i="22"/>
  <c r="CO18" i="22"/>
  <c r="CN18" i="22"/>
  <c r="CM18" i="22"/>
  <c r="CL18" i="22"/>
  <c r="CK18" i="22"/>
  <c r="CJ18" i="22"/>
  <c r="CI18" i="22"/>
  <c r="CH18" i="22"/>
  <c r="CG18" i="22"/>
  <c r="CF18" i="22"/>
  <c r="CE18" i="22"/>
  <c r="CD18" i="22"/>
  <c r="CC18" i="22"/>
  <c r="CB18" i="22"/>
  <c r="CA18" i="22"/>
  <c r="BZ18" i="22"/>
  <c r="BY18" i="22"/>
  <c r="BX18" i="22"/>
  <c r="BW18" i="22"/>
  <c r="BV18" i="22"/>
  <c r="BU18" i="22"/>
  <c r="BT18" i="22"/>
  <c r="BS18" i="22"/>
  <c r="BR18" i="22"/>
  <c r="BQ18" i="22"/>
  <c r="BP18" i="22"/>
  <c r="BO18" i="22"/>
  <c r="BN18" i="22"/>
  <c r="BM18" i="22"/>
  <c r="BL18" i="22"/>
  <c r="BK18" i="22"/>
  <c r="BJ18" i="22"/>
  <c r="BI18" i="22"/>
  <c r="BH18" i="22"/>
  <c r="BG18" i="22"/>
  <c r="BF18" i="22"/>
  <c r="BE18" i="22"/>
  <c r="AN18" i="22"/>
  <c r="AM18" i="22"/>
  <c r="AL18" i="22"/>
  <c r="AK18" i="22"/>
  <c r="AJ18" i="22"/>
  <c r="AI18" i="22"/>
  <c r="AH18" i="22"/>
  <c r="AG18" i="22"/>
  <c r="AF18" i="22"/>
  <c r="AE18" i="22"/>
  <c r="AD18" i="22"/>
  <c r="AC18" i="22"/>
  <c r="AB18" i="22"/>
  <c r="AA18" i="22"/>
  <c r="Z18" i="22"/>
  <c r="G18" i="22"/>
  <c r="F18" i="22"/>
  <c r="E18" i="22"/>
  <c r="D18" i="22"/>
  <c r="C18" i="22"/>
  <c r="D12" i="22"/>
  <c r="E90" i="21"/>
  <c r="F89" i="21"/>
  <c r="E89" i="21"/>
  <c r="D89" i="21"/>
  <c r="F88" i="21"/>
  <c r="E88" i="21"/>
  <c r="D88" i="21"/>
  <c r="F85" i="21"/>
  <c r="E86" i="21" s="1"/>
  <c r="E85" i="21"/>
  <c r="D85" i="21"/>
  <c r="A83" i="21"/>
  <c r="F81" i="21"/>
  <c r="E81" i="21"/>
  <c r="D81" i="21"/>
  <c r="F80" i="21"/>
  <c r="E80" i="21"/>
  <c r="D80" i="21"/>
  <c r="F79" i="21"/>
  <c r="E82" i="21" s="1"/>
  <c r="E79" i="21"/>
  <c r="D79" i="21"/>
  <c r="F76" i="21"/>
  <c r="E76" i="21"/>
  <c r="D76" i="21"/>
  <c r="F75" i="21"/>
  <c r="E75" i="21"/>
  <c r="D75" i="21"/>
  <c r="F71" i="21"/>
  <c r="E71" i="21"/>
  <c r="D71" i="21"/>
  <c r="F70" i="21"/>
  <c r="E70" i="21"/>
  <c r="D70" i="21"/>
  <c r="F69" i="21"/>
  <c r="E69" i="21"/>
  <c r="D69" i="21"/>
  <c r="F68" i="21"/>
  <c r="E68" i="21"/>
  <c r="D68" i="21"/>
  <c r="F67" i="21"/>
  <c r="E67" i="21"/>
  <c r="D67" i="21"/>
  <c r="F64" i="21"/>
  <c r="E64" i="21"/>
  <c r="D64" i="21"/>
  <c r="F63" i="21"/>
  <c r="E63" i="21"/>
  <c r="D63" i="21"/>
  <c r="F62" i="21"/>
  <c r="E62" i="21"/>
  <c r="D62" i="21"/>
  <c r="F61" i="21"/>
  <c r="E61" i="21"/>
  <c r="D61" i="21"/>
  <c r="F60" i="21"/>
  <c r="E60" i="21"/>
  <c r="D60" i="21"/>
  <c r="F59" i="21"/>
  <c r="E59" i="21"/>
  <c r="D59" i="21"/>
  <c r="F58" i="21"/>
  <c r="E58" i="21"/>
  <c r="D58" i="21"/>
  <c r="F57" i="21"/>
  <c r="E57" i="21"/>
  <c r="D57" i="21"/>
  <c r="F56" i="21"/>
  <c r="E56" i="21"/>
  <c r="D56" i="21"/>
  <c r="F55" i="21"/>
  <c r="E55" i="21"/>
  <c r="D55" i="21"/>
  <c r="F54" i="21"/>
  <c r="E54" i="21"/>
  <c r="D54" i="21"/>
  <c r="F53" i="21"/>
  <c r="E53" i="21"/>
  <c r="D53" i="21"/>
  <c r="F52" i="21"/>
  <c r="E52" i="21"/>
  <c r="D52" i="21"/>
  <c r="E49" i="21"/>
  <c r="F48" i="21"/>
  <c r="E48" i="21"/>
  <c r="D48" i="21"/>
  <c r="F47" i="21"/>
  <c r="E47" i="21"/>
  <c r="D47" i="21"/>
  <c r="A45" i="21"/>
  <c r="E44" i="21"/>
  <c r="F43" i="21"/>
  <c r="E43" i="21"/>
  <c r="D43" i="21"/>
  <c r="F42" i="21"/>
  <c r="E42" i="21"/>
  <c r="D42" i="21"/>
  <c r="F41" i="21"/>
  <c r="E41" i="21"/>
  <c r="D41" i="21"/>
  <c r="F40" i="21"/>
  <c r="E40" i="21"/>
  <c r="D40" i="21"/>
  <c r="F37" i="21"/>
  <c r="E37" i="21"/>
  <c r="D37" i="21"/>
  <c r="F36" i="21"/>
  <c r="E36" i="21"/>
  <c r="D36" i="21"/>
  <c r="F35" i="21"/>
  <c r="E35" i="21"/>
  <c r="D35" i="21"/>
  <c r="F34" i="21"/>
  <c r="E34" i="21"/>
  <c r="D34" i="21"/>
  <c r="F33" i="21"/>
  <c r="E33" i="21"/>
  <c r="D33" i="21"/>
  <c r="F32" i="21"/>
  <c r="E38" i="21" s="1"/>
  <c r="E32" i="21"/>
  <c r="D32" i="21"/>
  <c r="A30" i="21"/>
  <c r="F28" i="21"/>
  <c r="E28" i="21"/>
  <c r="D28" i="21"/>
  <c r="F27" i="21"/>
  <c r="E27" i="21"/>
  <c r="D27" i="21"/>
  <c r="F26" i="21"/>
  <c r="E26" i="21"/>
  <c r="D26" i="21"/>
  <c r="F25" i="21"/>
  <c r="E29" i="21" s="1"/>
  <c r="E25" i="21"/>
  <c r="D25" i="21"/>
  <c r="F22" i="21"/>
  <c r="E22" i="21"/>
  <c r="D22" i="21"/>
  <c r="F21" i="21"/>
  <c r="E21" i="21"/>
  <c r="D21" i="21"/>
  <c r="F20" i="21"/>
  <c r="E20" i="21"/>
  <c r="D20" i="21"/>
  <c r="F19" i="21"/>
  <c r="E19" i="21"/>
  <c r="D19" i="21"/>
  <c r="F18" i="21"/>
  <c r="E18" i="21"/>
  <c r="D18" i="21"/>
  <c r="F17" i="21"/>
  <c r="E17" i="21"/>
  <c r="D17" i="21"/>
  <c r="F16" i="21"/>
  <c r="E16" i="21"/>
  <c r="D16" i="21"/>
  <c r="F15" i="21"/>
  <c r="E15" i="21"/>
  <c r="D15" i="21"/>
  <c r="F14" i="21"/>
  <c r="E14" i="21"/>
  <c r="D14" i="21"/>
  <c r="F13" i="21"/>
  <c r="E13" i="21"/>
  <c r="D13" i="21"/>
  <c r="F12" i="21"/>
  <c r="E12" i="21"/>
  <c r="D12" i="21"/>
  <c r="F11" i="21"/>
  <c r="E23" i="21" s="1"/>
  <c r="E11" i="21"/>
  <c r="D11" i="21"/>
  <c r="A3" i="21"/>
  <c r="F74" i="20"/>
  <c r="C74" i="20"/>
  <c r="B74" i="20"/>
  <c r="F73" i="20"/>
  <c r="E73" i="20"/>
  <c r="C73" i="20"/>
  <c r="B73" i="20"/>
  <c r="F72" i="20"/>
  <c r="E72" i="20"/>
  <c r="C72" i="20"/>
  <c r="B72" i="20"/>
  <c r="G71" i="20"/>
  <c r="F71" i="20"/>
  <c r="E71" i="20"/>
  <c r="C71" i="20"/>
  <c r="B71" i="20"/>
  <c r="G70" i="20"/>
  <c r="F70" i="20"/>
  <c r="E70" i="20"/>
  <c r="C70" i="20"/>
  <c r="B70" i="20"/>
  <c r="A69" i="20"/>
  <c r="G68" i="20"/>
  <c r="F68" i="20"/>
  <c r="C68" i="20"/>
  <c r="B68" i="20"/>
  <c r="G67" i="20"/>
  <c r="F67" i="20"/>
  <c r="E67" i="20"/>
  <c r="C67" i="20"/>
  <c r="B67" i="20"/>
  <c r="G66" i="20"/>
  <c r="F66" i="20"/>
  <c r="E66" i="20"/>
  <c r="C66" i="20"/>
  <c r="B66" i="20"/>
  <c r="G65" i="20"/>
  <c r="F65" i="20"/>
  <c r="C65" i="20"/>
  <c r="B65" i="20"/>
  <c r="A64" i="20"/>
  <c r="F63" i="20"/>
  <c r="E63" i="20"/>
  <c r="C63" i="20"/>
  <c r="B63" i="20"/>
  <c r="F62" i="20"/>
  <c r="E62" i="20"/>
  <c r="C62" i="20"/>
  <c r="B62" i="20"/>
  <c r="G61" i="20"/>
  <c r="F61" i="20"/>
  <c r="E61" i="20"/>
  <c r="C61" i="20"/>
  <c r="B61" i="20"/>
  <c r="F60" i="20"/>
  <c r="C60" i="20"/>
  <c r="B60" i="20"/>
  <c r="F59" i="20"/>
  <c r="C59" i="20"/>
  <c r="B59" i="20"/>
  <c r="G58" i="20"/>
  <c r="F58" i="20"/>
  <c r="C58" i="20"/>
  <c r="B58" i="20"/>
  <c r="G57" i="20"/>
  <c r="F57" i="20"/>
  <c r="C57" i="20"/>
  <c r="B57" i="20"/>
  <c r="G56" i="20"/>
  <c r="F56" i="20"/>
  <c r="E56" i="20"/>
  <c r="C56" i="20"/>
  <c r="B56" i="20"/>
  <c r="G55" i="20"/>
  <c r="F55" i="20"/>
  <c r="E55" i="20"/>
  <c r="C55" i="20"/>
  <c r="B55" i="20"/>
  <c r="G54" i="20"/>
  <c r="F54" i="20"/>
  <c r="E54" i="20"/>
  <c r="C54" i="20"/>
  <c r="B54" i="20"/>
  <c r="G53" i="20"/>
  <c r="F53" i="20"/>
  <c r="E53" i="20"/>
  <c r="C53" i="20"/>
  <c r="B53" i="20"/>
  <c r="G52" i="20"/>
  <c r="F52" i="20"/>
  <c r="E52" i="20"/>
  <c r="C52" i="20"/>
  <c r="B52" i="20"/>
  <c r="G51" i="20"/>
  <c r="F51" i="20"/>
  <c r="E51" i="20"/>
  <c r="C51" i="20"/>
  <c r="B51" i="20"/>
  <c r="G50" i="20"/>
  <c r="F50" i="20"/>
  <c r="E50" i="20"/>
  <c r="C50" i="20"/>
  <c r="B50" i="20"/>
  <c r="G49" i="20"/>
  <c r="F49" i="20"/>
  <c r="E49" i="20"/>
  <c r="C49" i="20"/>
  <c r="B49" i="20"/>
  <c r="G48" i="20"/>
  <c r="F48" i="20"/>
  <c r="E48" i="20"/>
  <c r="C48" i="20"/>
  <c r="B48" i="20"/>
  <c r="G47" i="20"/>
  <c r="F47" i="20"/>
  <c r="E47" i="20"/>
  <c r="C47" i="20"/>
  <c r="B47" i="20"/>
  <c r="G46" i="20"/>
  <c r="F46" i="20"/>
  <c r="E46" i="20"/>
  <c r="C46" i="20"/>
  <c r="B46" i="20"/>
  <c r="G45" i="20"/>
  <c r="F45" i="20"/>
  <c r="E45" i="20"/>
  <c r="C45" i="20"/>
  <c r="B45" i="20"/>
  <c r="G44" i="20"/>
  <c r="F44" i="20"/>
  <c r="C44" i="20"/>
  <c r="B44" i="20"/>
  <c r="AF43" i="20"/>
  <c r="A43" i="20"/>
  <c r="G42" i="20"/>
  <c r="F42" i="20"/>
  <c r="E42" i="20"/>
  <c r="C42" i="20"/>
  <c r="B42" i="20"/>
  <c r="G41" i="20"/>
  <c r="F41" i="20"/>
  <c r="E41" i="20"/>
  <c r="C41" i="20"/>
  <c r="B41" i="20"/>
  <c r="A40" i="20"/>
  <c r="G39" i="20"/>
  <c r="F39" i="20"/>
  <c r="C39" i="20"/>
  <c r="B39" i="20"/>
  <c r="F38" i="20"/>
  <c r="C38" i="20"/>
  <c r="B38" i="20"/>
  <c r="G37" i="20"/>
  <c r="F37" i="20"/>
  <c r="E37" i="20"/>
  <c r="C37" i="20"/>
  <c r="B37" i="20"/>
  <c r="G36" i="20"/>
  <c r="F36" i="20"/>
  <c r="E36" i="20"/>
  <c r="C36" i="20"/>
  <c r="B36" i="20"/>
  <c r="G35" i="20"/>
  <c r="F35" i="20"/>
  <c r="E35" i="20"/>
  <c r="C35" i="20"/>
  <c r="B35" i="20"/>
  <c r="F34" i="20"/>
  <c r="C34" i="20"/>
  <c r="B34" i="20"/>
  <c r="F33" i="20"/>
  <c r="E33" i="20"/>
  <c r="C33" i="20"/>
  <c r="B33" i="20"/>
  <c r="G32" i="20"/>
  <c r="F32" i="20"/>
  <c r="E32" i="20"/>
  <c r="C32" i="20"/>
  <c r="B32" i="20"/>
  <c r="A31" i="20"/>
  <c r="F30" i="20"/>
  <c r="C30" i="20"/>
  <c r="B30" i="20"/>
  <c r="F29" i="20"/>
  <c r="C29" i="20"/>
  <c r="B29" i="20"/>
  <c r="G28" i="20"/>
  <c r="F28" i="20"/>
  <c r="E28" i="20"/>
  <c r="C28" i="20"/>
  <c r="B28" i="20"/>
  <c r="G27" i="20"/>
  <c r="F27" i="20"/>
  <c r="E27" i="20"/>
  <c r="C27" i="20"/>
  <c r="B27" i="20"/>
  <c r="G26" i="20"/>
  <c r="F26" i="20"/>
  <c r="E26" i="20"/>
  <c r="C26" i="20"/>
  <c r="B26" i="20"/>
  <c r="F25" i="20"/>
  <c r="C25" i="20"/>
  <c r="B25" i="20"/>
  <c r="F24" i="20"/>
  <c r="C24" i="20"/>
  <c r="B24" i="20"/>
  <c r="F23" i="20"/>
  <c r="C23" i="20"/>
  <c r="B23" i="20"/>
  <c r="G22" i="20"/>
  <c r="F22" i="20"/>
  <c r="C22" i="20"/>
  <c r="B22" i="20"/>
  <c r="G21" i="20"/>
  <c r="F21" i="20"/>
  <c r="E21" i="20"/>
  <c r="C21" i="20"/>
  <c r="B21" i="20"/>
  <c r="G20" i="20"/>
  <c r="F20" i="20"/>
  <c r="C20" i="20"/>
  <c r="B20" i="20"/>
  <c r="A19" i="20"/>
  <c r="A18" i="20"/>
  <c r="B13" i="20"/>
  <c r="B12" i="20"/>
  <c r="A1" i="20"/>
  <c r="C75" i="19"/>
  <c r="B75" i="19"/>
  <c r="D74" i="19"/>
  <c r="C74" i="19"/>
  <c r="B74" i="19"/>
  <c r="D73" i="19"/>
  <c r="C73" i="19"/>
  <c r="B73" i="19"/>
  <c r="D72" i="19"/>
  <c r="C72" i="19"/>
  <c r="B72" i="19"/>
  <c r="D71" i="19"/>
  <c r="C71" i="19"/>
  <c r="B71" i="19"/>
  <c r="A70" i="19"/>
  <c r="C69" i="19"/>
  <c r="B69" i="19"/>
  <c r="D68" i="19"/>
  <c r="C68" i="19"/>
  <c r="B68" i="19"/>
  <c r="D67" i="19"/>
  <c r="C67" i="19"/>
  <c r="B67" i="19"/>
  <c r="C66" i="19"/>
  <c r="B66" i="19"/>
  <c r="A65" i="19"/>
  <c r="D64" i="19"/>
  <c r="C64" i="19"/>
  <c r="B64" i="19"/>
  <c r="D63" i="19"/>
  <c r="C63" i="19"/>
  <c r="B63" i="19"/>
  <c r="D62" i="19"/>
  <c r="C62" i="19"/>
  <c r="B62" i="19"/>
  <c r="C61" i="19"/>
  <c r="B61" i="19"/>
  <c r="C60" i="19"/>
  <c r="B60" i="19"/>
  <c r="D59" i="19"/>
  <c r="C59" i="19"/>
  <c r="B59" i="19"/>
  <c r="D58" i="19"/>
  <c r="C58" i="19"/>
  <c r="B58" i="19"/>
  <c r="D57" i="19"/>
  <c r="C57" i="19"/>
  <c r="B57" i="19"/>
  <c r="D56" i="19"/>
  <c r="C56" i="19"/>
  <c r="B56" i="19"/>
  <c r="D55" i="19"/>
  <c r="C55" i="19"/>
  <c r="B55" i="19"/>
  <c r="D54" i="19"/>
  <c r="C54" i="19"/>
  <c r="B54" i="19"/>
  <c r="D53" i="19"/>
  <c r="C53" i="19"/>
  <c r="B53" i="19"/>
  <c r="C52" i="19"/>
  <c r="B52" i="19"/>
  <c r="D51" i="19"/>
  <c r="C51" i="19"/>
  <c r="B51" i="19"/>
  <c r="D50" i="19"/>
  <c r="C50" i="19"/>
  <c r="B50" i="19"/>
  <c r="D49" i="19"/>
  <c r="C49" i="19"/>
  <c r="B49" i="19"/>
  <c r="D48" i="19"/>
  <c r="C48" i="19"/>
  <c r="B48" i="19"/>
  <c r="D47" i="19"/>
  <c r="C47" i="19"/>
  <c r="B47" i="19"/>
  <c r="C46" i="19"/>
  <c r="B46" i="19"/>
  <c r="D45" i="19"/>
  <c r="C45" i="19"/>
  <c r="B45" i="19"/>
  <c r="AF44" i="19"/>
  <c r="A44" i="19"/>
  <c r="D43" i="19"/>
  <c r="C43" i="19"/>
  <c r="B43" i="19"/>
  <c r="D42" i="19"/>
  <c r="C42" i="19"/>
  <c r="B42" i="19"/>
  <c r="A41" i="19"/>
  <c r="C40" i="19"/>
  <c r="B40" i="19"/>
  <c r="C39" i="19"/>
  <c r="B39" i="19"/>
  <c r="D38" i="19"/>
  <c r="C38" i="19"/>
  <c r="B38" i="19"/>
  <c r="D37" i="19"/>
  <c r="C37" i="19"/>
  <c r="B37" i="19"/>
  <c r="D36" i="19"/>
  <c r="C36" i="19"/>
  <c r="B36" i="19"/>
  <c r="D35" i="19"/>
  <c r="C35" i="19"/>
  <c r="B35" i="19"/>
  <c r="D34" i="19"/>
  <c r="C34" i="19"/>
  <c r="B34" i="19"/>
  <c r="D33" i="19"/>
  <c r="C33" i="19"/>
  <c r="B33" i="19"/>
  <c r="A32" i="19"/>
  <c r="C31" i="19"/>
  <c r="B31" i="19"/>
  <c r="C30" i="19"/>
  <c r="B30" i="19"/>
  <c r="D29" i="19"/>
  <c r="C29" i="19"/>
  <c r="B29" i="19"/>
  <c r="D28" i="19"/>
  <c r="C28" i="19"/>
  <c r="B28" i="19"/>
  <c r="D27" i="19"/>
  <c r="C27" i="19"/>
  <c r="B27" i="19"/>
  <c r="C26" i="19"/>
  <c r="B26" i="19"/>
  <c r="C25" i="19"/>
  <c r="B25" i="19"/>
  <c r="C24" i="19"/>
  <c r="B24" i="19"/>
  <c r="D23" i="19"/>
  <c r="C23" i="19"/>
  <c r="B23" i="19"/>
  <c r="C22" i="19"/>
  <c r="B22" i="19"/>
  <c r="C21" i="19"/>
  <c r="B21" i="19"/>
  <c r="A20" i="19"/>
  <c r="A19" i="19"/>
  <c r="A12" i="19"/>
  <c r="A11" i="19"/>
  <c r="A1" i="19"/>
  <c r="CP201" i="22" l="1"/>
  <c r="O201" i="22" s="1"/>
  <c r="BB135" i="22"/>
  <c r="F153" i="22"/>
  <c r="CS187" i="22"/>
  <c r="CR187" i="22"/>
  <c r="Q187" i="22" s="1"/>
  <c r="AD187" i="22"/>
  <c r="AB187" i="22" s="1"/>
  <c r="F248" i="22"/>
  <c r="AO237" i="22"/>
  <c r="CZ30" i="22"/>
  <c r="Y30" i="22" s="1"/>
  <c r="CY30" i="22"/>
  <c r="X30" i="22" s="1"/>
  <c r="CQ31" i="22"/>
  <c r="CC276" i="22"/>
  <c r="F300" i="22"/>
  <c r="BC276" i="22"/>
  <c r="AD29" i="22"/>
  <c r="CR29" i="22"/>
  <c r="Q29" i="22" s="1"/>
  <c r="CM135" i="22"/>
  <c r="BD182" i="22"/>
  <c r="R193" i="22"/>
  <c r="E58" i="20"/>
  <c r="AD201" i="22"/>
  <c r="CS201" i="22"/>
  <c r="CS203" i="22"/>
  <c r="AD203" i="22"/>
  <c r="AB203" i="22" s="1"/>
  <c r="GX239" i="22"/>
  <c r="E65" i="20"/>
  <c r="D66" i="19"/>
  <c r="R239" i="22"/>
  <c r="D69" i="19"/>
  <c r="E68" i="20"/>
  <c r="GX242" i="22"/>
  <c r="CM82" i="22"/>
  <c r="BD93" i="22"/>
  <c r="CC40" i="22"/>
  <c r="AT40" i="22" s="1"/>
  <c r="GX28" i="22"/>
  <c r="S91" i="22"/>
  <c r="BD135" i="22"/>
  <c r="V191" i="22"/>
  <c r="AD202" i="22"/>
  <c r="AB202" i="22" s="1"/>
  <c r="CR202" i="22"/>
  <c r="Q202" i="22" s="1"/>
  <c r="AO205" i="22"/>
  <c r="BX182" i="22"/>
  <c r="R242" i="22"/>
  <c r="GK242" i="22" s="1"/>
  <c r="W242" i="22"/>
  <c r="AS140" i="22"/>
  <c r="CB135" i="22"/>
  <c r="E39" i="20"/>
  <c r="AD33" i="22"/>
  <c r="CR33" i="22"/>
  <c r="R189" i="22"/>
  <c r="CT197" i="22"/>
  <c r="S197" i="22" s="1"/>
  <c r="AB85" i="22"/>
  <c r="CT85" i="22"/>
  <c r="S85" i="22" s="1"/>
  <c r="W86" i="22"/>
  <c r="T91" i="22"/>
  <c r="F109" i="22"/>
  <c r="BC82" i="22"/>
  <c r="AJ140" i="22"/>
  <c r="GX185" i="22"/>
  <c r="CT186" i="22"/>
  <c r="S186" i="22" s="1"/>
  <c r="CT187" i="22"/>
  <c r="S187" i="22" s="1"/>
  <c r="AD194" i="22"/>
  <c r="AB194" i="22" s="1"/>
  <c r="CS194" i="22"/>
  <c r="E57" i="20"/>
  <c r="CR279" i="22"/>
  <c r="Q279" i="22" s="1"/>
  <c r="F309" i="22"/>
  <c r="BD276" i="22"/>
  <c r="W28" i="22"/>
  <c r="CS280" i="22"/>
  <c r="R280" i="22" s="1"/>
  <c r="GK280" i="22" s="1"/>
  <c r="AD280" i="22"/>
  <c r="CM182" i="22"/>
  <c r="E22" i="20"/>
  <c r="I33" i="22"/>
  <c r="GX33" i="22" s="1"/>
  <c r="I31" i="22"/>
  <c r="D52" i="19"/>
  <c r="AD30" i="22"/>
  <c r="CS30" i="22"/>
  <c r="BZ40" i="22"/>
  <c r="BB82" i="22"/>
  <c r="S86" i="22"/>
  <c r="CZ86" i="22" s="1"/>
  <c r="Y86" i="22" s="1"/>
  <c r="U91" i="22"/>
  <c r="GX91" i="22"/>
  <c r="AP140" i="22"/>
  <c r="BY135" i="22"/>
  <c r="AD138" i="22"/>
  <c r="CS138" i="22"/>
  <c r="R138" i="22" s="1"/>
  <c r="GK138" i="22" s="1"/>
  <c r="CX52" i="24"/>
  <c r="E44" i="20"/>
  <c r="W184" i="22"/>
  <c r="T184" i="22"/>
  <c r="CP187" i="22"/>
  <c r="O187" i="22" s="1"/>
  <c r="R190" i="22"/>
  <c r="V197" i="22"/>
  <c r="CT239" i="22"/>
  <c r="S239" i="22" s="1"/>
  <c r="AD279" i="22"/>
  <c r="AB279" i="22" s="1"/>
  <c r="D75" i="19"/>
  <c r="E74" i="20"/>
  <c r="V282" i="22"/>
  <c r="F288" i="22"/>
  <c r="AO276" i="22"/>
  <c r="U240" i="22"/>
  <c r="V281" i="22"/>
  <c r="AI284" i="22" s="1"/>
  <c r="GX281" i="22"/>
  <c r="T31" i="22"/>
  <c r="V36" i="22"/>
  <c r="P86" i="22"/>
  <c r="AB88" i="22"/>
  <c r="R91" i="22"/>
  <c r="GK91" i="22" s="1"/>
  <c r="AC140" i="22"/>
  <c r="P140" i="22" s="1"/>
  <c r="CC140" i="22"/>
  <c r="AT140" i="22" s="1"/>
  <c r="AI140" i="22"/>
  <c r="V140" i="22" s="1"/>
  <c r="AB198" i="22"/>
  <c r="Q198" i="22"/>
  <c r="CQ200" i="22"/>
  <c r="V202" i="22"/>
  <c r="CM237" i="22"/>
  <c r="W239" i="22"/>
  <c r="AJ244" i="22" s="1"/>
  <c r="P242" i="22"/>
  <c r="P281" i="22"/>
  <c r="U30" i="22"/>
  <c r="W36" i="22"/>
  <c r="R86" i="22"/>
  <c r="GK86" i="22" s="1"/>
  <c r="GX184" i="22"/>
  <c r="AB185" i="22"/>
  <c r="T193" i="22"/>
  <c r="W194" i="22"/>
  <c r="AB197" i="22"/>
  <c r="CR197" i="22"/>
  <c r="Q197" i="22" s="1"/>
  <c r="AD200" i="22"/>
  <c r="AB200" i="22" s="1"/>
  <c r="CR200" i="22"/>
  <c r="T201" i="22"/>
  <c r="W202" i="22"/>
  <c r="GX202" i="22"/>
  <c r="AB239" i="22"/>
  <c r="CR239" i="22"/>
  <c r="Q239" i="22" s="1"/>
  <c r="AD240" i="22"/>
  <c r="AB240" i="22" s="1"/>
  <c r="CR240" i="22"/>
  <c r="AD241" i="22"/>
  <c r="AD242" i="22"/>
  <c r="CY279" i="22"/>
  <c r="X279" i="22" s="1"/>
  <c r="U280" i="22"/>
  <c r="V30" i="22"/>
  <c r="V31" i="22"/>
  <c r="BY93" i="22"/>
  <c r="AP93" i="22" s="1"/>
  <c r="W85" i="22"/>
  <c r="P185" i="22"/>
  <c r="Q185" i="22"/>
  <c r="S191" i="22"/>
  <c r="P197" i="22"/>
  <c r="R197" i="22"/>
  <c r="GX197" i="22"/>
  <c r="P202" i="22"/>
  <c r="CP202" i="22" s="1"/>
  <c r="O202" i="22" s="1"/>
  <c r="Q242" i="22"/>
  <c r="BY284" i="22"/>
  <c r="S28" i="22"/>
  <c r="CY28" i="22" s="1"/>
  <c r="X28" i="22" s="1"/>
  <c r="P33" i="22"/>
  <c r="T86" i="22"/>
  <c r="W89" i="22"/>
  <c r="S203" i="22"/>
  <c r="V201" i="22"/>
  <c r="Q282" i="22"/>
  <c r="AQ40" i="22"/>
  <c r="BZ26" i="22"/>
  <c r="CZ84" i="22"/>
  <c r="Y84" i="22" s="1"/>
  <c r="CY84" i="22"/>
  <c r="X84" i="22" s="1"/>
  <c r="U140" i="22"/>
  <c r="AH135" i="22"/>
  <c r="CP30" i="22"/>
  <c r="O30" i="22" s="1"/>
  <c r="AI135" i="22"/>
  <c r="F53" i="22"/>
  <c r="BB26" i="22"/>
  <c r="CY91" i="22"/>
  <c r="X91" i="22" s="1"/>
  <c r="CZ91" i="22"/>
  <c r="Y91" i="22" s="1"/>
  <c r="CZ34" i="22"/>
  <c r="Y34" i="22" s="1"/>
  <c r="CY34" i="22"/>
  <c r="X34" i="22" s="1"/>
  <c r="CZ28" i="22"/>
  <c r="Y28" i="22" s="1"/>
  <c r="T28" i="22"/>
  <c r="CZ35" i="22"/>
  <c r="Y35" i="22" s="1"/>
  <c r="CH140" i="22"/>
  <c r="CF140" i="22"/>
  <c r="AC135" i="22"/>
  <c r="CE140" i="22"/>
  <c r="CX8" i="24"/>
  <c r="CX1" i="24"/>
  <c r="CX3" i="24"/>
  <c r="CX4" i="24"/>
  <c r="CX5" i="24"/>
  <c r="CX6" i="24"/>
  <c r="CX2" i="24"/>
  <c r="CX7" i="24"/>
  <c r="CY86" i="22"/>
  <c r="X86" i="22" s="1"/>
  <c r="E72" i="21"/>
  <c r="E77" i="21"/>
  <c r="P36" i="22"/>
  <c r="CY88" i="22"/>
  <c r="X88" i="22" s="1"/>
  <c r="CZ88" i="22"/>
  <c r="Y88" i="22" s="1"/>
  <c r="CZ184" i="22"/>
  <c r="Y184" i="22" s="1"/>
  <c r="CY184" i="22"/>
  <c r="X184" i="22" s="1"/>
  <c r="CR191" i="22"/>
  <c r="Q191" i="22" s="1"/>
  <c r="AD191" i="22"/>
  <c r="AB191" i="22" s="1"/>
  <c r="CS191" i="22"/>
  <c r="CP35" i="22"/>
  <c r="O35" i="22" s="1"/>
  <c r="CP85" i="22"/>
  <c r="O85" i="22" s="1"/>
  <c r="CZ89" i="22"/>
  <c r="Y89" i="22" s="1"/>
  <c r="CY89" i="22"/>
  <c r="X89" i="22" s="1"/>
  <c r="D21" i="19"/>
  <c r="E65" i="21"/>
  <c r="AB30" i="22"/>
  <c r="P31" i="22"/>
  <c r="AB33" i="22"/>
  <c r="AD36" i="22"/>
  <c r="AB36" i="22" s="1"/>
  <c r="CR36" i="22"/>
  <c r="Q36" i="22" s="1"/>
  <c r="CG40" i="22"/>
  <c r="F102" i="22"/>
  <c r="AP82" i="22"/>
  <c r="CZ87" i="22"/>
  <c r="Y87" i="22" s="1"/>
  <c r="CY87" i="22"/>
  <c r="X87" i="22" s="1"/>
  <c r="AO93" i="22"/>
  <c r="BX82" i="22"/>
  <c r="W140" i="22"/>
  <c r="AJ135" i="22"/>
  <c r="CT138" i="22"/>
  <c r="S138" i="22" s="1"/>
  <c r="CP138" i="22" s="1"/>
  <c r="O138" i="22" s="1"/>
  <c r="AB138" i="22"/>
  <c r="BC26" i="22"/>
  <c r="U28" i="22"/>
  <c r="CX32" i="24"/>
  <c r="CX28" i="24"/>
  <c r="CX29" i="24"/>
  <c r="CX30" i="24"/>
  <c r="CX31" i="24"/>
  <c r="I38" i="22"/>
  <c r="Q38" i="22" s="1"/>
  <c r="I37" i="22"/>
  <c r="GX37" i="22" s="1"/>
  <c r="R36" i="22"/>
  <c r="S36" i="22"/>
  <c r="P37" i="22"/>
  <c r="CS38" i="22"/>
  <c r="AD38" i="22"/>
  <c r="AB38" i="22" s="1"/>
  <c r="CZ137" i="22"/>
  <c r="Y137" i="22" s="1"/>
  <c r="CY137" i="22"/>
  <c r="X137" i="22" s="1"/>
  <c r="CJ140" i="22"/>
  <c r="CY185" i="22"/>
  <c r="X185" i="22" s="1"/>
  <c r="CZ185" i="22"/>
  <c r="Y185" i="22" s="1"/>
  <c r="V28" i="22"/>
  <c r="BY40" i="22"/>
  <c r="CX9" i="24"/>
  <c r="CX11" i="24"/>
  <c r="CX12" i="24"/>
  <c r="CX13" i="24"/>
  <c r="CX10" i="24"/>
  <c r="R29" i="22"/>
  <c r="CS33" i="22"/>
  <c r="BZ93" i="22"/>
  <c r="CG93" i="22" s="1"/>
  <c r="CY190" i="22"/>
  <c r="X190" i="22" s="1"/>
  <c r="CZ190" i="22"/>
  <c r="Y190" i="22" s="1"/>
  <c r="AG135" i="22"/>
  <c r="T140" i="22"/>
  <c r="F143" i="22"/>
  <c r="P135" i="22"/>
  <c r="E20" i="20"/>
  <c r="D22" i="19"/>
  <c r="AB28" i="22"/>
  <c r="T29" i="22"/>
  <c r="U31" i="22"/>
  <c r="GX36" i="22"/>
  <c r="BY82" i="22"/>
  <c r="CQ84" i="22"/>
  <c r="P84" i="22" s="1"/>
  <c r="AB84" i="22"/>
  <c r="CB93" i="22"/>
  <c r="AD91" i="22"/>
  <c r="AB91" i="22" s="1"/>
  <c r="CR91" i="22"/>
  <c r="Q91" i="22" s="1"/>
  <c r="AP205" i="22"/>
  <c r="BY182" i="22"/>
  <c r="CZ188" i="22"/>
  <c r="Y188" i="22" s="1"/>
  <c r="CS28" i="22"/>
  <c r="CR89" i="22"/>
  <c r="Q89" i="22" s="1"/>
  <c r="CP89" i="22" s="1"/>
  <c r="O89" i="22" s="1"/>
  <c r="AD89" i="22"/>
  <c r="AB89" i="22" s="1"/>
  <c r="AQ140" i="22"/>
  <c r="BZ135" i="22"/>
  <c r="CG140" i="22"/>
  <c r="CI140" i="22"/>
  <c r="CS192" i="22"/>
  <c r="CR192" i="22"/>
  <c r="Q192" i="22" s="1"/>
  <c r="AD192" i="22"/>
  <c r="AB192" i="22" s="1"/>
  <c r="P28" i="22"/>
  <c r="CR28" i="22"/>
  <c r="Q28" i="22" s="1"/>
  <c r="CB40" i="22"/>
  <c r="S29" i="22"/>
  <c r="CS35" i="22"/>
  <c r="AD35" i="22"/>
  <c r="T36" i="22"/>
  <c r="CC93" i="22"/>
  <c r="CR88" i="22"/>
  <c r="Q88" i="22" s="1"/>
  <c r="CS89" i="22"/>
  <c r="CZ189" i="22"/>
  <c r="Y189" i="22" s="1"/>
  <c r="CY189" i="22"/>
  <c r="X189" i="22" s="1"/>
  <c r="CY191" i="22"/>
  <c r="X191" i="22" s="1"/>
  <c r="CY196" i="22"/>
  <c r="X196" i="22" s="1"/>
  <c r="CZ196" i="22"/>
  <c r="Y196" i="22" s="1"/>
  <c r="AB29" i="22"/>
  <c r="CX16" i="24"/>
  <c r="CX17" i="24"/>
  <c r="CX19" i="24"/>
  <c r="CX20" i="24"/>
  <c r="CX21" i="24"/>
  <c r="CX14" i="24"/>
  <c r="CX22" i="24"/>
  <c r="CX18" i="24"/>
  <c r="CX15" i="24"/>
  <c r="CX23" i="24"/>
  <c r="AD34" i="22"/>
  <c r="AB34" i="22" s="1"/>
  <c r="AB35" i="22"/>
  <c r="AD37" i="22"/>
  <c r="AB37" i="22" s="1"/>
  <c r="BD314" i="22"/>
  <c r="F65" i="22"/>
  <c r="AD86" i="22"/>
  <c r="AB86" i="22" s="1"/>
  <c r="AD90" i="22"/>
  <c r="AB90" i="22" s="1"/>
  <c r="AB137" i="22"/>
  <c r="CP137" i="22"/>
  <c r="O137" i="22" s="1"/>
  <c r="AB184" i="22"/>
  <c r="BZ205" i="22"/>
  <c r="CI205" i="22" s="1"/>
  <c r="CX64" i="24"/>
  <c r="CX65" i="24"/>
  <c r="CX66" i="24"/>
  <c r="CX67" i="24"/>
  <c r="P192" i="22"/>
  <c r="CR194" i="22"/>
  <c r="Q194" i="22" s="1"/>
  <c r="AB195" i="22"/>
  <c r="CR34" i="22"/>
  <c r="Q34" i="22" s="1"/>
  <c r="CR37" i="22"/>
  <c r="CR86" i="22"/>
  <c r="Q86" i="22" s="1"/>
  <c r="CX48" i="24"/>
  <c r="CX49" i="24"/>
  <c r="CX46" i="24"/>
  <c r="CX47" i="24"/>
  <c r="I90" i="22"/>
  <c r="W90" i="22" s="1"/>
  <c r="AJ93" i="22" s="1"/>
  <c r="CR90" i="22"/>
  <c r="CQ194" i="22"/>
  <c r="P194" i="22" s="1"/>
  <c r="R199" i="22"/>
  <c r="GK199" i="22" s="1"/>
  <c r="CZ201" i="22"/>
  <c r="Y201" i="22" s="1"/>
  <c r="CY201" i="22"/>
  <c r="X201" i="22" s="1"/>
  <c r="CX50" i="24"/>
  <c r="CX51" i="24"/>
  <c r="BC140" i="22"/>
  <c r="CC205" i="22"/>
  <c r="AB186" i="22"/>
  <c r="CZ195" i="22"/>
  <c r="Y195" i="22" s="1"/>
  <c r="CY195" i="22"/>
  <c r="X195" i="22" s="1"/>
  <c r="T198" i="22"/>
  <c r="CY193" i="22"/>
  <c r="X193" i="22" s="1"/>
  <c r="CZ194" i="22"/>
  <c r="Y194" i="22" s="1"/>
  <c r="CT242" i="22"/>
  <c r="S242" i="22" s="1"/>
  <c r="AB242" i="22"/>
  <c r="CR87" i="22"/>
  <c r="Q87" i="22" s="1"/>
  <c r="AE140" i="22"/>
  <c r="CX88" i="24"/>
  <c r="CX89" i="24"/>
  <c r="CX90" i="24"/>
  <c r="CX82" i="24"/>
  <c r="CX91" i="24"/>
  <c r="CX83" i="24"/>
  <c r="CX84" i="24"/>
  <c r="CX85" i="24"/>
  <c r="CX86" i="24"/>
  <c r="CX87" i="24"/>
  <c r="I200" i="22"/>
  <c r="V200" i="22" s="1"/>
  <c r="I199" i="22"/>
  <c r="S199" i="22" s="1"/>
  <c r="W198" i="22"/>
  <c r="R198" i="22"/>
  <c r="I32" i="22"/>
  <c r="GX32" i="22" s="1"/>
  <c r="P91" i="22"/>
  <c r="AD190" i="22"/>
  <c r="AB190" i="22" s="1"/>
  <c r="CR190" i="22"/>
  <c r="Q190" i="22" s="1"/>
  <c r="CZ192" i="22"/>
  <c r="Y192" i="22" s="1"/>
  <c r="CY192" i="22"/>
  <c r="X192" i="22" s="1"/>
  <c r="CZ203" i="22"/>
  <c r="Y203" i="22" s="1"/>
  <c r="CY203" i="22"/>
  <c r="X203" i="22" s="1"/>
  <c r="BC244" i="22"/>
  <c r="CL237" i="22"/>
  <c r="GK278" i="22"/>
  <c r="AD137" i="22"/>
  <c r="CX53" i="24"/>
  <c r="CX54" i="24"/>
  <c r="CX55" i="24"/>
  <c r="V185" i="22"/>
  <c r="CR186" i="22"/>
  <c r="Q186" i="22" s="1"/>
  <c r="CP186" i="22" s="1"/>
  <c r="O186" i="22" s="1"/>
  <c r="AD188" i="22"/>
  <c r="AB188" i="22" s="1"/>
  <c r="CR188" i="22"/>
  <c r="Q188" i="22" s="1"/>
  <c r="CR196" i="22"/>
  <c r="Q196" i="22" s="1"/>
  <c r="AD196" i="22"/>
  <c r="AB196" i="22" s="1"/>
  <c r="CR199" i="22"/>
  <c r="Q199" i="22" s="1"/>
  <c r="V203" i="22"/>
  <c r="CR137" i="22"/>
  <c r="Q137" i="22" s="1"/>
  <c r="AD140" i="22" s="1"/>
  <c r="CB205" i="22"/>
  <c r="U194" i="22"/>
  <c r="CY197" i="22"/>
  <c r="X197" i="22" s="1"/>
  <c r="CQ199" i="22"/>
  <c r="P199" i="22" s="1"/>
  <c r="AB199" i="22"/>
  <c r="CY202" i="22"/>
  <c r="X202" i="22" s="1"/>
  <c r="CZ202" i="22"/>
  <c r="Y202" i="22" s="1"/>
  <c r="U203" i="22"/>
  <c r="W203" i="22"/>
  <c r="CY239" i="22"/>
  <c r="X239" i="22" s="1"/>
  <c r="CZ239" i="22"/>
  <c r="Y239" i="22" s="1"/>
  <c r="CJ244" i="22"/>
  <c r="P240" i="22"/>
  <c r="AC284" i="22"/>
  <c r="CP278" i="22"/>
  <c r="O278" i="22" s="1"/>
  <c r="AD189" i="22"/>
  <c r="AB189" i="22" s="1"/>
  <c r="P191" i="22"/>
  <c r="CR193" i="22"/>
  <c r="Q193" i="22" s="1"/>
  <c r="V194" i="22"/>
  <c r="V198" i="22"/>
  <c r="GX198" i="22"/>
  <c r="Q240" i="22"/>
  <c r="AD244" i="22" s="1"/>
  <c r="CY241" i="22"/>
  <c r="X241" i="22" s="1"/>
  <c r="AP284" i="22"/>
  <c r="BY276" i="22"/>
  <c r="BB284" i="22"/>
  <c r="BB314" i="22" s="1"/>
  <c r="CK276" i="22"/>
  <c r="CR189" i="22"/>
  <c r="Q189" i="22" s="1"/>
  <c r="W200" i="22"/>
  <c r="GX200" i="22"/>
  <c r="AB201" i="22"/>
  <c r="GK239" i="22"/>
  <c r="BY244" i="22"/>
  <c r="F269" i="22"/>
  <c r="BD237" i="22"/>
  <c r="CX101" i="24"/>
  <c r="CX102" i="24"/>
  <c r="W240" i="22"/>
  <c r="GX240" i="22"/>
  <c r="CZ282" i="22"/>
  <c r="Y282" i="22" s="1"/>
  <c r="CY282" i="22"/>
  <c r="X282" i="22" s="1"/>
  <c r="CR184" i="22"/>
  <c r="Q184" i="22" s="1"/>
  <c r="CP184" i="22" s="1"/>
  <c r="O184" i="22" s="1"/>
  <c r="CS185" i="22"/>
  <c r="CX68" i="24"/>
  <c r="CX69" i="24"/>
  <c r="CX70" i="24"/>
  <c r="V193" i="22"/>
  <c r="P198" i="22"/>
  <c r="CQ203" i="22"/>
  <c r="P203" i="22" s="1"/>
  <c r="CP203" i="22" s="1"/>
  <c r="O203" i="22" s="1"/>
  <c r="AB241" i="22"/>
  <c r="CQ241" i="22"/>
  <c r="P241" i="22" s="1"/>
  <c r="CR195" i="22"/>
  <c r="Q195" i="22" s="1"/>
  <c r="T199" i="22"/>
  <c r="GX203" i="22"/>
  <c r="CX97" i="24"/>
  <c r="CX98" i="24"/>
  <c r="CX99" i="24"/>
  <c r="CX100" i="24"/>
  <c r="P239" i="22"/>
  <c r="AS244" i="22"/>
  <c r="CB237" i="22"/>
  <c r="R240" i="22"/>
  <c r="GK240" i="22" s="1"/>
  <c r="BX237" i="22"/>
  <c r="CZ280" i="22"/>
  <c r="Y280" i="22" s="1"/>
  <c r="CY280" i="22"/>
  <c r="X280" i="22" s="1"/>
  <c r="F302" i="22"/>
  <c r="AT276" i="22"/>
  <c r="CS202" i="22"/>
  <c r="T239" i="22"/>
  <c r="AG244" i="22" s="1"/>
  <c r="S240" i="22"/>
  <c r="CP282" i="22"/>
  <c r="O282" i="22" s="1"/>
  <c r="CB284" i="22"/>
  <c r="AB280" i="22"/>
  <c r="CX80" i="24"/>
  <c r="CX81" i="24"/>
  <c r="CX74" i="24"/>
  <c r="CX75" i="24"/>
  <c r="CX76" i="24"/>
  <c r="CX77" i="24"/>
  <c r="CX78" i="24"/>
  <c r="CX79" i="24"/>
  <c r="S198" i="22"/>
  <c r="R200" i="22"/>
  <c r="GK200" i="22" s="1"/>
  <c r="R203" i="22"/>
  <c r="GK203" i="22" s="1"/>
  <c r="V240" i="22"/>
  <c r="AI244" i="22" s="1"/>
  <c r="CJ284" i="22"/>
  <c r="CR203" i="22"/>
  <c r="Q203" i="22" s="1"/>
  <c r="CC244" i="22"/>
  <c r="CX95" i="24"/>
  <c r="CX105" i="24"/>
  <c r="CX106" i="24"/>
  <c r="CX107" i="24"/>
  <c r="U242" i="22"/>
  <c r="CZ278" i="22"/>
  <c r="Y278" i="22" s="1"/>
  <c r="CY278" i="22"/>
  <c r="X278" i="22" s="1"/>
  <c r="CP279" i="22"/>
  <c r="O279" i="22" s="1"/>
  <c r="W281" i="22"/>
  <c r="AJ284" i="22" s="1"/>
  <c r="U282" i="22"/>
  <c r="BZ284" i="22"/>
  <c r="CI284" i="22" s="1"/>
  <c r="T281" i="22"/>
  <c r="AG284" i="22" s="1"/>
  <c r="CX96" i="24"/>
  <c r="CX92" i="24"/>
  <c r="CX93" i="24"/>
  <c r="CX94" i="24"/>
  <c r="AB282" i="22"/>
  <c r="CX103" i="24"/>
  <c r="BZ244" i="22"/>
  <c r="S281" i="22"/>
  <c r="CP281" i="22" s="1"/>
  <c r="O281" i="22" s="1"/>
  <c r="R282" i="22"/>
  <c r="GK282" i="22" s="1"/>
  <c r="CR280" i="22"/>
  <c r="Q280" i="22" s="1"/>
  <c r="AD284" i="22" s="1"/>
  <c r="AD278" i="22"/>
  <c r="AB278" i="22" s="1"/>
  <c r="AD281" i="22"/>
  <c r="AB281" i="22" s="1"/>
  <c r="AF140" i="22" l="1"/>
  <c r="S32" i="22"/>
  <c r="AP135" i="22"/>
  <c r="F149" i="22"/>
  <c r="F209" i="22"/>
  <c r="AO182" i="22"/>
  <c r="R187" i="22"/>
  <c r="Q200" i="22"/>
  <c r="CZ191" i="22"/>
  <c r="Y191" i="22" s="1"/>
  <c r="CP88" i="22"/>
  <c r="O88" i="22" s="1"/>
  <c r="GK197" i="22"/>
  <c r="GP197" i="22" s="1"/>
  <c r="D24" i="19"/>
  <c r="E23" i="20"/>
  <c r="R194" i="22"/>
  <c r="GK194" i="22" s="1"/>
  <c r="GP194" i="22" s="1"/>
  <c r="V33" i="22"/>
  <c r="CP191" i="22"/>
  <c r="O191" i="22" s="1"/>
  <c r="CZ197" i="22"/>
  <c r="Y197" i="22" s="1"/>
  <c r="CP194" i="22"/>
  <c r="O194" i="22" s="1"/>
  <c r="CZ85" i="22"/>
  <c r="Y85" i="22" s="1"/>
  <c r="CY85" i="22"/>
  <c r="X85" i="22" s="1"/>
  <c r="R31" i="22"/>
  <c r="GK31" i="22" s="1"/>
  <c r="E25" i="20"/>
  <c r="D26" i="19"/>
  <c r="F157" i="22"/>
  <c r="AS135" i="22"/>
  <c r="CC135" i="22"/>
  <c r="CP86" i="22"/>
  <c r="O86" i="22" s="1"/>
  <c r="GP86" i="22" s="1"/>
  <c r="GX90" i="22"/>
  <c r="CJ93" i="22" s="1"/>
  <c r="BA93" i="22" s="1"/>
  <c r="CP34" i="22"/>
  <c r="O34" i="22" s="1"/>
  <c r="CP185" i="22"/>
  <c r="O185" i="22" s="1"/>
  <c r="U33" i="22"/>
  <c r="CY186" i="22"/>
  <c r="X186" i="22" s="1"/>
  <c r="CZ186" i="22"/>
  <c r="Y186" i="22" s="1"/>
  <c r="F118" i="22"/>
  <c r="BD82" i="22"/>
  <c r="R201" i="22"/>
  <c r="CJ205" i="22"/>
  <c r="CJ182" i="22" s="1"/>
  <c r="CP280" i="22"/>
  <c r="O280" i="22" s="1"/>
  <c r="GM280" i="22" s="1"/>
  <c r="CZ187" i="22"/>
  <c r="Y187" i="22" s="1"/>
  <c r="CY187" i="22"/>
  <c r="X187" i="22" s="1"/>
  <c r="AH284" i="22"/>
  <c r="V199" i="22"/>
  <c r="CP197" i="22"/>
  <c r="O197" i="22" s="1"/>
  <c r="AO314" i="22"/>
  <c r="F318" i="22" s="1"/>
  <c r="CC26" i="22"/>
  <c r="Q33" i="22"/>
  <c r="CP33" i="22" s="1"/>
  <c r="O33" i="22" s="1"/>
  <c r="S33" i="22"/>
  <c r="W33" i="22"/>
  <c r="GX31" i="22"/>
  <c r="Q32" i="22"/>
  <c r="GK193" i="22"/>
  <c r="GX199" i="22"/>
  <c r="CP196" i="22"/>
  <c r="O196" i="22" s="1"/>
  <c r="GM196" i="22" s="1"/>
  <c r="T37" i="22"/>
  <c r="T33" i="22"/>
  <c r="V37" i="22"/>
  <c r="R30" i="22"/>
  <c r="W31" i="22"/>
  <c r="Q31" i="22"/>
  <c r="S31" i="22"/>
  <c r="CY199" i="22"/>
  <c r="X199" i="22" s="1"/>
  <c r="CZ199" i="22"/>
  <c r="Y199" i="22" s="1"/>
  <c r="CJ82" i="22"/>
  <c r="Q244" i="22"/>
  <c r="AD237" i="22"/>
  <c r="AH276" i="22"/>
  <c r="U284" i="22"/>
  <c r="GP186" i="22"/>
  <c r="AI205" i="22"/>
  <c r="AJ82" i="22"/>
  <c r="W93" i="22"/>
  <c r="GM184" i="22"/>
  <c r="GP184" i="22"/>
  <c r="F327" i="22"/>
  <c r="BB354" i="22"/>
  <c r="BB22" i="22"/>
  <c r="T284" i="22"/>
  <c r="AG276" i="22"/>
  <c r="AI237" i="22"/>
  <c r="V244" i="22"/>
  <c r="V284" i="22"/>
  <c r="AI276" i="22"/>
  <c r="AQ244" i="22"/>
  <c r="BZ237" i="22"/>
  <c r="P200" i="22"/>
  <c r="GM86" i="22"/>
  <c r="CY29" i="22"/>
  <c r="X29" i="22" s="1"/>
  <c r="CZ29" i="22"/>
  <c r="Y29" i="22" s="1"/>
  <c r="R192" i="22"/>
  <c r="GK192" i="22" s="1"/>
  <c r="R90" i="22"/>
  <c r="GK90" i="22" s="1"/>
  <c r="CI40" i="22"/>
  <c r="AP40" i="22"/>
  <c r="BY26" i="22"/>
  <c r="GX38" i="22"/>
  <c r="CJ40" i="22" s="1"/>
  <c r="U37" i="22"/>
  <c r="CP29" i="22"/>
  <c r="O29" i="22" s="1"/>
  <c r="CP241" i="22"/>
  <c r="O241" i="22" s="1"/>
  <c r="AP276" i="22"/>
  <c r="F293" i="22"/>
  <c r="CP192" i="22"/>
  <c r="O192" i="22" s="1"/>
  <c r="GP88" i="22"/>
  <c r="GM88" i="22"/>
  <c r="S140" i="22"/>
  <c r="AF135" i="22"/>
  <c r="GM34" i="22"/>
  <c r="GP34" i="22"/>
  <c r="CP91" i="22"/>
  <c r="O91" i="22" s="1"/>
  <c r="AT135" i="22"/>
  <c r="F158" i="22"/>
  <c r="CP87" i="22"/>
  <c r="O87" i="22" s="1"/>
  <c r="GP35" i="22"/>
  <c r="GM35" i="22"/>
  <c r="CE135" i="22"/>
  <c r="AV140" i="22"/>
  <c r="CZ32" i="22"/>
  <c r="Y32" i="22" s="1"/>
  <c r="CY32" i="22"/>
  <c r="X32" i="22" s="1"/>
  <c r="P38" i="22"/>
  <c r="CP38" i="22" s="1"/>
  <c r="O38" i="22" s="1"/>
  <c r="P90" i="22"/>
  <c r="GM282" i="22"/>
  <c r="GP282" i="22"/>
  <c r="CI276" i="22"/>
  <c r="AZ284" i="22"/>
  <c r="R35" i="22"/>
  <c r="AX93" i="22"/>
  <c r="CG82" i="22"/>
  <c r="CZ240" i="22"/>
  <c r="Y240" i="22" s="1"/>
  <c r="CY240" i="22"/>
  <c r="X240" i="22" s="1"/>
  <c r="W244" i="22"/>
  <c r="AJ237" i="22"/>
  <c r="GM203" i="22"/>
  <c r="GP203" i="22"/>
  <c r="CZ242" i="22"/>
  <c r="Y242" i="22" s="1"/>
  <c r="CY242" i="22"/>
  <c r="X242" i="22" s="1"/>
  <c r="AO354" i="22"/>
  <c r="AS40" i="22"/>
  <c r="CB26" i="22"/>
  <c r="CI135" i="22"/>
  <c r="AZ140" i="22"/>
  <c r="R28" i="22"/>
  <c r="BZ82" i="22"/>
  <c r="AQ93" i="22"/>
  <c r="CI93" i="22"/>
  <c r="W284" i="22"/>
  <c r="AJ276" i="22"/>
  <c r="CZ198" i="22"/>
  <c r="Y198" i="22" s="1"/>
  <c r="CY198" i="22"/>
  <c r="X198" i="22" s="1"/>
  <c r="R202" i="22"/>
  <c r="GK202" i="22" s="1"/>
  <c r="GM202" i="22" s="1"/>
  <c r="CP198" i="22"/>
  <c r="O198" i="22" s="1"/>
  <c r="CP242" i="22"/>
  <c r="O242" i="22" s="1"/>
  <c r="GP278" i="22"/>
  <c r="GM278" i="22"/>
  <c r="AF244" i="22"/>
  <c r="GP202" i="22"/>
  <c r="E24" i="20"/>
  <c r="D25" i="19"/>
  <c r="W32" i="22"/>
  <c r="U32" i="22"/>
  <c r="P32" i="22"/>
  <c r="CP32" i="22" s="1"/>
  <c r="O32" i="22" s="1"/>
  <c r="Q90" i="22"/>
  <c r="Q37" i="22"/>
  <c r="AT93" i="22"/>
  <c r="CC82" i="22"/>
  <c r="AD40" i="22"/>
  <c r="AX140" i="22"/>
  <c r="CG135" i="22"/>
  <c r="AS93" i="22"/>
  <c r="CB82" i="22"/>
  <c r="T135" i="22"/>
  <c r="F161" i="22"/>
  <c r="GK29" i="22"/>
  <c r="R38" i="22"/>
  <c r="GK38" i="22" s="1"/>
  <c r="CZ138" i="22"/>
  <c r="Y138" i="22" s="1"/>
  <c r="CY138" i="22"/>
  <c r="X138" i="22" s="1"/>
  <c r="GP138" i="22" s="1"/>
  <c r="R191" i="22"/>
  <c r="R32" i="22"/>
  <c r="GK32" i="22" s="1"/>
  <c r="T32" i="22"/>
  <c r="F162" i="22"/>
  <c r="U135" i="22"/>
  <c r="CP199" i="22"/>
  <c r="O199" i="22" s="1"/>
  <c r="CH284" i="22"/>
  <c r="CF284" i="22"/>
  <c r="CE284" i="22"/>
  <c r="AC276" i="22"/>
  <c r="P284" i="22"/>
  <c r="GK198" i="22"/>
  <c r="U90" i="22"/>
  <c r="AH93" i="22" s="1"/>
  <c r="S90" i="22"/>
  <c r="D39" i="19"/>
  <c r="E38" i="20"/>
  <c r="F339" i="22"/>
  <c r="BD354" i="22"/>
  <c r="BD22" i="22"/>
  <c r="AC40" i="22"/>
  <c r="CP28" i="22"/>
  <c r="O28" i="22" s="1"/>
  <c r="CP193" i="22"/>
  <c r="O193" i="22" s="1"/>
  <c r="W38" i="22"/>
  <c r="V32" i="22"/>
  <c r="U200" i="22"/>
  <c r="AW140" i="22"/>
  <c r="CF135" i="22"/>
  <c r="F58" i="22"/>
  <c r="AT26" i="22"/>
  <c r="R89" i="22"/>
  <c r="AQ284" i="22"/>
  <c r="BZ276" i="22"/>
  <c r="CG284" i="22"/>
  <c r="CG244" i="22"/>
  <c r="AT244" i="22"/>
  <c r="CC237" i="22"/>
  <c r="CI244" i="22"/>
  <c r="AP244" i="22"/>
  <c r="BY237" i="22"/>
  <c r="F261" i="22"/>
  <c r="AS237" i="22"/>
  <c r="BB276" i="22"/>
  <c r="F297" i="22"/>
  <c r="CP240" i="22"/>
  <c r="O240" i="22" s="1"/>
  <c r="CB182" i="22"/>
  <c r="AS205" i="22"/>
  <c r="AE284" i="22"/>
  <c r="R140" i="22"/>
  <c r="AE135" i="22"/>
  <c r="CP189" i="22"/>
  <c r="O189" i="22" s="1"/>
  <c r="AQ205" i="22"/>
  <c r="CG205" i="22"/>
  <c r="BZ182" i="22"/>
  <c r="F150" i="22"/>
  <c r="AQ135" i="22"/>
  <c r="AC93" i="22"/>
  <c r="CP84" i="22"/>
  <c r="O84" i="22" s="1"/>
  <c r="V38" i="22"/>
  <c r="S38" i="22"/>
  <c r="CJ135" i="22"/>
  <c r="BA140" i="22"/>
  <c r="CZ36" i="22"/>
  <c r="Y36" i="22" s="1"/>
  <c r="CY36" i="22"/>
  <c r="X36" i="22" s="1"/>
  <c r="F164" i="22"/>
  <c r="W135" i="22"/>
  <c r="CP195" i="22"/>
  <c r="O195" i="22" s="1"/>
  <c r="AD93" i="22"/>
  <c r="AY140" i="22"/>
  <c r="CH135" i="22"/>
  <c r="F163" i="22"/>
  <c r="V135" i="22"/>
  <c r="CZ281" i="22"/>
  <c r="Y281" i="22" s="1"/>
  <c r="AL284" i="22" s="1"/>
  <c r="CY281" i="22"/>
  <c r="X281" i="22" s="1"/>
  <c r="GM281" i="22" s="1"/>
  <c r="AF284" i="22"/>
  <c r="AD276" i="22"/>
  <c r="Q284" i="22"/>
  <c r="R185" i="22"/>
  <c r="AH244" i="22"/>
  <c r="AC205" i="22"/>
  <c r="AZ205" i="22"/>
  <c r="CI182" i="22"/>
  <c r="R33" i="22"/>
  <c r="GK33" i="22" s="1"/>
  <c r="D31" i="19"/>
  <c r="U38" i="22"/>
  <c r="E30" i="20"/>
  <c r="AD205" i="22"/>
  <c r="F260" i="22"/>
  <c r="BC237" i="22"/>
  <c r="T244" i="22"/>
  <c r="AG237" i="22"/>
  <c r="GM279" i="22"/>
  <c r="GP279" i="22"/>
  <c r="CJ276" i="22"/>
  <c r="BA284" i="22"/>
  <c r="CB276" i="22"/>
  <c r="AS284" i="22"/>
  <c r="CP239" i="22"/>
  <c r="O239" i="22" s="1"/>
  <c r="AC244" i="22"/>
  <c r="AE244" i="22"/>
  <c r="AD135" i="22"/>
  <c r="Q140" i="22"/>
  <c r="U199" i="22"/>
  <c r="AH205" i="22" s="1"/>
  <c r="W199" i="22"/>
  <c r="AJ205" i="22" s="1"/>
  <c r="E59" i="20"/>
  <c r="D60" i="19"/>
  <c r="V90" i="22"/>
  <c r="AI93" i="22" s="1"/>
  <c r="CP188" i="22"/>
  <c r="O188" i="22" s="1"/>
  <c r="AT205" i="22"/>
  <c r="AT314" i="22" s="1"/>
  <c r="CC182" i="22"/>
  <c r="AK140" i="22"/>
  <c r="GK36" i="22"/>
  <c r="AX40" i="22"/>
  <c r="CG26" i="22"/>
  <c r="CP190" i="22"/>
  <c r="O190" i="22" s="1"/>
  <c r="BA244" i="22"/>
  <c r="CJ237" i="22"/>
  <c r="GM197" i="22"/>
  <c r="T200" i="22"/>
  <c r="AG205" i="22" s="1"/>
  <c r="S200" i="22"/>
  <c r="D61" i="19"/>
  <c r="E60" i="20"/>
  <c r="F156" i="22"/>
  <c r="BC135" i="22"/>
  <c r="AB140" i="22"/>
  <c r="GM137" i="22"/>
  <c r="GP137" i="22"/>
  <c r="T90" i="22"/>
  <c r="AG93" i="22" s="1"/>
  <c r="F214" i="22"/>
  <c r="AP182" i="22"/>
  <c r="AL140" i="22"/>
  <c r="R37" i="22"/>
  <c r="GK37" i="22" s="1"/>
  <c r="E29" i="20"/>
  <c r="D30" i="19"/>
  <c r="S37" i="22"/>
  <c r="F97" i="22"/>
  <c r="AO82" i="22"/>
  <c r="T38" i="22"/>
  <c r="CP36" i="22"/>
  <c r="O36" i="22" s="1"/>
  <c r="BC314" i="22"/>
  <c r="W37" i="22"/>
  <c r="F50" i="22"/>
  <c r="AQ26" i="22"/>
  <c r="CZ31" i="22" l="1"/>
  <c r="Y31" i="22" s="1"/>
  <c r="CY31" i="22"/>
  <c r="X31" i="22" s="1"/>
  <c r="CY33" i="22"/>
  <c r="X33" i="22" s="1"/>
  <c r="CZ33" i="22"/>
  <c r="Y33" i="22" s="1"/>
  <c r="GK187" i="22"/>
  <c r="AG40" i="22"/>
  <c r="CP31" i="22"/>
  <c r="O31" i="22" s="1"/>
  <c r="AH40" i="22"/>
  <c r="GP85" i="22"/>
  <c r="GP196" i="22"/>
  <c r="GK30" i="22"/>
  <c r="GM194" i="22"/>
  <c r="GM85" i="22"/>
  <c r="AI40" i="22"/>
  <c r="V40" i="22" s="1"/>
  <c r="GP33" i="22"/>
  <c r="AF40" i="22"/>
  <c r="GP280" i="22"/>
  <c r="AB284" i="22"/>
  <c r="AO22" i="22"/>
  <c r="BA205" i="22"/>
  <c r="F225" i="22" s="1"/>
  <c r="GK201" i="22"/>
  <c r="GP281" i="22"/>
  <c r="GM186" i="22"/>
  <c r="AK284" i="22"/>
  <c r="GP187" i="22"/>
  <c r="GM187" i="22"/>
  <c r="AF26" i="22"/>
  <c r="S40" i="22"/>
  <c r="F332" i="22"/>
  <c r="F16" i="23" s="1"/>
  <c r="F18" i="23" s="1"/>
  <c r="AT354" i="22"/>
  <c r="AT22" i="22"/>
  <c r="U205" i="22"/>
  <c r="AH182" i="22"/>
  <c r="T40" i="22"/>
  <c r="AG26" i="22"/>
  <c r="BA40" i="22"/>
  <c r="CJ26" i="22"/>
  <c r="AI26" i="22"/>
  <c r="T205" i="22"/>
  <c r="AG182" i="22"/>
  <c r="U40" i="22"/>
  <c r="AH26" i="22"/>
  <c r="Q135" i="22"/>
  <c r="F152" i="22"/>
  <c r="AY135" i="22"/>
  <c r="F148" i="22"/>
  <c r="AV284" i="22"/>
  <c r="CE276" i="22"/>
  <c r="F147" i="22"/>
  <c r="AX135" i="22"/>
  <c r="GM32" i="22"/>
  <c r="GP32" i="22"/>
  <c r="F268" i="22"/>
  <c r="W237" i="22"/>
  <c r="GM91" i="22"/>
  <c r="GP91" i="22"/>
  <c r="F155" i="22"/>
  <c r="F176" i="22" s="1"/>
  <c r="S135" i="22"/>
  <c r="CP200" i="22"/>
  <c r="O200" i="22" s="1"/>
  <c r="V276" i="22"/>
  <c r="F307" i="22"/>
  <c r="AL135" i="22"/>
  <c r="Y140" i="22"/>
  <c r="GP190" i="22"/>
  <c r="GM190" i="22"/>
  <c r="F301" i="22"/>
  <c r="AS276" i="22"/>
  <c r="P40" i="22"/>
  <c r="AC26" i="22"/>
  <c r="CF40" i="22"/>
  <c r="CE40" i="22"/>
  <c r="CH40" i="22"/>
  <c r="GP84" i="22"/>
  <c r="GM84" i="22"/>
  <c r="R244" i="22"/>
  <c r="AE237" i="22"/>
  <c r="F265" i="22"/>
  <c r="T237" i="22"/>
  <c r="F216" i="22"/>
  <c r="AZ182" i="22"/>
  <c r="GP189" i="22"/>
  <c r="GM189" i="22"/>
  <c r="F379" i="22"/>
  <c r="BD18" i="22"/>
  <c r="AW284" i="22"/>
  <c r="CF276" i="22"/>
  <c r="F151" i="22"/>
  <c r="AZ135" i="22"/>
  <c r="F367" i="22"/>
  <c r="BB18" i="22"/>
  <c r="F117" i="22"/>
  <c r="W82" i="22"/>
  <c r="F296" i="22"/>
  <c r="Q276" i="22"/>
  <c r="X140" i="22"/>
  <c r="AK135" i="22"/>
  <c r="F215" i="22"/>
  <c r="AQ182" i="22"/>
  <c r="F222" i="22"/>
  <c r="AS182" i="22"/>
  <c r="GK89" i="22"/>
  <c r="AE93" i="22"/>
  <c r="F256" i="22"/>
  <c r="Q237" i="22"/>
  <c r="AF276" i="22"/>
  <c r="S284" i="22"/>
  <c r="AX284" i="22"/>
  <c r="CG276" i="22"/>
  <c r="T93" i="22"/>
  <c r="AG82" i="22"/>
  <c r="F304" i="22"/>
  <c r="BA276" i="22"/>
  <c r="AD82" i="22"/>
  <c r="Q93" i="22"/>
  <c r="CF93" i="22"/>
  <c r="CE93" i="22"/>
  <c r="P93" i="22"/>
  <c r="AC82" i="22"/>
  <c r="CH93" i="22"/>
  <c r="AQ314" i="22"/>
  <c r="CD140" i="22"/>
  <c r="CZ200" i="22"/>
  <c r="Y200" i="22" s="1"/>
  <c r="CY200" i="22"/>
  <c r="X200" i="22" s="1"/>
  <c r="F47" i="22"/>
  <c r="AX26" i="22"/>
  <c r="CE205" i="22"/>
  <c r="P205" i="22"/>
  <c r="CH205" i="22"/>
  <c r="AC182" i="22"/>
  <c r="CF205" i="22"/>
  <c r="GP195" i="22"/>
  <c r="GM195" i="22"/>
  <c r="GP240" i="22"/>
  <c r="GM240" i="22"/>
  <c r="F294" i="22"/>
  <c r="AQ276" i="22"/>
  <c r="CP37" i="22"/>
  <c r="O37" i="22" s="1"/>
  <c r="CZ90" i="22"/>
  <c r="Y90" i="22" s="1"/>
  <c r="CY90" i="22"/>
  <c r="X90" i="22" s="1"/>
  <c r="AF93" i="22"/>
  <c r="AY284" i="22"/>
  <c r="CH276" i="22"/>
  <c r="Q40" i="22"/>
  <c r="AD26" i="22"/>
  <c r="GM242" i="22"/>
  <c r="GP242" i="22"/>
  <c r="F295" i="22"/>
  <c r="AZ276" i="22"/>
  <c r="GP87" i="22"/>
  <c r="GM87" i="22"/>
  <c r="AK244" i="22"/>
  <c r="AL244" i="22"/>
  <c r="F267" i="22"/>
  <c r="V237" i="22"/>
  <c r="F113" i="22"/>
  <c r="BA82" i="22"/>
  <c r="F264" i="22"/>
  <c r="BA237" i="22"/>
  <c r="GK191" i="22"/>
  <c r="AJ40" i="22"/>
  <c r="W276" i="22"/>
  <c r="F308" i="22"/>
  <c r="GM192" i="22"/>
  <c r="GP192" i="22"/>
  <c r="GM241" i="22"/>
  <c r="GP241" i="22"/>
  <c r="AP314" i="22"/>
  <c r="F49" i="22"/>
  <c r="AP26" i="22"/>
  <c r="AX244" i="22"/>
  <c r="CG237" i="22"/>
  <c r="F223" i="22"/>
  <c r="AT182" i="22"/>
  <c r="U244" i="22"/>
  <c r="AH237" i="22"/>
  <c r="F160" i="22"/>
  <c r="BA135" i="22"/>
  <c r="R135" i="22"/>
  <c r="F154" i="22"/>
  <c r="F177" i="22" s="1"/>
  <c r="F172" i="22" s="1"/>
  <c r="AH82" i="22"/>
  <c r="U93" i="22"/>
  <c r="Q205" i="22"/>
  <c r="AD182" i="22"/>
  <c r="AE276" i="22"/>
  <c r="R284" i="22"/>
  <c r="CI237" i="22"/>
  <c r="AZ244" i="22"/>
  <c r="GM193" i="22"/>
  <c r="GP193" i="22"/>
  <c r="AT82" i="22"/>
  <c r="F111" i="22"/>
  <c r="S244" i="22"/>
  <c r="AF237" i="22"/>
  <c r="GP198" i="22"/>
  <c r="GM198" i="22"/>
  <c r="CI82" i="22"/>
  <c r="AZ93" i="22"/>
  <c r="AS314" i="22"/>
  <c r="AS26" i="22"/>
  <c r="F57" i="22"/>
  <c r="GM138" i="22"/>
  <c r="GP29" i="22"/>
  <c r="GM29" i="22"/>
  <c r="AZ40" i="22"/>
  <c r="CI26" i="22"/>
  <c r="F254" i="22"/>
  <c r="AQ237" i="22"/>
  <c r="F306" i="22"/>
  <c r="U276" i="22"/>
  <c r="AF205" i="22"/>
  <c r="AB244" i="22"/>
  <c r="GP239" i="22"/>
  <c r="CD244" i="22" s="1"/>
  <c r="GM239" i="22"/>
  <c r="CA244" i="22" s="1"/>
  <c r="CG182" i="22"/>
  <c r="AX205" i="22"/>
  <c r="AX314" i="22" s="1"/>
  <c r="X284" i="22"/>
  <c r="AK276" i="22"/>
  <c r="AW135" i="22"/>
  <c r="F146" i="22"/>
  <c r="CD284" i="22"/>
  <c r="AE40" i="22"/>
  <c r="GK28" i="22"/>
  <c r="F358" i="22"/>
  <c r="AO18" i="22"/>
  <c r="GP36" i="22"/>
  <c r="GM36" i="22"/>
  <c r="CA140" i="22"/>
  <c r="AL276" i="22"/>
  <c r="Y284" i="22"/>
  <c r="F253" i="22"/>
  <c r="AP237" i="22"/>
  <c r="GP199" i="22"/>
  <c r="GM199" i="22"/>
  <c r="O140" i="22"/>
  <c r="AB135" i="22"/>
  <c r="GP188" i="22"/>
  <c r="GM188" i="22"/>
  <c r="BC354" i="22"/>
  <c r="F330" i="22"/>
  <c r="BC22" i="22"/>
  <c r="CZ37" i="22"/>
  <c r="Y37" i="22" s="1"/>
  <c r="CY37" i="22"/>
  <c r="X37" i="22" s="1"/>
  <c r="V93" i="22"/>
  <c r="AI82" i="22"/>
  <c r="W205" i="22"/>
  <c r="AJ182" i="22"/>
  <c r="CH244" i="22"/>
  <c r="CF244" i="22"/>
  <c r="CE244" i="22"/>
  <c r="P244" i="22"/>
  <c r="AC237" i="22"/>
  <c r="GK185" i="22"/>
  <c r="AE205" i="22"/>
  <c r="CY38" i="22"/>
  <c r="X38" i="22" s="1"/>
  <c r="CZ38" i="22"/>
  <c r="Y38" i="22" s="1"/>
  <c r="O284" i="22"/>
  <c r="AB276" i="22"/>
  <c r="F103" i="22"/>
  <c r="AQ82" i="22"/>
  <c r="F100" i="22"/>
  <c r="AX82" i="22"/>
  <c r="AV135" i="22"/>
  <c r="F145" i="22"/>
  <c r="F305" i="22"/>
  <c r="T276" i="22"/>
  <c r="V205" i="22"/>
  <c r="AI182" i="22"/>
  <c r="F262" i="22"/>
  <c r="AT237" i="22"/>
  <c r="GP28" i="22"/>
  <c r="GM28" i="22"/>
  <c r="AB40" i="22"/>
  <c r="P276" i="22"/>
  <c r="F287" i="22"/>
  <c r="AS82" i="22"/>
  <c r="F110" i="22"/>
  <c r="CA284" i="22"/>
  <c r="CP90" i="22"/>
  <c r="O90" i="22" s="1"/>
  <c r="AB93" i="22" s="1"/>
  <c r="BA182" i="22" l="1"/>
  <c r="GP31" i="22"/>
  <c r="GM31" i="22"/>
  <c r="GP201" i="22"/>
  <c r="GM201" i="22"/>
  <c r="GM33" i="22"/>
  <c r="GP30" i="22"/>
  <c r="GM30" i="22"/>
  <c r="GP200" i="22"/>
  <c r="GM200" i="22"/>
  <c r="F321" i="22"/>
  <c r="AX354" i="22"/>
  <c r="AX22" i="22"/>
  <c r="F96" i="22"/>
  <c r="P82" i="22"/>
  <c r="AB82" i="22"/>
  <c r="O93" i="22"/>
  <c r="CE237" i="22"/>
  <c r="AV244" i="22"/>
  <c r="F331" i="22"/>
  <c r="E16" i="23" s="1"/>
  <c r="AS354" i="22"/>
  <c r="AS22" i="22"/>
  <c r="AU244" i="22"/>
  <c r="CD237" i="22"/>
  <c r="F323" i="22"/>
  <c r="G16" i="23" s="1"/>
  <c r="G18" i="23" s="1"/>
  <c r="AP354" i="22"/>
  <c r="AP22" i="22"/>
  <c r="AY244" i="22"/>
  <c r="CH237" i="22"/>
  <c r="AB237" i="22"/>
  <c r="O244" i="22"/>
  <c r="AZ314" i="22"/>
  <c r="F51" i="22"/>
  <c r="AZ26" i="22"/>
  <c r="GM191" i="22"/>
  <c r="GP191" i="22"/>
  <c r="GM37" i="22"/>
  <c r="GP37" i="22"/>
  <c r="AW205" i="22"/>
  <c r="CF182" i="22"/>
  <c r="AK205" i="22"/>
  <c r="CE82" i="22"/>
  <c r="AV93" i="22"/>
  <c r="F114" i="22"/>
  <c r="T82" i="22"/>
  <c r="GM38" i="22"/>
  <c r="BA314" i="22"/>
  <c r="BA26" i="22"/>
  <c r="F60" i="22"/>
  <c r="F372" i="22"/>
  <c r="AT18" i="22"/>
  <c r="AR244" i="22"/>
  <c r="CA237" i="22"/>
  <c r="V314" i="22"/>
  <c r="V26" i="22"/>
  <c r="F63" i="22"/>
  <c r="CF237" i="22"/>
  <c r="AW244" i="22"/>
  <c r="F142" i="22"/>
  <c r="O135" i="22"/>
  <c r="CA135" i="22"/>
  <c r="AR140" i="22"/>
  <c r="F104" i="22"/>
  <c r="AZ82" i="22"/>
  <c r="Y244" i="22"/>
  <c r="AL237" i="22"/>
  <c r="F228" i="22"/>
  <c r="V182" i="22"/>
  <c r="GP185" i="22"/>
  <c r="GM185" i="22"/>
  <c r="F370" i="22"/>
  <c r="BC18" i="22"/>
  <c r="S205" i="22"/>
  <c r="AF182" i="22"/>
  <c r="F255" i="22"/>
  <c r="AZ237" i="22"/>
  <c r="AL205" i="22"/>
  <c r="CF82" i="22"/>
  <c r="AW93" i="22"/>
  <c r="AY40" i="22"/>
  <c r="CH26" i="22"/>
  <c r="AE26" i="22"/>
  <c r="R40" i="22"/>
  <c r="F266" i="22"/>
  <c r="U237" i="22"/>
  <c r="AK93" i="22"/>
  <c r="R205" i="22"/>
  <c r="AE182" i="22"/>
  <c r="CD276" i="22"/>
  <c r="AU284" i="22"/>
  <c r="F115" i="22"/>
  <c r="U82" i="22"/>
  <c r="AL93" i="22"/>
  <c r="AB205" i="22"/>
  <c r="F229" i="22"/>
  <c r="W182" i="22"/>
  <c r="X244" i="22"/>
  <c r="AK237" i="22"/>
  <c r="Q314" i="22"/>
  <c r="Q26" i="22"/>
  <c r="F52" i="22"/>
  <c r="AY205" i="22"/>
  <c r="CH182" i="22"/>
  <c r="AU140" i="22"/>
  <c r="CD135" i="22"/>
  <c r="F105" i="22"/>
  <c r="Q82" i="22"/>
  <c r="AX276" i="22"/>
  <c r="F291" i="22"/>
  <c r="GP38" i="22"/>
  <c r="F290" i="22"/>
  <c r="AW276" i="22"/>
  <c r="AV40" i="22"/>
  <c r="CE26" i="22"/>
  <c r="Y135" i="22"/>
  <c r="F167" i="22"/>
  <c r="F171" i="22" s="1"/>
  <c r="T314" i="22"/>
  <c r="F61" i="22"/>
  <c r="T26" i="22"/>
  <c r="AB26" i="22"/>
  <c r="O40" i="22"/>
  <c r="F310" i="22"/>
  <c r="X276" i="22"/>
  <c r="R276" i="22"/>
  <c r="F298" i="22"/>
  <c r="F251" i="22"/>
  <c r="AX237" i="22"/>
  <c r="F208" i="22"/>
  <c r="P182" i="22"/>
  <c r="AW40" i="22"/>
  <c r="CF26" i="22"/>
  <c r="AJ26" i="22"/>
  <c r="W40" i="22"/>
  <c r="GM90" i="22"/>
  <c r="GP90" i="22"/>
  <c r="F286" i="22"/>
  <c r="O276" i="22"/>
  <c r="V82" i="22"/>
  <c r="F116" i="22"/>
  <c r="F212" i="22"/>
  <c r="AX182" i="22"/>
  <c r="F259" i="22"/>
  <c r="S237" i="22"/>
  <c r="F292" i="22"/>
  <c r="AY276" i="22"/>
  <c r="AV205" i="22"/>
  <c r="CE182" i="22"/>
  <c r="AQ354" i="22"/>
  <c r="F324" i="22"/>
  <c r="AQ22" i="22"/>
  <c r="F299" i="22"/>
  <c r="S276" i="22"/>
  <c r="F166" i="22"/>
  <c r="X135" i="22"/>
  <c r="F226" i="22"/>
  <c r="T182" i="22"/>
  <c r="F227" i="22"/>
  <c r="U182" i="22"/>
  <c r="S26" i="22"/>
  <c r="F55" i="22"/>
  <c r="F76" i="22" s="1"/>
  <c r="F217" i="22"/>
  <c r="Q182" i="22"/>
  <c r="GP89" i="22"/>
  <c r="GM89" i="22"/>
  <c r="AL40" i="22"/>
  <c r="CA276" i="22"/>
  <c r="AR284" i="22"/>
  <c r="F247" i="22"/>
  <c r="P237" i="22"/>
  <c r="AK40" i="22"/>
  <c r="F311" i="22"/>
  <c r="Y276" i="22"/>
  <c r="S93" i="22"/>
  <c r="AF82" i="22"/>
  <c r="CH82" i="22"/>
  <c r="AY93" i="22"/>
  <c r="AE82" i="22"/>
  <c r="R93" i="22"/>
  <c r="R237" i="22"/>
  <c r="F258" i="22"/>
  <c r="P314" i="22"/>
  <c r="P26" i="22"/>
  <c r="F43" i="22"/>
  <c r="AV276" i="22"/>
  <c r="F289" i="22"/>
  <c r="U314" i="22"/>
  <c r="F62" i="22"/>
  <c r="U26" i="22"/>
  <c r="CA40" i="22" l="1"/>
  <c r="AR40" i="22" s="1"/>
  <c r="CA93" i="22"/>
  <c r="CD93" i="22"/>
  <c r="AU93" i="22" s="1"/>
  <c r="CD40" i="22"/>
  <c r="AU40" i="22" s="1"/>
  <c r="CA205" i="22"/>
  <c r="AR205" i="22" s="1"/>
  <c r="CA82" i="22"/>
  <c r="AR93" i="22"/>
  <c r="CD82" i="22"/>
  <c r="CA26" i="22"/>
  <c r="AL82" i="22"/>
  <c r="Y93" i="22"/>
  <c r="X93" i="22"/>
  <c r="AK82" i="22"/>
  <c r="AW82" i="22"/>
  <c r="F99" i="22"/>
  <c r="AY237" i="22"/>
  <c r="F252" i="22"/>
  <c r="E18" i="23"/>
  <c r="F361" i="22"/>
  <c r="AX18" i="22"/>
  <c r="F213" i="22"/>
  <c r="AY182" i="22"/>
  <c r="F219" i="22"/>
  <c r="R182" i="22"/>
  <c r="F220" i="22"/>
  <c r="S182" i="22"/>
  <c r="F371" i="22"/>
  <c r="AS18" i="22"/>
  <c r="F107" i="22"/>
  <c r="F130" i="22" s="1"/>
  <c r="F125" i="22" s="1"/>
  <c r="R82" i="22"/>
  <c r="X40" i="22"/>
  <c r="AK26" i="22"/>
  <c r="Y40" i="22"/>
  <c r="AL26" i="22"/>
  <c r="X205" i="22"/>
  <c r="AK182" i="22"/>
  <c r="F249" i="22"/>
  <c r="AV237" i="22"/>
  <c r="AW314" i="22"/>
  <c r="F46" i="22"/>
  <c r="AW26" i="22"/>
  <c r="F42" i="22"/>
  <c r="O26" i="22"/>
  <c r="Q354" i="22"/>
  <c r="F326" i="22"/>
  <c r="Q22" i="22"/>
  <c r="Y205" i="22"/>
  <c r="AL182" i="22"/>
  <c r="F168" i="22"/>
  <c r="AR135" i="22"/>
  <c r="F337" i="22"/>
  <c r="V354" i="22"/>
  <c r="V22" i="22"/>
  <c r="F334" i="22"/>
  <c r="BA354" i="22"/>
  <c r="BA22" i="22"/>
  <c r="F363" i="22"/>
  <c r="AP18" i="22"/>
  <c r="S314" i="22"/>
  <c r="F101" i="22"/>
  <c r="AY82" i="22"/>
  <c r="F364" i="22"/>
  <c r="AQ18" i="22"/>
  <c r="W314" i="22"/>
  <c r="F64" i="22"/>
  <c r="W26" i="22"/>
  <c r="CD205" i="22"/>
  <c r="O82" i="22"/>
  <c r="F95" i="22"/>
  <c r="P354" i="22"/>
  <c r="F317" i="22"/>
  <c r="P22" i="22"/>
  <c r="AV314" i="22"/>
  <c r="AV26" i="22"/>
  <c r="F45" i="22"/>
  <c r="X237" i="22"/>
  <c r="F270" i="22"/>
  <c r="AU276" i="22"/>
  <c r="F303" i="22"/>
  <c r="R314" i="22"/>
  <c r="F54" i="22"/>
  <c r="F77" i="22" s="1"/>
  <c r="F72" i="22" s="1"/>
  <c r="R26" i="22"/>
  <c r="F211" i="22"/>
  <c r="AW182" i="22"/>
  <c r="AZ354" i="22"/>
  <c r="F325" i="22"/>
  <c r="AZ22" i="22"/>
  <c r="U354" i="22"/>
  <c r="F336" i="22"/>
  <c r="U22" i="22"/>
  <c r="F210" i="22"/>
  <c r="AV182" i="22"/>
  <c r="F159" i="22"/>
  <c r="AU135" i="22"/>
  <c r="F272" i="22"/>
  <c r="AR237" i="22"/>
  <c r="F246" i="22"/>
  <c r="O237" i="22"/>
  <c r="F263" i="22"/>
  <c r="AU237" i="22"/>
  <c r="O205" i="22"/>
  <c r="O314" i="22" s="1"/>
  <c r="AB182" i="22"/>
  <c r="AY314" i="22"/>
  <c r="AY26" i="22"/>
  <c r="F48" i="22"/>
  <c r="F271" i="22"/>
  <c r="Y237" i="22"/>
  <c r="AV82" i="22"/>
  <c r="F98" i="22"/>
  <c r="F108" i="22"/>
  <c r="F129" i="22" s="1"/>
  <c r="S82" i="22"/>
  <c r="F312" i="22"/>
  <c r="AR276" i="22"/>
  <c r="T354" i="22"/>
  <c r="F335" i="22"/>
  <c r="T22" i="22"/>
  <c r="F250" i="22"/>
  <c r="AW237" i="22"/>
  <c r="CA182" i="22" l="1"/>
  <c r="CD26" i="22"/>
  <c r="O354" i="22"/>
  <c r="F316" i="22"/>
  <c r="O22" i="22"/>
  <c r="AW354" i="22"/>
  <c r="F320" i="22"/>
  <c r="AW22" i="22"/>
  <c r="R354" i="22"/>
  <c r="F328" i="22"/>
  <c r="F351" i="22" s="1"/>
  <c r="F346" i="22" s="1"/>
  <c r="R22" i="22"/>
  <c r="F170" i="22"/>
  <c r="F173" i="22" s="1"/>
  <c r="F169" i="22"/>
  <c r="AY354" i="22"/>
  <c r="F322" i="22"/>
  <c r="AY22" i="22"/>
  <c r="F375" i="22"/>
  <c r="T18" i="22"/>
  <c r="AV354" i="22"/>
  <c r="F319" i="22"/>
  <c r="AV22" i="22"/>
  <c r="F376" i="22"/>
  <c r="U18" i="22"/>
  <c r="W354" i="22"/>
  <c r="F338" i="22"/>
  <c r="W22" i="22"/>
  <c r="X314" i="22"/>
  <c r="X26" i="22"/>
  <c r="F66" i="22"/>
  <c r="AR314" i="22"/>
  <c r="AR26" i="22"/>
  <c r="F68" i="22"/>
  <c r="F357" i="22"/>
  <c r="P18" i="22"/>
  <c r="F374" i="22"/>
  <c r="BA18" i="22"/>
  <c r="F233" i="22"/>
  <c r="AR182" i="22"/>
  <c r="F112" i="22"/>
  <c r="AU82" i="22"/>
  <c r="F207" i="22"/>
  <c r="O182" i="22"/>
  <c r="F365" i="22"/>
  <c r="AZ18" i="22"/>
  <c r="F231" i="22"/>
  <c r="X182" i="22"/>
  <c r="F121" i="22"/>
  <c r="AR82" i="22"/>
  <c r="F232" i="22"/>
  <c r="Y182" i="22"/>
  <c r="F119" i="22"/>
  <c r="X82" i="22"/>
  <c r="Y314" i="22"/>
  <c r="F67" i="22"/>
  <c r="F71" i="22" s="1"/>
  <c r="Y26" i="22"/>
  <c r="F366" i="22"/>
  <c r="Q18" i="22"/>
  <c r="AU205" i="22"/>
  <c r="CD182" i="22"/>
  <c r="F329" i="22"/>
  <c r="S354" i="22"/>
  <c r="S22" i="22"/>
  <c r="F377" i="22"/>
  <c r="V18" i="22"/>
  <c r="F120" i="22"/>
  <c r="F124" i="22" s="1"/>
  <c r="Y82" i="22"/>
  <c r="AU314" i="22"/>
  <c r="F59" i="22"/>
  <c r="AU26" i="22"/>
  <c r="Y354" i="22" l="1"/>
  <c r="F341" i="22"/>
  <c r="F345" i="22" s="1"/>
  <c r="Y22" i="22"/>
  <c r="F122" i="22"/>
  <c r="F123" i="22"/>
  <c r="F126" i="22" s="1"/>
  <c r="F368" i="22"/>
  <c r="F391" i="22" s="1"/>
  <c r="F386" i="22" s="1"/>
  <c r="R18" i="22"/>
  <c r="F378" i="22"/>
  <c r="W18" i="22"/>
  <c r="F224" i="22"/>
  <c r="AU182" i="22"/>
  <c r="AR354" i="22"/>
  <c r="F342" i="22"/>
  <c r="AR22" i="22"/>
  <c r="F362" i="22"/>
  <c r="AY18" i="22"/>
  <c r="F360" i="22"/>
  <c r="AW18" i="22"/>
  <c r="J16" i="23"/>
  <c r="J18" i="23" s="1"/>
  <c r="F350" i="22"/>
  <c r="F175" i="22"/>
  <c r="F178" i="22" s="1"/>
  <c r="F174" i="22"/>
  <c r="AU354" i="22"/>
  <c r="F333" i="22"/>
  <c r="H16" i="23" s="1"/>
  <c r="AU22" i="22"/>
  <c r="F70" i="22"/>
  <c r="F73" i="22" s="1"/>
  <c r="F69" i="22"/>
  <c r="F369" i="22"/>
  <c r="F390" i="22" s="1"/>
  <c r="S18" i="22"/>
  <c r="X354" i="22"/>
  <c r="F340" i="22"/>
  <c r="X22" i="22"/>
  <c r="F359" i="22"/>
  <c r="AV18" i="22"/>
  <c r="F356" i="22"/>
  <c r="O18" i="22"/>
  <c r="F373" i="22" l="1"/>
  <c r="AU18" i="22"/>
  <c r="F380" i="22"/>
  <c r="X18" i="22"/>
  <c r="F344" i="22"/>
  <c r="F347" i="22" s="1"/>
  <c r="F343" i="22"/>
  <c r="F74" i="22"/>
  <c r="F75" i="22" s="1"/>
  <c r="F78" i="22" s="1"/>
  <c r="F128" i="22"/>
  <c r="F131" i="22" s="1"/>
  <c r="F127" i="22"/>
  <c r="F382" i="22"/>
  <c r="AR18" i="22"/>
  <c r="H18" i="23"/>
  <c r="I16" i="23"/>
  <c r="I18" i="23" s="1"/>
  <c r="F381" i="22"/>
  <c r="F385" i="22" s="1"/>
  <c r="Y18" i="22"/>
  <c r="F348" i="22" l="1"/>
  <c r="F349" i="22" s="1"/>
  <c r="F352" i="22" s="1"/>
  <c r="F383" i="22"/>
  <c r="F384" i="22"/>
  <c r="F387" i="22" s="1"/>
  <c r="F388" i="22" l="1"/>
  <c r="F389" i="22" s="1"/>
  <c r="F392" i="22" s="1"/>
  <c r="A60" i="17" l="1"/>
  <c r="A59" i="17"/>
  <c r="A58" i="17"/>
  <c r="A57" i="17"/>
  <c r="A56" i="17"/>
  <c r="A55" i="17"/>
  <c r="A54" i="17"/>
  <c r="A53" i="17"/>
  <c r="A52" i="17"/>
  <c r="A51" i="17"/>
  <c r="A50" i="17"/>
  <c r="A49" i="17"/>
  <c r="A48" i="17"/>
  <c r="A47" i="17"/>
  <c r="A46" i="17"/>
  <c r="A45" i="17"/>
  <c r="A44" i="17"/>
  <c r="A43" i="17"/>
  <c r="A42" i="17"/>
  <c r="A41" i="17"/>
  <c r="A40" i="17"/>
  <c r="A39" i="17"/>
  <c r="A38" i="17"/>
  <c r="A37" i="17"/>
  <c r="A36" i="17"/>
  <c r="A35" i="17"/>
  <c r="A34" i="17"/>
  <c r="A33" i="17"/>
  <c r="A32" i="17"/>
  <c r="A31" i="17"/>
  <c r="A30" i="17"/>
  <c r="A29" i="17"/>
  <c r="A28" i="17"/>
  <c r="A27" i="17"/>
  <c r="A26" i="17"/>
  <c r="A25" i="17"/>
  <c r="A24" i="17"/>
  <c r="A23" i="17"/>
  <c r="A22" i="17"/>
  <c r="A21" i="17"/>
  <c r="A20" i="17"/>
  <c r="A19" i="17"/>
  <c r="A18" i="17"/>
  <c r="A17" i="17"/>
  <c r="A16" i="17"/>
  <c r="A15" i="17"/>
  <c r="A14" i="17"/>
  <c r="A13" i="17"/>
  <c r="A12" i="17"/>
  <c r="A11" i="17"/>
  <c r="A10" i="17"/>
  <c r="A9" i="17"/>
  <c r="A8" i="17"/>
  <c r="A7" i="17"/>
  <c r="A6" i="17"/>
  <c r="A5" i="17"/>
  <c r="A4" i="17"/>
  <c r="A3" i="17"/>
  <c r="A2" i="17"/>
  <c r="A1" i="17"/>
  <c r="DC62" i="16"/>
  <c r="DA62" i="16"/>
  <c r="CZ62" i="16"/>
  <c r="DB62" i="16" s="1"/>
  <c r="CY62" i="16"/>
  <c r="A62" i="16"/>
  <c r="DC61" i="16"/>
  <c r="DA61" i="16"/>
  <c r="CZ61" i="16"/>
  <c r="DB61" i="16" s="1"/>
  <c r="CY61" i="16"/>
  <c r="A61" i="16"/>
  <c r="DC60" i="16"/>
  <c r="DA60" i="16"/>
  <c r="CZ60" i="16"/>
  <c r="DB60" i="16" s="1"/>
  <c r="CY60" i="16"/>
  <c r="A60" i="16"/>
  <c r="DC59" i="16"/>
  <c r="DA59" i="16"/>
  <c r="CZ59" i="16"/>
  <c r="DB59" i="16" s="1"/>
  <c r="CY59" i="16"/>
  <c r="A59" i="16"/>
  <c r="DC58" i="16"/>
  <c r="DA58" i="16"/>
  <c r="CZ58" i="16"/>
  <c r="DB58" i="16" s="1"/>
  <c r="CY58" i="16"/>
  <c r="A58" i="16"/>
  <c r="DC57" i="16"/>
  <c r="DA57" i="16"/>
  <c r="CZ57" i="16"/>
  <c r="DB57" i="16" s="1"/>
  <c r="CY57" i="16"/>
  <c r="A57" i="16"/>
  <c r="DC56" i="16"/>
  <c r="DB56" i="16"/>
  <c r="DA56" i="16"/>
  <c r="CZ56" i="16"/>
  <c r="CY56" i="16"/>
  <c r="A56" i="16"/>
  <c r="DC55" i="16"/>
  <c r="DA55" i="16"/>
  <c r="CZ55" i="16"/>
  <c r="DB55" i="16" s="1"/>
  <c r="CY55" i="16"/>
  <c r="A55" i="16"/>
  <c r="DC54" i="16"/>
  <c r="DA54" i="16"/>
  <c r="CZ54" i="16"/>
  <c r="DB54" i="16" s="1"/>
  <c r="CY54" i="16"/>
  <c r="A54" i="16"/>
  <c r="DC53" i="16"/>
  <c r="DA53" i="16"/>
  <c r="CZ53" i="16"/>
  <c r="DB53" i="16" s="1"/>
  <c r="CY53" i="16"/>
  <c r="A53" i="16"/>
  <c r="DC52" i="16"/>
  <c r="DA52" i="16"/>
  <c r="CZ52" i="16"/>
  <c r="DB52" i="16" s="1"/>
  <c r="CY52" i="16"/>
  <c r="A52" i="16"/>
  <c r="DC51" i="16"/>
  <c r="DA51" i="16"/>
  <c r="CZ51" i="16"/>
  <c r="DB51" i="16" s="1"/>
  <c r="CY51" i="16"/>
  <c r="A51" i="16"/>
  <c r="DC50" i="16"/>
  <c r="DB50" i="16"/>
  <c r="DA50" i="16"/>
  <c r="CZ50" i="16"/>
  <c r="CY50" i="16"/>
  <c r="A50" i="16"/>
  <c r="DC49" i="16"/>
  <c r="DA49" i="16"/>
  <c r="CZ49" i="16"/>
  <c r="DB49" i="16" s="1"/>
  <c r="CY49" i="16"/>
  <c r="A49" i="16"/>
  <c r="DC48" i="16"/>
  <c r="DA48" i="16"/>
  <c r="CZ48" i="16"/>
  <c r="DB48" i="16" s="1"/>
  <c r="CY48" i="16"/>
  <c r="A48" i="16"/>
  <c r="DC47" i="16"/>
  <c r="DA47" i="16"/>
  <c r="CZ47" i="16"/>
  <c r="DB47" i="16" s="1"/>
  <c r="CY47" i="16"/>
  <c r="A47" i="16"/>
  <c r="DC46" i="16"/>
  <c r="DA46" i="16"/>
  <c r="CZ46" i="16"/>
  <c r="DB46" i="16" s="1"/>
  <c r="CY46" i="16"/>
  <c r="A46" i="16"/>
  <c r="DC45" i="16"/>
  <c r="DA45" i="16"/>
  <c r="CZ45" i="16"/>
  <c r="DB45" i="16" s="1"/>
  <c r="CY45" i="16"/>
  <c r="CX45" i="16"/>
  <c r="A45" i="16"/>
  <c r="DC44" i="16"/>
  <c r="DA44" i="16"/>
  <c r="CZ44" i="16"/>
  <c r="DB44" i="16" s="1"/>
  <c r="CY44" i="16"/>
  <c r="CX44" i="16"/>
  <c r="A44" i="16"/>
  <c r="DC43" i="16"/>
  <c r="DB43" i="16"/>
  <c r="DA43" i="16"/>
  <c r="CZ43" i="16"/>
  <c r="CY43" i="16"/>
  <c r="CX43" i="16"/>
  <c r="A43" i="16"/>
  <c r="DC42" i="16"/>
  <c r="DB42" i="16"/>
  <c r="DA42" i="16"/>
  <c r="CZ42" i="16"/>
  <c r="CY42" i="16"/>
  <c r="CX42" i="16"/>
  <c r="A42" i="16"/>
  <c r="DC41" i="16"/>
  <c r="DB41" i="16"/>
  <c r="DA41" i="16"/>
  <c r="CZ41" i="16"/>
  <c r="CY41" i="16"/>
  <c r="CX41" i="16"/>
  <c r="A41" i="16"/>
  <c r="DC40" i="16"/>
  <c r="DA40" i="16"/>
  <c r="CZ40" i="16"/>
  <c r="DB40" i="16" s="1"/>
  <c r="CY40" i="16"/>
  <c r="CX40" i="16"/>
  <c r="A40" i="16"/>
  <c r="DC39" i="16"/>
  <c r="DB39" i="16"/>
  <c r="DA39" i="16"/>
  <c r="CZ39" i="16"/>
  <c r="CY39" i="16"/>
  <c r="CX39" i="16"/>
  <c r="A39" i="16"/>
  <c r="DC38" i="16"/>
  <c r="DA38" i="16"/>
  <c r="CZ38" i="16"/>
  <c r="DB38" i="16" s="1"/>
  <c r="CY38" i="16"/>
  <c r="CX38" i="16"/>
  <c r="A38" i="16"/>
  <c r="DC37" i="16"/>
  <c r="DA37" i="16"/>
  <c r="CZ37" i="16"/>
  <c r="DB37" i="16" s="1"/>
  <c r="CY37" i="16"/>
  <c r="CX37" i="16"/>
  <c r="A37" i="16"/>
  <c r="DC36" i="16"/>
  <c r="DA36" i="16"/>
  <c r="CZ36" i="16"/>
  <c r="DB36" i="16" s="1"/>
  <c r="CY36" i="16"/>
  <c r="CX36" i="16"/>
  <c r="A36" i="16"/>
  <c r="DC35" i="16"/>
  <c r="DA35" i="16"/>
  <c r="CZ35" i="16"/>
  <c r="DB35" i="16" s="1"/>
  <c r="CY35" i="16"/>
  <c r="CX35" i="16"/>
  <c r="A35" i="16"/>
  <c r="DC34" i="16"/>
  <c r="DB34" i="16"/>
  <c r="DA34" i="16"/>
  <c r="CZ34" i="16"/>
  <c r="CY34" i="16"/>
  <c r="CX34" i="16"/>
  <c r="A34" i="16"/>
  <c r="DC33" i="16"/>
  <c r="DA33" i="16"/>
  <c r="CZ33" i="16"/>
  <c r="DB33" i="16" s="1"/>
  <c r="CY33" i="16"/>
  <c r="CX33" i="16"/>
  <c r="A33" i="16"/>
  <c r="DC32" i="16"/>
  <c r="DA32" i="16"/>
  <c r="CZ32" i="16"/>
  <c r="DB32" i="16" s="1"/>
  <c r="CY32" i="16"/>
  <c r="A32" i="16"/>
  <c r="DC31" i="16"/>
  <c r="DB31" i="16"/>
  <c r="DA31" i="16"/>
  <c r="CZ31" i="16"/>
  <c r="CY31" i="16"/>
  <c r="A31" i="16"/>
  <c r="DC30" i="16"/>
  <c r="DA30" i="16"/>
  <c r="CZ30" i="16"/>
  <c r="DB30" i="16" s="1"/>
  <c r="CY30" i="16"/>
  <c r="A30" i="16"/>
  <c r="DC29" i="16"/>
  <c r="DA29" i="16"/>
  <c r="CZ29" i="16"/>
  <c r="DB29" i="16" s="1"/>
  <c r="CY29" i="16"/>
  <c r="A29" i="16"/>
  <c r="DC28" i="16"/>
  <c r="DA28" i="16"/>
  <c r="CZ28" i="16"/>
  <c r="DB28" i="16" s="1"/>
  <c r="CY28" i="16"/>
  <c r="A28" i="16"/>
  <c r="DC27" i="16"/>
  <c r="DB27" i="16"/>
  <c r="DA27" i="16"/>
  <c r="CZ27" i="16"/>
  <c r="CY27" i="16"/>
  <c r="CX27" i="16"/>
  <c r="A27" i="16"/>
  <c r="DC26" i="16"/>
  <c r="DA26" i="16"/>
  <c r="CZ26" i="16"/>
  <c r="DB26" i="16" s="1"/>
  <c r="CY26" i="16"/>
  <c r="CX26" i="16"/>
  <c r="A26" i="16"/>
  <c r="DC25" i="16"/>
  <c r="DA25" i="16"/>
  <c r="CZ25" i="16"/>
  <c r="DB25" i="16" s="1"/>
  <c r="CY25" i="16"/>
  <c r="CX25" i="16"/>
  <c r="A25" i="16"/>
  <c r="DC24" i="16"/>
  <c r="DA24" i="16"/>
  <c r="CZ24" i="16"/>
  <c r="DB24" i="16" s="1"/>
  <c r="CY24" i="16"/>
  <c r="CX24" i="16"/>
  <c r="A24" i="16"/>
  <c r="DC23" i="16"/>
  <c r="DB23" i="16"/>
  <c r="DA23" i="16"/>
  <c r="CZ23" i="16"/>
  <c r="CY23" i="16"/>
  <c r="A23" i="16"/>
  <c r="DC22" i="16"/>
  <c r="DA22" i="16"/>
  <c r="CZ22" i="16"/>
  <c r="DB22" i="16" s="1"/>
  <c r="CY22" i="16"/>
  <c r="A22" i="16"/>
  <c r="DC21" i="16"/>
  <c r="DA21" i="16"/>
  <c r="CZ21" i="16"/>
  <c r="DB21" i="16" s="1"/>
  <c r="CY21" i="16"/>
  <c r="A21" i="16"/>
  <c r="DC20" i="16"/>
  <c r="DA20" i="16"/>
  <c r="CZ20" i="16"/>
  <c r="DB20" i="16" s="1"/>
  <c r="CY20" i="16"/>
  <c r="A20" i="16"/>
  <c r="DC19" i="16"/>
  <c r="DA19" i="16"/>
  <c r="CZ19" i="16"/>
  <c r="DB19" i="16" s="1"/>
  <c r="CY19" i="16"/>
  <c r="A19" i="16"/>
  <c r="DC18" i="16"/>
  <c r="DA18" i="16"/>
  <c r="CZ18" i="16"/>
  <c r="DB18" i="16" s="1"/>
  <c r="CY18" i="16"/>
  <c r="A18" i="16"/>
  <c r="DC17" i="16"/>
  <c r="DA17" i="16"/>
  <c r="CZ17" i="16"/>
  <c r="DB17" i="16" s="1"/>
  <c r="CY17" i="16"/>
  <c r="A17" i="16"/>
  <c r="DC16" i="16"/>
  <c r="DB16" i="16"/>
  <c r="DA16" i="16"/>
  <c r="CZ16" i="16"/>
  <c r="CY16" i="16"/>
  <c r="A16" i="16"/>
  <c r="DC15" i="16"/>
  <c r="DA15" i="16"/>
  <c r="CZ15" i="16"/>
  <c r="DB15" i="16" s="1"/>
  <c r="CY15" i="16"/>
  <c r="A15" i="16"/>
  <c r="DC14" i="16"/>
  <c r="DA14" i="16"/>
  <c r="CZ14" i="16"/>
  <c r="DB14" i="16" s="1"/>
  <c r="CY14" i="16"/>
  <c r="A14" i="16"/>
  <c r="DC13" i="16"/>
  <c r="DA13" i="16"/>
  <c r="CZ13" i="16"/>
  <c r="DB13" i="16" s="1"/>
  <c r="CY13" i="16"/>
  <c r="A13" i="16"/>
  <c r="DC12" i="16"/>
  <c r="DA12" i="16"/>
  <c r="CZ12" i="16"/>
  <c r="DB12" i="16" s="1"/>
  <c r="CY12" i="16"/>
  <c r="A12" i="16"/>
  <c r="DC11" i="16"/>
  <c r="DA11" i="16"/>
  <c r="CZ11" i="16"/>
  <c r="DB11" i="16" s="1"/>
  <c r="CY11" i="16"/>
  <c r="A11" i="16"/>
  <c r="DC10" i="16"/>
  <c r="DB10" i="16"/>
  <c r="DA10" i="16"/>
  <c r="CZ10" i="16"/>
  <c r="CY10" i="16"/>
  <c r="A10" i="16"/>
  <c r="DC9" i="16"/>
  <c r="DA9" i="16"/>
  <c r="CZ9" i="16"/>
  <c r="DB9" i="16" s="1"/>
  <c r="CY9" i="16"/>
  <c r="A9" i="16"/>
  <c r="DC8" i="16"/>
  <c r="DA8" i="16"/>
  <c r="CZ8" i="16"/>
  <c r="DB8" i="16" s="1"/>
  <c r="CY8" i="16"/>
  <c r="A8" i="16"/>
  <c r="DC7" i="16"/>
  <c r="DB7" i="16"/>
  <c r="DA7" i="16"/>
  <c r="CZ7" i="16"/>
  <c r="CY7" i="16"/>
  <c r="A7" i="16"/>
  <c r="DC6" i="16"/>
  <c r="DA6" i="16"/>
  <c r="CZ6" i="16"/>
  <c r="DB6" i="16" s="1"/>
  <c r="CY6" i="16"/>
  <c r="A6" i="16"/>
  <c r="DC5" i="16"/>
  <c r="DA5" i="16"/>
  <c r="CZ5" i="16"/>
  <c r="DB5" i="16" s="1"/>
  <c r="CY5" i="16"/>
  <c r="A5" i="16"/>
  <c r="DC4" i="16"/>
  <c r="DA4" i="16"/>
  <c r="CZ4" i="16"/>
  <c r="DB4" i="16" s="1"/>
  <c r="CY4" i="16"/>
  <c r="A4" i="16"/>
  <c r="DC3" i="16"/>
  <c r="DA3" i="16"/>
  <c r="CZ3" i="16"/>
  <c r="DB3" i="16" s="1"/>
  <c r="CY3" i="16"/>
  <c r="A3" i="16"/>
  <c r="DC2" i="16"/>
  <c r="DA2" i="16"/>
  <c r="CZ2" i="16"/>
  <c r="DB2" i="16" s="1"/>
  <c r="CY2" i="16"/>
  <c r="A2" i="16"/>
  <c r="DC1" i="16"/>
  <c r="DA1" i="16"/>
  <c r="CZ1" i="16"/>
  <c r="DB1" i="16" s="1"/>
  <c r="CY1" i="16"/>
  <c r="A1" i="16"/>
  <c r="G259" i="14"/>
  <c r="F259" i="14"/>
  <c r="F18" i="14" s="1"/>
  <c r="D259" i="14"/>
  <c r="D18" i="14" s="1"/>
  <c r="C259" i="14"/>
  <c r="B259" i="14"/>
  <c r="G219" i="14"/>
  <c r="F219" i="14"/>
  <c r="D219" i="14"/>
  <c r="C219" i="14"/>
  <c r="B219" i="14"/>
  <c r="B22" i="14" s="1"/>
  <c r="CM189" i="14"/>
  <c r="CM182" i="14" s="1"/>
  <c r="CL189" i="14"/>
  <c r="CK189" i="14"/>
  <c r="BX189" i="14"/>
  <c r="BC189" i="14"/>
  <c r="F205" i="14" s="1"/>
  <c r="BB189" i="14"/>
  <c r="F202" i="14" s="1"/>
  <c r="AO189" i="14"/>
  <c r="AO182" i="14" s="1"/>
  <c r="G189" i="14"/>
  <c r="G182" i="14" s="1"/>
  <c r="F189" i="14"/>
  <c r="D189" i="14"/>
  <c r="D182" i="14" s="1"/>
  <c r="C189" i="14"/>
  <c r="C182" i="14" s="1"/>
  <c r="B189" i="14"/>
  <c r="GV187" i="14"/>
  <c r="HC187" i="14" s="1"/>
  <c r="GX187" i="14" s="1"/>
  <c r="GO187" i="14"/>
  <c r="GN187" i="14"/>
  <c r="GL187" i="14"/>
  <c r="FR187" i="14"/>
  <c r="AJ187" i="14"/>
  <c r="CX187" i="14" s="1"/>
  <c r="AI187" i="14"/>
  <c r="CW187" i="14" s="1"/>
  <c r="V187" i="14" s="1"/>
  <c r="AH187" i="14"/>
  <c r="CV187" i="14" s="1"/>
  <c r="U187" i="14" s="1"/>
  <c r="AG187" i="14"/>
  <c r="CU187" i="14" s="1"/>
  <c r="T187" i="14" s="1"/>
  <c r="AF187" i="14"/>
  <c r="AE187" i="14"/>
  <c r="CS187" i="14" s="1"/>
  <c r="AC187" i="14"/>
  <c r="CQ187" i="14" s="1"/>
  <c r="K187" i="14"/>
  <c r="I187" i="14"/>
  <c r="D187" i="14"/>
  <c r="C187" i="14"/>
  <c r="GV186" i="14"/>
  <c r="HC186" i="14" s="1"/>
  <c r="GO186" i="14"/>
  <c r="GN186" i="14"/>
  <c r="GL186" i="14"/>
  <c r="FR186" i="14"/>
  <c r="AJ186" i="14"/>
  <c r="CX186" i="14" s="1"/>
  <c r="AI186" i="14"/>
  <c r="CW186" i="14" s="1"/>
  <c r="V186" i="14" s="1"/>
  <c r="AH186" i="14"/>
  <c r="CV186" i="14" s="1"/>
  <c r="AG186" i="14"/>
  <c r="CU186" i="14" s="1"/>
  <c r="AF186" i="14"/>
  <c r="AE186" i="14"/>
  <c r="CR186" i="14" s="1"/>
  <c r="AC186" i="14"/>
  <c r="CQ186" i="14" s="1"/>
  <c r="K186" i="14"/>
  <c r="I186" i="14"/>
  <c r="D186" i="14"/>
  <c r="C186" i="14"/>
  <c r="GV185" i="14"/>
  <c r="HC185" i="14" s="1"/>
  <c r="GO185" i="14"/>
  <c r="GN185" i="14"/>
  <c r="GL185" i="14"/>
  <c r="FR185" i="14"/>
  <c r="CX185" i="14"/>
  <c r="AJ185" i="14"/>
  <c r="AI185" i="14"/>
  <c r="CW185" i="14" s="1"/>
  <c r="V185" i="14" s="1"/>
  <c r="AH185" i="14"/>
  <c r="CV185" i="14" s="1"/>
  <c r="AG185" i="14"/>
  <c r="CU185" i="14" s="1"/>
  <c r="T185" i="14" s="1"/>
  <c r="AF185" i="14"/>
  <c r="CT185" i="14" s="1"/>
  <c r="S185" i="14" s="1"/>
  <c r="AE185" i="14"/>
  <c r="AC185" i="14"/>
  <c r="CQ185" i="14" s="1"/>
  <c r="P185" i="14" s="1"/>
  <c r="K185" i="14"/>
  <c r="I185" i="14"/>
  <c r="D185" i="14"/>
  <c r="C185" i="14"/>
  <c r="GV184" i="14"/>
  <c r="HC184" i="14" s="1"/>
  <c r="GO184" i="14"/>
  <c r="GN184" i="14"/>
  <c r="CB189" i="14" s="1"/>
  <c r="GL184" i="14"/>
  <c r="BZ189" i="14" s="1"/>
  <c r="AQ189" i="14" s="1"/>
  <c r="FR184" i="14"/>
  <c r="CX184" i="14"/>
  <c r="AJ184" i="14"/>
  <c r="AI184" i="14"/>
  <c r="CW184" i="14" s="1"/>
  <c r="AH184" i="14"/>
  <c r="CV184" i="14" s="1"/>
  <c r="U184" i="14" s="1"/>
  <c r="AG184" i="14"/>
  <c r="CU184" i="14" s="1"/>
  <c r="T184" i="14" s="1"/>
  <c r="AF184" i="14"/>
  <c r="AE184" i="14"/>
  <c r="AC184" i="14"/>
  <c r="CQ184" i="14" s="1"/>
  <c r="K184" i="14"/>
  <c r="I184" i="14"/>
  <c r="P184" i="14" s="1"/>
  <c r="D184" i="14"/>
  <c r="C184" i="14"/>
  <c r="GX182" i="14"/>
  <c r="GW182" i="14"/>
  <c r="GV182" i="14"/>
  <c r="GU182" i="14"/>
  <c r="GT182" i="14"/>
  <c r="GS182" i="14"/>
  <c r="GR182" i="14"/>
  <c r="GQ182" i="14"/>
  <c r="GP182" i="14"/>
  <c r="GO182" i="14"/>
  <c r="GN182" i="14"/>
  <c r="GM182" i="14"/>
  <c r="GL182" i="14"/>
  <c r="GK182" i="14"/>
  <c r="GJ182" i="14"/>
  <c r="GI182" i="14"/>
  <c r="GH182" i="14"/>
  <c r="GG182" i="14"/>
  <c r="GF182" i="14"/>
  <c r="GE182" i="14"/>
  <c r="GD182" i="14"/>
  <c r="GC182" i="14"/>
  <c r="GB182" i="14"/>
  <c r="GA182" i="14"/>
  <c r="FZ182" i="14"/>
  <c r="FY182" i="14"/>
  <c r="FX182" i="14"/>
  <c r="FW182" i="14"/>
  <c r="FV182" i="14"/>
  <c r="FU182" i="14"/>
  <c r="FT182" i="14"/>
  <c r="FS182" i="14"/>
  <c r="FR182" i="14"/>
  <c r="FQ182" i="14"/>
  <c r="FP182" i="14"/>
  <c r="FO182" i="14"/>
  <c r="FN182" i="14"/>
  <c r="FM182" i="14"/>
  <c r="FL182" i="14"/>
  <c r="FK182" i="14"/>
  <c r="FJ182" i="14"/>
  <c r="FI182" i="14"/>
  <c r="FH182" i="14"/>
  <c r="FG182" i="14"/>
  <c r="FF182" i="14"/>
  <c r="FE182" i="14"/>
  <c r="FD182" i="14"/>
  <c r="FC182" i="14"/>
  <c r="FB182" i="14"/>
  <c r="FA182" i="14"/>
  <c r="EZ182" i="14"/>
  <c r="EY182" i="14"/>
  <c r="EX182" i="14"/>
  <c r="EW182" i="14"/>
  <c r="EV182" i="14"/>
  <c r="EU182" i="14"/>
  <c r="ET182" i="14"/>
  <c r="ES182" i="14"/>
  <c r="ER182" i="14"/>
  <c r="EQ182" i="14"/>
  <c r="EP182" i="14"/>
  <c r="EO182" i="14"/>
  <c r="EN182" i="14"/>
  <c r="EM182" i="14"/>
  <c r="EL182" i="14"/>
  <c r="EK182" i="14"/>
  <c r="EJ182" i="14"/>
  <c r="EI182" i="14"/>
  <c r="EH182" i="14"/>
  <c r="EG182" i="14"/>
  <c r="EF182" i="14"/>
  <c r="EE182" i="14"/>
  <c r="ED182" i="14"/>
  <c r="EC182" i="14"/>
  <c r="EB182" i="14"/>
  <c r="EA182" i="14"/>
  <c r="DZ182" i="14"/>
  <c r="DY182" i="14"/>
  <c r="DX182" i="14"/>
  <c r="DW182" i="14"/>
  <c r="DV182" i="14"/>
  <c r="DU182" i="14"/>
  <c r="DT182" i="14"/>
  <c r="DS182" i="14"/>
  <c r="DR182" i="14"/>
  <c r="DQ182" i="14"/>
  <c r="DP182" i="14"/>
  <c r="DO182" i="14"/>
  <c r="DN182" i="14"/>
  <c r="DM182" i="14"/>
  <c r="DL182" i="14"/>
  <c r="DK182" i="14"/>
  <c r="DJ182" i="14"/>
  <c r="DI182" i="14"/>
  <c r="DH182" i="14"/>
  <c r="DG182" i="14"/>
  <c r="DF182" i="14"/>
  <c r="DE182" i="14"/>
  <c r="DD182" i="14"/>
  <c r="DC182" i="14"/>
  <c r="DB182" i="14"/>
  <c r="DA182" i="14"/>
  <c r="CZ182" i="14"/>
  <c r="CY182" i="14"/>
  <c r="CX182" i="14"/>
  <c r="CW182" i="14"/>
  <c r="CV182" i="14"/>
  <c r="CU182" i="14"/>
  <c r="CT182" i="14"/>
  <c r="CS182" i="14"/>
  <c r="CR182" i="14"/>
  <c r="CQ182" i="14"/>
  <c r="CP182" i="14"/>
  <c r="CO182" i="14"/>
  <c r="CN182" i="14"/>
  <c r="CL182" i="14"/>
  <c r="CK182" i="14"/>
  <c r="BZ182" i="14"/>
  <c r="BX182" i="14"/>
  <c r="BW182" i="14"/>
  <c r="BV182" i="14"/>
  <c r="BU182" i="14"/>
  <c r="BT182" i="14"/>
  <c r="BS182" i="14"/>
  <c r="BR182" i="14"/>
  <c r="BQ182" i="14"/>
  <c r="BP182" i="14"/>
  <c r="BO182" i="14"/>
  <c r="BN182" i="14"/>
  <c r="BM182" i="14"/>
  <c r="BL182" i="14"/>
  <c r="BK182" i="14"/>
  <c r="BJ182" i="14"/>
  <c r="BI182" i="14"/>
  <c r="BH182" i="14"/>
  <c r="BG182" i="14"/>
  <c r="BF182" i="14"/>
  <c r="BE182" i="14"/>
  <c r="BC182" i="14"/>
  <c r="BB182" i="14"/>
  <c r="AN182" i="14"/>
  <c r="AM182" i="14"/>
  <c r="AA182" i="14"/>
  <c r="Z182" i="14"/>
  <c r="F182" i="14"/>
  <c r="E182" i="14"/>
  <c r="B182" i="14"/>
  <c r="D180" i="14"/>
  <c r="CM140" i="14"/>
  <c r="CL140" i="14"/>
  <c r="CL135" i="14" s="1"/>
  <c r="CK140" i="14"/>
  <c r="BX140" i="14"/>
  <c r="BC140" i="14"/>
  <c r="F156" i="14" s="1"/>
  <c r="G140" i="14"/>
  <c r="F140" i="14"/>
  <c r="D140" i="14"/>
  <c r="D135" i="14" s="1"/>
  <c r="C140" i="14"/>
  <c r="C135" i="14" s="1"/>
  <c r="B140" i="14"/>
  <c r="B135" i="14" s="1"/>
  <c r="HC138" i="14"/>
  <c r="GX138" i="14" s="1"/>
  <c r="GV138" i="14"/>
  <c r="GO138" i="14"/>
  <c r="GN138" i="14"/>
  <c r="GL138" i="14"/>
  <c r="FR138" i="14"/>
  <c r="CW138" i="14"/>
  <c r="V138" i="14" s="1"/>
  <c r="AJ138" i="14"/>
  <c r="CX138" i="14" s="1"/>
  <c r="W138" i="14" s="1"/>
  <c r="AI138" i="14"/>
  <c r="AH138" i="14"/>
  <c r="CV138" i="14" s="1"/>
  <c r="U138" i="14" s="1"/>
  <c r="AG138" i="14"/>
  <c r="CU138" i="14" s="1"/>
  <c r="T138" i="14" s="1"/>
  <c r="AF138" i="14"/>
  <c r="CT138" i="14" s="1"/>
  <c r="S138" i="14" s="1"/>
  <c r="CY138" i="14" s="1"/>
  <c r="X138" i="14" s="1"/>
  <c r="AE138" i="14"/>
  <c r="CS138" i="14" s="1"/>
  <c r="R138" i="14" s="1"/>
  <c r="GK138" i="14" s="1"/>
  <c r="AC138" i="14"/>
  <c r="CQ138" i="14" s="1"/>
  <c r="P138" i="14" s="1"/>
  <c r="GV137" i="14"/>
  <c r="HC137" i="14" s="1"/>
  <c r="GX137" i="14" s="1"/>
  <c r="GO137" i="14"/>
  <c r="CC140" i="14" s="1"/>
  <c r="GN137" i="14"/>
  <c r="GL137" i="14"/>
  <c r="BZ140" i="14" s="1"/>
  <c r="FR137" i="14"/>
  <c r="CR137" i="14"/>
  <c r="Q137" i="14" s="1"/>
  <c r="AJ137" i="14"/>
  <c r="CX137" i="14" s="1"/>
  <c r="W137" i="14" s="1"/>
  <c r="AI137" i="14"/>
  <c r="CW137" i="14" s="1"/>
  <c r="V137" i="14" s="1"/>
  <c r="AH137" i="14"/>
  <c r="CV137" i="14" s="1"/>
  <c r="AG137" i="14"/>
  <c r="CU137" i="14" s="1"/>
  <c r="T137" i="14" s="1"/>
  <c r="AF137" i="14"/>
  <c r="CT137" i="14" s="1"/>
  <c r="S137" i="14" s="1"/>
  <c r="AE137" i="14"/>
  <c r="AD137" i="14" s="1"/>
  <c r="AC137" i="14"/>
  <c r="U137" i="14"/>
  <c r="GX135" i="14"/>
  <c r="GW135" i="14"/>
  <c r="GV135" i="14"/>
  <c r="GU135" i="14"/>
  <c r="GT135" i="14"/>
  <c r="GS135" i="14"/>
  <c r="GR135" i="14"/>
  <c r="GQ135" i="14"/>
  <c r="GP135" i="14"/>
  <c r="GO135" i="14"/>
  <c r="GN135" i="14"/>
  <c r="GM135" i="14"/>
  <c r="GL135" i="14"/>
  <c r="GK135" i="14"/>
  <c r="GJ135" i="14"/>
  <c r="GI135" i="14"/>
  <c r="GH135" i="14"/>
  <c r="GG135" i="14"/>
  <c r="GF135" i="14"/>
  <c r="GE135" i="14"/>
  <c r="GD135" i="14"/>
  <c r="GC135" i="14"/>
  <c r="GB135" i="14"/>
  <c r="GA135" i="14"/>
  <c r="FZ135" i="14"/>
  <c r="FY135" i="14"/>
  <c r="FX135" i="14"/>
  <c r="FW135" i="14"/>
  <c r="FV135" i="14"/>
  <c r="FU135" i="14"/>
  <c r="FT135" i="14"/>
  <c r="FS135" i="14"/>
  <c r="FR135" i="14"/>
  <c r="FQ135" i="14"/>
  <c r="FP135" i="14"/>
  <c r="FO135" i="14"/>
  <c r="FN135" i="14"/>
  <c r="FM135" i="14"/>
  <c r="FL135" i="14"/>
  <c r="FK135" i="14"/>
  <c r="FJ135" i="14"/>
  <c r="FI135" i="14"/>
  <c r="FH135" i="14"/>
  <c r="FG135" i="14"/>
  <c r="FF135" i="14"/>
  <c r="FE135" i="14"/>
  <c r="FD135" i="14"/>
  <c r="FC135" i="14"/>
  <c r="FB135" i="14"/>
  <c r="FA135" i="14"/>
  <c r="EZ135" i="14"/>
  <c r="EY135" i="14"/>
  <c r="EX135" i="14"/>
  <c r="EW135" i="14"/>
  <c r="EV135" i="14"/>
  <c r="EU135" i="14"/>
  <c r="ET135" i="14"/>
  <c r="ES135" i="14"/>
  <c r="ER135" i="14"/>
  <c r="EQ135" i="14"/>
  <c r="EP135" i="14"/>
  <c r="EO135" i="14"/>
  <c r="EN135" i="14"/>
  <c r="EM135" i="14"/>
  <c r="EL135" i="14"/>
  <c r="EK135" i="14"/>
  <c r="EJ135" i="14"/>
  <c r="EI135" i="14"/>
  <c r="EH135" i="14"/>
  <c r="EG135" i="14"/>
  <c r="EF135" i="14"/>
  <c r="EE135" i="14"/>
  <c r="ED135" i="14"/>
  <c r="EC135" i="14"/>
  <c r="EB135" i="14"/>
  <c r="EA135" i="14"/>
  <c r="DZ135" i="14"/>
  <c r="DY135" i="14"/>
  <c r="DX135" i="14"/>
  <c r="DW135" i="14"/>
  <c r="DV135" i="14"/>
  <c r="DU135" i="14"/>
  <c r="DT135" i="14"/>
  <c r="DS135" i="14"/>
  <c r="DR135" i="14"/>
  <c r="DQ135" i="14"/>
  <c r="DP135" i="14"/>
  <c r="DO135" i="14"/>
  <c r="DN135" i="14"/>
  <c r="DM135" i="14"/>
  <c r="DL135" i="14"/>
  <c r="DK135" i="14"/>
  <c r="DJ135" i="14"/>
  <c r="DI135" i="14"/>
  <c r="DH135" i="14"/>
  <c r="DG135" i="14"/>
  <c r="DF135" i="14"/>
  <c r="DE135" i="14"/>
  <c r="DD135" i="14"/>
  <c r="DC135" i="14"/>
  <c r="DB135" i="14"/>
  <c r="DA135" i="14"/>
  <c r="CZ135" i="14"/>
  <c r="CY135" i="14"/>
  <c r="CX135" i="14"/>
  <c r="CW135" i="14"/>
  <c r="CV135" i="14"/>
  <c r="CU135" i="14"/>
  <c r="CT135" i="14"/>
  <c r="CS135" i="14"/>
  <c r="CR135" i="14"/>
  <c r="CQ135" i="14"/>
  <c r="CP135" i="14"/>
  <c r="CO135" i="14"/>
  <c r="CN135" i="14"/>
  <c r="BW135" i="14"/>
  <c r="BV135" i="14"/>
  <c r="BU135" i="14"/>
  <c r="BT135" i="14"/>
  <c r="BS135" i="14"/>
  <c r="BR135" i="14"/>
  <c r="BQ135" i="14"/>
  <c r="BP135" i="14"/>
  <c r="BO135" i="14"/>
  <c r="BN135" i="14"/>
  <c r="BM135" i="14"/>
  <c r="BL135" i="14"/>
  <c r="BK135" i="14"/>
  <c r="BJ135" i="14"/>
  <c r="BI135" i="14"/>
  <c r="BH135" i="14"/>
  <c r="BG135" i="14"/>
  <c r="BF135" i="14"/>
  <c r="BE135" i="14"/>
  <c r="BC135" i="14"/>
  <c r="AN135" i="14"/>
  <c r="AM135" i="14"/>
  <c r="AA135" i="14"/>
  <c r="Z135" i="14"/>
  <c r="G135" i="14"/>
  <c r="F135" i="14"/>
  <c r="E135" i="14"/>
  <c r="D133" i="14"/>
  <c r="CM93" i="14"/>
  <c r="BD93" i="14" s="1"/>
  <c r="F118" i="14" s="1"/>
  <c r="CL93" i="14"/>
  <c r="BC93" i="14" s="1"/>
  <c r="CK93" i="14"/>
  <c r="BX93" i="14"/>
  <c r="G93" i="14"/>
  <c r="G82" i="14" s="1"/>
  <c r="F93" i="14"/>
  <c r="F82" i="14" s="1"/>
  <c r="D93" i="14"/>
  <c r="D82" i="14" s="1"/>
  <c r="C93" i="14"/>
  <c r="C82" i="14" s="1"/>
  <c r="B93" i="14"/>
  <c r="B82" i="14" s="1"/>
  <c r="GV91" i="14"/>
  <c r="HC91" i="14" s="1"/>
  <c r="GO91" i="14"/>
  <c r="GN91" i="14"/>
  <c r="GL91" i="14"/>
  <c r="FR91" i="14"/>
  <c r="CW91" i="14"/>
  <c r="V91" i="14" s="1"/>
  <c r="CT91" i="14"/>
  <c r="AJ91" i="14"/>
  <c r="CX91" i="14" s="1"/>
  <c r="AI91" i="14"/>
  <c r="AH91" i="14"/>
  <c r="CV91" i="14" s="1"/>
  <c r="AG91" i="14"/>
  <c r="CU91" i="14" s="1"/>
  <c r="AF91" i="14"/>
  <c r="AE91" i="14"/>
  <c r="AC91" i="14"/>
  <c r="CQ91" i="14" s="1"/>
  <c r="P91" i="14"/>
  <c r="K91" i="14"/>
  <c r="I91" i="14"/>
  <c r="D91" i="14"/>
  <c r="C91" i="14"/>
  <c r="GV90" i="14"/>
  <c r="HC90" i="14" s="1"/>
  <c r="GO90" i="14"/>
  <c r="GN90" i="14"/>
  <c r="GL90" i="14"/>
  <c r="FR90" i="14"/>
  <c r="CW90" i="14"/>
  <c r="AJ90" i="14"/>
  <c r="CX90" i="14" s="1"/>
  <c r="AI90" i="14"/>
  <c r="AH90" i="14"/>
  <c r="CV90" i="14" s="1"/>
  <c r="AG90" i="14"/>
  <c r="CU90" i="14" s="1"/>
  <c r="AF90" i="14"/>
  <c r="CT90" i="14" s="1"/>
  <c r="AE90" i="14"/>
  <c r="CS90" i="14" s="1"/>
  <c r="AC90" i="14"/>
  <c r="CQ90" i="14" s="1"/>
  <c r="GV89" i="14"/>
  <c r="HC89" i="14" s="1"/>
  <c r="GX89" i="14" s="1"/>
  <c r="GO89" i="14"/>
  <c r="GN89" i="14"/>
  <c r="GL89" i="14"/>
  <c r="FR89" i="14"/>
  <c r="CS89" i="14"/>
  <c r="AJ89" i="14"/>
  <c r="CX89" i="14" s="1"/>
  <c r="W89" i="14" s="1"/>
  <c r="AI89" i="14"/>
  <c r="CW89" i="14" s="1"/>
  <c r="V89" i="14" s="1"/>
  <c r="AH89" i="14"/>
  <c r="CV89" i="14" s="1"/>
  <c r="U89" i="14" s="1"/>
  <c r="AG89" i="14"/>
  <c r="CU89" i="14" s="1"/>
  <c r="AF89" i="14"/>
  <c r="CT89" i="14" s="1"/>
  <c r="AE89" i="14"/>
  <c r="CR89" i="14" s="1"/>
  <c r="AD89" i="14"/>
  <c r="AC89" i="14"/>
  <c r="AB89" i="14" s="1"/>
  <c r="S89" i="14"/>
  <c r="K89" i="14"/>
  <c r="I89" i="14"/>
  <c r="D89" i="14"/>
  <c r="C89" i="14"/>
  <c r="GV88" i="14"/>
  <c r="HC88" i="14" s="1"/>
  <c r="GX88" i="14" s="1"/>
  <c r="GO88" i="14"/>
  <c r="GN88" i="14"/>
  <c r="GL88" i="14"/>
  <c r="FR88" i="14"/>
  <c r="AJ88" i="14"/>
  <c r="CX88" i="14" s="1"/>
  <c r="W88" i="14" s="1"/>
  <c r="AI88" i="14"/>
  <c r="CW88" i="14" s="1"/>
  <c r="V88" i="14" s="1"/>
  <c r="AH88" i="14"/>
  <c r="CV88" i="14" s="1"/>
  <c r="U88" i="14" s="1"/>
  <c r="AG88" i="14"/>
  <c r="CU88" i="14" s="1"/>
  <c r="T88" i="14" s="1"/>
  <c r="AF88" i="14"/>
  <c r="CT88" i="14" s="1"/>
  <c r="S88" i="14" s="1"/>
  <c r="CZ88" i="14" s="1"/>
  <c r="Y88" i="14" s="1"/>
  <c r="AE88" i="14"/>
  <c r="CS88" i="14" s="1"/>
  <c r="AC88" i="14"/>
  <c r="CQ88" i="14" s="1"/>
  <c r="P88" i="14" s="1"/>
  <c r="R88" i="14"/>
  <c r="D88" i="14"/>
  <c r="C88" i="14"/>
  <c r="HC87" i="14"/>
  <c r="GX87" i="14" s="1"/>
  <c r="GV87" i="14"/>
  <c r="GO87" i="14"/>
  <c r="GN87" i="14"/>
  <c r="GL87" i="14"/>
  <c r="FR87" i="14"/>
  <c r="CW87" i="14"/>
  <c r="V87" i="14" s="1"/>
  <c r="AJ87" i="14"/>
  <c r="CX87" i="14" s="1"/>
  <c r="AI87" i="14"/>
  <c r="AH87" i="14"/>
  <c r="CV87" i="14" s="1"/>
  <c r="U87" i="14" s="1"/>
  <c r="AG87" i="14"/>
  <c r="CU87" i="14" s="1"/>
  <c r="AF87" i="14"/>
  <c r="AE87" i="14"/>
  <c r="AC87" i="14"/>
  <c r="CQ87" i="14" s="1"/>
  <c r="P87" i="14" s="1"/>
  <c r="W87" i="14"/>
  <c r="T87" i="14"/>
  <c r="D87" i="14"/>
  <c r="C87" i="14"/>
  <c r="GV86" i="14"/>
  <c r="HC86" i="14" s="1"/>
  <c r="GX86" i="14" s="1"/>
  <c r="GO86" i="14"/>
  <c r="GN86" i="14"/>
  <c r="GL86" i="14"/>
  <c r="FR86" i="14"/>
  <c r="CV86" i="14"/>
  <c r="U86" i="14" s="1"/>
  <c r="AJ86" i="14"/>
  <c r="CX86" i="14" s="1"/>
  <c r="AI86" i="14"/>
  <c r="CW86" i="14" s="1"/>
  <c r="V86" i="14" s="1"/>
  <c r="AH86" i="14"/>
  <c r="AG86" i="14"/>
  <c r="CU86" i="14" s="1"/>
  <c r="T86" i="14" s="1"/>
  <c r="AF86" i="14"/>
  <c r="AE86" i="14"/>
  <c r="AC86" i="14"/>
  <c r="CQ86" i="14" s="1"/>
  <c r="P86" i="14" s="1"/>
  <c r="I86" i="14"/>
  <c r="GV85" i="14"/>
  <c r="HC85" i="14" s="1"/>
  <c r="GX85" i="14" s="1"/>
  <c r="GO85" i="14"/>
  <c r="GN85" i="14"/>
  <c r="GL85" i="14"/>
  <c r="FR85" i="14"/>
  <c r="AJ85" i="14"/>
  <c r="CX85" i="14" s="1"/>
  <c r="AI85" i="14"/>
  <c r="CW85" i="14" s="1"/>
  <c r="V85" i="14" s="1"/>
  <c r="AH85" i="14"/>
  <c r="CV85" i="14" s="1"/>
  <c r="U85" i="14" s="1"/>
  <c r="AG85" i="14"/>
  <c r="CU85" i="14" s="1"/>
  <c r="AF85" i="14"/>
  <c r="AE85" i="14"/>
  <c r="AC85" i="14"/>
  <c r="CQ85" i="14" s="1"/>
  <c r="I85" i="14"/>
  <c r="GV84" i="14"/>
  <c r="HC84" i="14" s="1"/>
  <c r="GX84" i="14" s="1"/>
  <c r="GO84" i="14"/>
  <c r="CC93" i="14" s="1"/>
  <c r="GN84" i="14"/>
  <c r="CB93" i="14" s="1"/>
  <c r="CB82" i="14" s="1"/>
  <c r="GL84" i="14"/>
  <c r="FR84" i="14"/>
  <c r="CU84" i="14"/>
  <c r="T84" i="14" s="1"/>
  <c r="CR84" i="14"/>
  <c r="Q84" i="14" s="1"/>
  <c r="AJ84" i="14"/>
  <c r="CX84" i="14" s="1"/>
  <c r="W84" i="14" s="1"/>
  <c r="AI84" i="14"/>
  <c r="CW84" i="14" s="1"/>
  <c r="V84" i="14" s="1"/>
  <c r="AH84" i="14"/>
  <c r="CV84" i="14" s="1"/>
  <c r="U84" i="14" s="1"/>
  <c r="AG84" i="14"/>
  <c r="AF84" i="14"/>
  <c r="CT84" i="14" s="1"/>
  <c r="AE84" i="14"/>
  <c r="CS84" i="14" s="1"/>
  <c r="R84" i="14" s="1"/>
  <c r="AD84" i="14"/>
  <c r="AC84" i="14"/>
  <c r="CQ84" i="14" s="1"/>
  <c r="P84" i="14" s="1"/>
  <c r="S84" i="14"/>
  <c r="CZ84" i="14" s="1"/>
  <c r="Y84" i="14" s="1"/>
  <c r="D84" i="14"/>
  <c r="C84" i="14"/>
  <c r="GX82" i="14"/>
  <c r="GW82" i="14"/>
  <c r="GV82" i="14"/>
  <c r="GU82" i="14"/>
  <c r="GT82" i="14"/>
  <c r="GS82" i="14"/>
  <c r="GR82" i="14"/>
  <c r="GQ82" i="14"/>
  <c r="GP82" i="14"/>
  <c r="GO82" i="14"/>
  <c r="GN82" i="14"/>
  <c r="GM82" i="14"/>
  <c r="GL82" i="14"/>
  <c r="GK82" i="14"/>
  <c r="GJ82" i="14"/>
  <c r="GI82" i="14"/>
  <c r="GH82" i="14"/>
  <c r="GG82" i="14"/>
  <c r="GF82" i="14"/>
  <c r="GE82" i="14"/>
  <c r="GD82" i="14"/>
  <c r="GC82" i="14"/>
  <c r="GB82" i="14"/>
  <c r="GA82" i="14"/>
  <c r="FZ82" i="14"/>
  <c r="FY82" i="14"/>
  <c r="FX82" i="14"/>
  <c r="FW82" i="14"/>
  <c r="FV82" i="14"/>
  <c r="FU82" i="14"/>
  <c r="FT82" i="14"/>
  <c r="FS82" i="14"/>
  <c r="FR82" i="14"/>
  <c r="FQ82" i="14"/>
  <c r="FP82" i="14"/>
  <c r="FO82" i="14"/>
  <c r="FN82" i="14"/>
  <c r="FM82" i="14"/>
  <c r="FL82" i="14"/>
  <c r="FK82" i="14"/>
  <c r="FJ82" i="14"/>
  <c r="FI82" i="14"/>
  <c r="FH82" i="14"/>
  <c r="FG82" i="14"/>
  <c r="FF82" i="14"/>
  <c r="FE82" i="14"/>
  <c r="FD82" i="14"/>
  <c r="FC82" i="14"/>
  <c r="FB82" i="14"/>
  <c r="FA82" i="14"/>
  <c r="EZ82" i="14"/>
  <c r="EY82" i="14"/>
  <c r="EX82" i="14"/>
  <c r="EW82" i="14"/>
  <c r="EV82" i="14"/>
  <c r="EU82" i="14"/>
  <c r="ET82" i="14"/>
  <c r="ES82" i="14"/>
  <c r="ER82" i="14"/>
  <c r="EQ82" i="14"/>
  <c r="EP82" i="14"/>
  <c r="EO82" i="14"/>
  <c r="EN82" i="14"/>
  <c r="EM82" i="14"/>
  <c r="EL82" i="14"/>
  <c r="EK82" i="14"/>
  <c r="EJ82" i="14"/>
  <c r="EI82" i="14"/>
  <c r="EH82" i="14"/>
  <c r="EG82" i="14"/>
  <c r="EF82" i="14"/>
  <c r="EE82" i="14"/>
  <c r="ED82" i="14"/>
  <c r="EC82" i="14"/>
  <c r="EB82" i="14"/>
  <c r="EA82" i="14"/>
  <c r="DZ82" i="14"/>
  <c r="DY82" i="14"/>
  <c r="DX82" i="14"/>
  <c r="DW82" i="14"/>
  <c r="DV82" i="14"/>
  <c r="DU82" i="14"/>
  <c r="DT82" i="14"/>
  <c r="DS82" i="14"/>
  <c r="DR82" i="14"/>
  <c r="DQ82" i="14"/>
  <c r="DP82" i="14"/>
  <c r="DO82" i="14"/>
  <c r="DN82" i="14"/>
  <c r="DM82" i="14"/>
  <c r="DL82" i="14"/>
  <c r="DK82" i="14"/>
  <c r="DJ82" i="14"/>
  <c r="DI82" i="14"/>
  <c r="DH82" i="14"/>
  <c r="DG82" i="14"/>
  <c r="DF82" i="14"/>
  <c r="DE82" i="14"/>
  <c r="DD82" i="14"/>
  <c r="DC82" i="14"/>
  <c r="DB82" i="14"/>
  <c r="DA82" i="14"/>
  <c r="CZ82" i="14"/>
  <c r="CY82" i="14"/>
  <c r="CX82" i="14"/>
  <c r="CW82" i="14"/>
  <c r="CV82" i="14"/>
  <c r="CU82" i="14"/>
  <c r="CT82" i="14"/>
  <c r="CS82" i="14"/>
  <c r="CR82" i="14"/>
  <c r="CQ82" i="14"/>
  <c r="CP82" i="14"/>
  <c r="CO82" i="14"/>
  <c r="CN82" i="14"/>
  <c r="BW82" i="14"/>
  <c r="BV82" i="14"/>
  <c r="BU82" i="14"/>
  <c r="BT82" i="14"/>
  <c r="BS82" i="14"/>
  <c r="BR82" i="14"/>
  <c r="BQ82" i="14"/>
  <c r="BP82" i="14"/>
  <c r="BO82" i="14"/>
  <c r="BN82" i="14"/>
  <c r="BM82" i="14"/>
  <c r="BL82" i="14"/>
  <c r="BK82" i="14"/>
  <c r="BJ82" i="14"/>
  <c r="BI82" i="14"/>
  <c r="BH82" i="14"/>
  <c r="BG82" i="14"/>
  <c r="BF82" i="14"/>
  <c r="BE82" i="14"/>
  <c r="AN82" i="14"/>
  <c r="AM82" i="14"/>
  <c r="AA82" i="14"/>
  <c r="Z82" i="14"/>
  <c r="E82" i="14"/>
  <c r="D80" i="14"/>
  <c r="CM40" i="14"/>
  <c r="CL40" i="14"/>
  <c r="CK40" i="14"/>
  <c r="BB40" i="14" s="1"/>
  <c r="BX40" i="14"/>
  <c r="G40" i="14"/>
  <c r="F40" i="14"/>
  <c r="F26" i="14" s="1"/>
  <c r="D40" i="14"/>
  <c r="D26" i="14" s="1"/>
  <c r="C40" i="14"/>
  <c r="B40" i="14"/>
  <c r="GV38" i="14"/>
  <c r="HC38" i="14" s="1"/>
  <c r="GX38" i="14" s="1"/>
  <c r="GO38" i="14"/>
  <c r="GN38" i="14"/>
  <c r="GL38" i="14"/>
  <c r="FR38" i="14"/>
  <c r="AJ38" i="14"/>
  <c r="CX38" i="14" s="1"/>
  <c r="AI38" i="14"/>
  <c r="CW38" i="14" s="1"/>
  <c r="AH38" i="14"/>
  <c r="CV38" i="14" s="1"/>
  <c r="U38" i="14" s="1"/>
  <c r="AG38" i="14"/>
  <c r="CU38" i="14" s="1"/>
  <c r="T38" i="14" s="1"/>
  <c r="AF38" i="14"/>
  <c r="CT38" i="14" s="1"/>
  <c r="S38" i="14" s="1"/>
  <c r="AE38" i="14"/>
  <c r="CR38" i="14" s="1"/>
  <c r="AC38" i="14"/>
  <c r="I38" i="14"/>
  <c r="GV37" i="14"/>
  <c r="HC37" i="14" s="1"/>
  <c r="GO37" i="14"/>
  <c r="GN37" i="14"/>
  <c r="GL37" i="14"/>
  <c r="FR37" i="14"/>
  <c r="CR37" i="14"/>
  <c r="AJ37" i="14"/>
  <c r="CX37" i="14" s="1"/>
  <c r="AI37" i="14"/>
  <c r="CW37" i="14" s="1"/>
  <c r="AH37" i="14"/>
  <c r="CV37" i="14" s="1"/>
  <c r="AG37" i="14"/>
  <c r="CU37" i="14" s="1"/>
  <c r="AF37" i="14"/>
  <c r="CT37" i="14" s="1"/>
  <c r="AE37" i="14"/>
  <c r="CS37" i="14" s="1"/>
  <c r="AD37" i="14"/>
  <c r="AB37" i="14" s="1"/>
  <c r="AC37" i="14"/>
  <c r="CQ37" i="14" s="1"/>
  <c r="GV36" i="14"/>
  <c r="HC36" i="14" s="1"/>
  <c r="GX36" i="14" s="1"/>
  <c r="GO36" i="14"/>
  <c r="GN36" i="14"/>
  <c r="GL36" i="14"/>
  <c r="FR36" i="14"/>
  <c r="AJ36" i="14"/>
  <c r="CX36" i="14" s="1"/>
  <c r="W36" i="14" s="1"/>
  <c r="AI36" i="14"/>
  <c r="CW36" i="14" s="1"/>
  <c r="V36" i="14" s="1"/>
  <c r="AH36" i="14"/>
  <c r="CV36" i="14" s="1"/>
  <c r="U36" i="14" s="1"/>
  <c r="AG36" i="14"/>
  <c r="CU36" i="14" s="1"/>
  <c r="T36" i="14" s="1"/>
  <c r="AF36" i="14"/>
  <c r="CT36" i="14" s="1"/>
  <c r="AE36" i="14"/>
  <c r="CR36" i="14" s="1"/>
  <c r="AC36" i="14"/>
  <c r="CQ36" i="14" s="1"/>
  <c r="P36" i="14"/>
  <c r="K36" i="14"/>
  <c r="I36" i="14"/>
  <c r="CX28" i="16" s="1"/>
  <c r="D36" i="14"/>
  <c r="C36" i="14"/>
  <c r="GV35" i="14"/>
  <c r="HC35" i="14" s="1"/>
  <c r="GX35" i="14" s="1"/>
  <c r="GO35" i="14"/>
  <c r="GN35" i="14"/>
  <c r="GL35" i="14"/>
  <c r="FR35" i="14"/>
  <c r="CR35" i="14"/>
  <c r="Q35" i="14" s="1"/>
  <c r="AJ35" i="14"/>
  <c r="CX35" i="14" s="1"/>
  <c r="W35" i="14" s="1"/>
  <c r="AI35" i="14"/>
  <c r="CW35" i="14" s="1"/>
  <c r="AH35" i="14"/>
  <c r="CV35" i="14" s="1"/>
  <c r="U35" i="14" s="1"/>
  <c r="AG35" i="14"/>
  <c r="CU35" i="14" s="1"/>
  <c r="T35" i="14" s="1"/>
  <c r="AF35" i="14"/>
  <c r="CT35" i="14" s="1"/>
  <c r="S35" i="14" s="1"/>
  <c r="AE35" i="14"/>
  <c r="AD35" i="14" s="1"/>
  <c r="AC35" i="14"/>
  <c r="V35" i="14"/>
  <c r="D35" i="14"/>
  <c r="C35" i="14"/>
  <c r="HC34" i="14"/>
  <c r="GX34" i="14" s="1"/>
  <c r="GV34" i="14"/>
  <c r="GO34" i="14"/>
  <c r="GN34" i="14"/>
  <c r="GL34" i="14"/>
  <c r="FR34" i="14"/>
  <c r="CR34" i="14"/>
  <c r="Q34" i="14" s="1"/>
  <c r="AJ34" i="14"/>
  <c r="CX34" i="14" s="1"/>
  <c r="W34" i="14" s="1"/>
  <c r="AI34" i="14"/>
  <c r="CW34" i="14" s="1"/>
  <c r="V34" i="14" s="1"/>
  <c r="AH34" i="14"/>
  <c r="CV34" i="14" s="1"/>
  <c r="U34" i="14" s="1"/>
  <c r="AG34" i="14"/>
  <c r="CU34" i="14" s="1"/>
  <c r="T34" i="14" s="1"/>
  <c r="AF34" i="14"/>
  <c r="AE34" i="14"/>
  <c r="CS34" i="14" s="1"/>
  <c r="R34" i="14" s="1"/>
  <c r="AD34" i="14"/>
  <c r="AC34" i="14"/>
  <c r="AB34" i="14" s="1"/>
  <c r="D34" i="14"/>
  <c r="C34" i="14"/>
  <c r="GV33" i="14"/>
  <c r="HC33" i="14" s="1"/>
  <c r="GO33" i="14"/>
  <c r="GN33" i="14"/>
  <c r="GL33" i="14"/>
  <c r="FR33" i="14"/>
  <c r="CT33" i="14"/>
  <c r="CQ33" i="14"/>
  <c r="AJ33" i="14"/>
  <c r="CX33" i="14" s="1"/>
  <c r="AI33" i="14"/>
  <c r="CW33" i="14" s="1"/>
  <c r="AH33" i="14"/>
  <c r="CV33" i="14" s="1"/>
  <c r="AG33" i="14"/>
  <c r="CU33" i="14" s="1"/>
  <c r="AF33" i="14"/>
  <c r="AE33" i="14"/>
  <c r="CS33" i="14" s="1"/>
  <c r="AC33" i="14"/>
  <c r="HC32" i="14"/>
  <c r="GV32" i="14"/>
  <c r="GO32" i="14"/>
  <c r="GN32" i="14"/>
  <c r="GL32" i="14"/>
  <c r="FR32" i="14"/>
  <c r="CW32" i="14"/>
  <c r="CU32" i="14"/>
  <c r="CS32" i="14"/>
  <c r="AJ32" i="14"/>
  <c r="CX32" i="14" s="1"/>
  <c r="AI32" i="14"/>
  <c r="AH32" i="14"/>
  <c r="CV32" i="14" s="1"/>
  <c r="AG32" i="14"/>
  <c r="AF32" i="14"/>
  <c r="CT32" i="14" s="1"/>
  <c r="AE32" i="14"/>
  <c r="CR32" i="14" s="1"/>
  <c r="AD32" i="14"/>
  <c r="AB32" i="14" s="1"/>
  <c r="AC32" i="14"/>
  <c r="CQ32" i="14" s="1"/>
  <c r="GV31" i="14"/>
  <c r="HC31" i="14" s="1"/>
  <c r="GO31" i="14"/>
  <c r="GN31" i="14"/>
  <c r="GL31" i="14"/>
  <c r="FR31" i="14"/>
  <c r="CV31" i="14"/>
  <c r="AJ31" i="14"/>
  <c r="CX31" i="14" s="1"/>
  <c r="AI31" i="14"/>
  <c r="CW31" i="14" s="1"/>
  <c r="AH31" i="14"/>
  <c r="AG31" i="14"/>
  <c r="CU31" i="14" s="1"/>
  <c r="AF31" i="14"/>
  <c r="CT31" i="14" s="1"/>
  <c r="AE31" i="14"/>
  <c r="AC31" i="14"/>
  <c r="CQ31" i="14" s="1"/>
  <c r="GV30" i="14"/>
  <c r="HC30" i="14" s="1"/>
  <c r="GX30" i="14" s="1"/>
  <c r="GO30" i="14"/>
  <c r="GN30" i="14"/>
  <c r="GL30" i="14"/>
  <c r="FR30" i="14"/>
  <c r="AJ30" i="14"/>
  <c r="CX30" i="14" s="1"/>
  <c r="AI30" i="14"/>
  <c r="CW30" i="14" s="1"/>
  <c r="AH30" i="14"/>
  <c r="CV30" i="14" s="1"/>
  <c r="U30" i="14" s="1"/>
  <c r="AG30" i="14"/>
  <c r="CU30" i="14" s="1"/>
  <c r="T30" i="14" s="1"/>
  <c r="AF30" i="14"/>
  <c r="AE30" i="14"/>
  <c r="AC30" i="14"/>
  <c r="K30" i="14"/>
  <c r="I30" i="14"/>
  <c r="D30" i="14"/>
  <c r="C30" i="14"/>
  <c r="GV29" i="14"/>
  <c r="HC29" i="14" s="1"/>
  <c r="GO29" i="14"/>
  <c r="GN29" i="14"/>
  <c r="GL29" i="14"/>
  <c r="FR29" i="14"/>
  <c r="CX29" i="14"/>
  <c r="CW29" i="14"/>
  <c r="AJ29" i="14"/>
  <c r="AI29" i="14"/>
  <c r="AH29" i="14"/>
  <c r="CV29" i="14" s="1"/>
  <c r="AG29" i="14"/>
  <c r="CU29" i="14" s="1"/>
  <c r="AF29" i="14"/>
  <c r="AE29" i="14"/>
  <c r="AC29" i="14"/>
  <c r="K29" i="14"/>
  <c r="I29" i="14"/>
  <c r="D29" i="14"/>
  <c r="C29" i="14"/>
  <c r="HC28" i="14"/>
  <c r="GV28" i="14"/>
  <c r="GO28" i="14"/>
  <c r="GN28" i="14"/>
  <c r="GL28" i="14"/>
  <c r="FR28" i="14"/>
  <c r="CW28" i="14"/>
  <c r="AJ28" i="14"/>
  <c r="CX28" i="14" s="1"/>
  <c r="AI28" i="14"/>
  <c r="AH28" i="14"/>
  <c r="CV28" i="14" s="1"/>
  <c r="AG28" i="14"/>
  <c r="CU28" i="14" s="1"/>
  <c r="T28" i="14" s="1"/>
  <c r="AF28" i="14"/>
  <c r="CT28" i="14" s="1"/>
  <c r="AE28" i="14"/>
  <c r="CS28" i="14" s="1"/>
  <c r="AC28" i="14"/>
  <c r="CQ28" i="14" s="1"/>
  <c r="P28" i="14" s="1"/>
  <c r="K28" i="14"/>
  <c r="I28" i="14"/>
  <c r="D28" i="14"/>
  <c r="C28" i="14"/>
  <c r="GX26" i="14"/>
  <c r="GW26" i="14"/>
  <c r="GV26" i="14"/>
  <c r="GU26" i="14"/>
  <c r="GT26" i="14"/>
  <c r="GS26" i="14"/>
  <c r="GR26" i="14"/>
  <c r="GQ26" i="14"/>
  <c r="GP26" i="14"/>
  <c r="GO26" i="14"/>
  <c r="GN26" i="14"/>
  <c r="GM26" i="14"/>
  <c r="GL26" i="14"/>
  <c r="GK26" i="14"/>
  <c r="GJ26" i="14"/>
  <c r="GI26" i="14"/>
  <c r="GH26" i="14"/>
  <c r="GG26" i="14"/>
  <c r="GF26" i="14"/>
  <c r="GE26" i="14"/>
  <c r="GD26" i="14"/>
  <c r="GC26" i="14"/>
  <c r="GB26" i="14"/>
  <c r="GA26" i="14"/>
  <c r="FZ26" i="14"/>
  <c r="FY26" i="14"/>
  <c r="FX26" i="14"/>
  <c r="FW26" i="14"/>
  <c r="FV26" i="14"/>
  <c r="FU26" i="14"/>
  <c r="FT26" i="14"/>
  <c r="FS26" i="14"/>
  <c r="FR26" i="14"/>
  <c r="FQ26" i="14"/>
  <c r="FP26" i="14"/>
  <c r="FO26" i="14"/>
  <c r="FN26" i="14"/>
  <c r="FM26" i="14"/>
  <c r="FL26" i="14"/>
  <c r="FK26" i="14"/>
  <c r="FJ26" i="14"/>
  <c r="FI26" i="14"/>
  <c r="FH26" i="14"/>
  <c r="FG26" i="14"/>
  <c r="FF26" i="14"/>
  <c r="FE26" i="14"/>
  <c r="FD26" i="14"/>
  <c r="FC26" i="14"/>
  <c r="FB26" i="14"/>
  <c r="FA26" i="14"/>
  <c r="EZ26" i="14"/>
  <c r="EY26" i="14"/>
  <c r="EX26" i="14"/>
  <c r="EW26" i="14"/>
  <c r="EV26" i="14"/>
  <c r="EU26" i="14"/>
  <c r="ET26" i="14"/>
  <c r="ES26" i="14"/>
  <c r="ER26" i="14"/>
  <c r="EQ26" i="14"/>
  <c r="EP26" i="14"/>
  <c r="EO26" i="14"/>
  <c r="EN26" i="14"/>
  <c r="EM26" i="14"/>
  <c r="EL26" i="14"/>
  <c r="EK26" i="14"/>
  <c r="EJ26" i="14"/>
  <c r="EI26" i="14"/>
  <c r="EH26" i="14"/>
  <c r="EG26" i="14"/>
  <c r="EF26" i="14"/>
  <c r="EE26" i="14"/>
  <c r="ED26" i="14"/>
  <c r="EC26" i="14"/>
  <c r="EB26" i="14"/>
  <c r="EA26" i="14"/>
  <c r="DZ26" i="14"/>
  <c r="DY26" i="14"/>
  <c r="DX26" i="14"/>
  <c r="DW26" i="14"/>
  <c r="DV26" i="14"/>
  <c r="DU26" i="14"/>
  <c r="DT26" i="14"/>
  <c r="DS26" i="14"/>
  <c r="DR26" i="14"/>
  <c r="DQ26" i="14"/>
  <c r="DP26" i="14"/>
  <c r="DO26" i="14"/>
  <c r="DN26" i="14"/>
  <c r="DM26" i="14"/>
  <c r="DL26" i="14"/>
  <c r="DK26" i="14"/>
  <c r="DJ26" i="14"/>
  <c r="DI26" i="14"/>
  <c r="DH26" i="14"/>
  <c r="DG26" i="14"/>
  <c r="DF26" i="14"/>
  <c r="DE26" i="14"/>
  <c r="DD26" i="14"/>
  <c r="DC26" i="14"/>
  <c r="DB26" i="14"/>
  <c r="DA26" i="14"/>
  <c r="CZ26" i="14"/>
  <c r="CY26" i="14"/>
  <c r="CX26" i="14"/>
  <c r="CW26" i="14"/>
  <c r="CV26" i="14"/>
  <c r="CU26" i="14"/>
  <c r="CT26" i="14"/>
  <c r="CS26" i="14"/>
  <c r="CR26" i="14"/>
  <c r="CQ26" i="14"/>
  <c r="CP26" i="14"/>
  <c r="CO26" i="14"/>
  <c r="CN26" i="14"/>
  <c r="BX26" i="14"/>
  <c r="BW26" i="14"/>
  <c r="BV26" i="14"/>
  <c r="BU26" i="14"/>
  <c r="BT26" i="14"/>
  <c r="BS26" i="14"/>
  <c r="BR26" i="14"/>
  <c r="BQ26" i="14"/>
  <c r="BP26" i="14"/>
  <c r="BO26" i="14"/>
  <c r="BN26" i="14"/>
  <c r="BM26" i="14"/>
  <c r="BL26" i="14"/>
  <c r="BK26" i="14"/>
  <c r="BJ26" i="14"/>
  <c r="BI26" i="14"/>
  <c r="BH26" i="14"/>
  <c r="BG26" i="14"/>
  <c r="BF26" i="14"/>
  <c r="BE26" i="14"/>
  <c r="AN26" i="14"/>
  <c r="AM26" i="14"/>
  <c r="AA26" i="14"/>
  <c r="Z26" i="14"/>
  <c r="G26" i="14"/>
  <c r="E26" i="14"/>
  <c r="C26" i="14"/>
  <c r="B26" i="14"/>
  <c r="D24" i="14"/>
  <c r="GX22" i="14"/>
  <c r="GW22" i="14"/>
  <c r="GV22" i="14"/>
  <c r="GU22" i="14"/>
  <c r="GT22" i="14"/>
  <c r="GS22" i="14"/>
  <c r="GR22" i="14"/>
  <c r="GQ22" i="14"/>
  <c r="GP22" i="14"/>
  <c r="GO22" i="14"/>
  <c r="GN22" i="14"/>
  <c r="GM22" i="14"/>
  <c r="GL22" i="14"/>
  <c r="GK22" i="14"/>
  <c r="GJ22" i="14"/>
  <c r="GI22" i="14"/>
  <c r="GH22" i="14"/>
  <c r="GG22" i="14"/>
  <c r="GF22" i="14"/>
  <c r="GE22" i="14"/>
  <c r="GD22" i="14"/>
  <c r="GC22" i="14"/>
  <c r="GB22" i="14"/>
  <c r="GA22" i="14"/>
  <c r="FZ22" i="14"/>
  <c r="FY22" i="14"/>
  <c r="FX22" i="14"/>
  <c r="FW22" i="14"/>
  <c r="FV22" i="14"/>
  <c r="FU22" i="14"/>
  <c r="FT22" i="14"/>
  <c r="FS22" i="14"/>
  <c r="FR22" i="14"/>
  <c r="FQ22" i="14"/>
  <c r="FP22" i="14"/>
  <c r="FO22" i="14"/>
  <c r="FN22" i="14"/>
  <c r="FM22" i="14"/>
  <c r="FL22" i="14"/>
  <c r="FK22" i="14"/>
  <c r="FJ22" i="14"/>
  <c r="FI22" i="14"/>
  <c r="FH22" i="14"/>
  <c r="FG22" i="14"/>
  <c r="FF22" i="14"/>
  <c r="FE22" i="14"/>
  <c r="FD22" i="14"/>
  <c r="FC22" i="14"/>
  <c r="FB22" i="14"/>
  <c r="FA22" i="14"/>
  <c r="EZ22" i="14"/>
  <c r="EY22" i="14"/>
  <c r="EX22" i="14"/>
  <c r="EW22" i="14"/>
  <c r="EV22" i="14"/>
  <c r="EU22" i="14"/>
  <c r="ET22" i="14"/>
  <c r="ES22" i="14"/>
  <c r="ER22" i="14"/>
  <c r="EQ22" i="14"/>
  <c r="EP22" i="14"/>
  <c r="EO22" i="14"/>
  <c r="EN22" i="14"/>
  <c r="EM22" i="14"/>
  <c r="EL22" i="14"/>
  <c r="EK22" i="14"/>
  <c r="EJ22" i="14"/>
  <c r="EI22" i="14"/>
  <c r="EH22" i="14"/>
  <c r="EG22" i="14"/>
  <c r="EF22" i="14"/>
  <c r="EE22" i="14"/>
  <c r="ED22" i="14"/>
  <c r="EC22" i="14"/>
  <c r="EB22" i="14"/>
  <c r="EA22" i="14"/>
  <c r="DZ22" i="14"/>
  <c r="DY22" i="14"/>
  <c r="DX22" i="14"/>
  <c r="DW22" i="14"/>
  <c r="DV22" i="14"/>
  <c r="DU22" i="14"/>
  <c r="DT22" i="14"/>
  <c r="DS22" i="14"/>
  <c r="DR22" i="14"/>
  <c r="DQ22" i="14"/>
  <c r="DP22" i="14"/>
  <c r="DO22" i="14"/>
  <c r="DN22" i="14"/>
  <c r="DM22" i="14"/>
  <c r="DL22" i="14"/>
  <c r="DK22" i="14"/>
  <c r="DJ22" i="14"/>
  <c r="DI22" i="14"/>
  <c r="DH22" i="14"/>
  <c r="DG22" i="14"/>
  <c r="DF22" i="14"/>
  <c r="DE22" i="14"/>
  <c r="DD22" i="14"/>
  <c r="DC22" i="14"/>
  <c r="DB22" i="14"/>
  <c r="DA22" i="14"/>
  <c r="CZ22" i="14"/>
  <c r="CY22" i="14"/>
  <c r="CX22" i="14"/>
  <c r="CW22" i="14"/>
  <c r="CV22" i="14"/>
  <c r="CU22" i="14"/>
  <c r="CT22" i="14"/>
  <c r="CS22" i="14"/>
  <c r="CR22" i="14"/>
  <c r="CQ22" i="14"/>
  <c r="CP22" i="14"/>
  <c r="CO22" i="14"/>
  <c r="CN22" i="14"/>
  <c r="CM22" i="14"/>
  <c r="CL22" i="14"/>
  <c r="CK22" i="14"/>
  <c r="CJ22" i="14"/>
  <c r="CI22" i="14"/>
  <c r="CH22" i="14"/>
  <c r="CG22" i="14"/>
  <c r="CF22" i="14"/>
  <c r="CE22" i="14"/>
  <c r="CD22" i="14"/>
  <c r="CC22" i="14"/>
  <c r="CB22" i="14"/>
  <c r="CA22" i="14"/>
  <c r="BZ22" i="14"/>
  <c r="BY22" i="14"/>
  <c r="BX22" i="14"/>
  <c r="BW22" i="14"/>
  <c r="BV22" i="14"/>
  <c r="BU22" i="14"/>
  <c r="BT22" i="14"/>
  <c r="BS22" i="14"/>
  <c r="BR22" i="14"/>
  <c r="BQ22" i="14"/>
  <c r="BP22" i="14"/>
  <c r="BO22" i="14"/>
  <c r="BN22" i="14"/>
  <c r="BM22" i="14"/>
  <c r="BL22" i="14"/>
  <c r="BK22" i="14"/>
  <c r="BJ22" i="14"/>
  <c r="BI22" i="14"/>
  <c r="BH22" i="14"/>
  <c r="BG22" i="14"/>
  <c r="BF22" i="14"/>
  <c r="BE22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AA22" i="14"/>
  <c r="Z22" i="14"/>
  <c r="G22" i="14"/>
  <c r="A8" i="13" s="1"/>
  <c r="F22" i="14"/>
  <c r="E22" i="14"/>
  <c r="D22" i="14"/>
  <c r="C22" i="14"/>
  <c r="D20" i="14"/>
  <c r="GX18" i="14"/>
  <c r="GW18" i="14"/>
  <c r="GV18" i="14"/>
  <c r="GU18" i="14"/>
  <c r="GT18" i="14"/>
  <c r="GS18" i="14"/>
  <c r="GR18" i="14"/>
  <c r="GQ18" i="14"/>
  <c r="GP18" i="14"/>
  <c r="GO18" i="14"/>
  <c r="GN18" i="14"/>
  <c r="GM18" i="14"/>
  <c r="GL18" i="14"/>
  <c r="GK18" i="14"/>
  <c r="GJ18" i="14"/>
  <c r="GI18" i="14"/>
  <c r="GH18" i="14"/>
  <c r="GG18" i="14"/>
  <c r="GF18" i="14"/>
  <c r="GE18" i="14"/>
  <c r="GD18" i="14"/>
  <c r="GC18" i="14"/>
  <c r="GB18" i="14"/>
  <c r="GA18" i="14"/>
  <c r="FZ18" i="14"/>
  <c r="FY18" i="14"/>
  <c r="FX18" i="14"/>
  <c r="FW18" i="14"/>
  <c r="FV18" i="14"/>
  <c r="FU18" i="14"/>
  <c r="FT18" i="14"/>
  <c r="FS18" i="14"/>
  <c r="FR18" i="14"/>
  <c r="FQ18" i="14"/>
  <c r="FP18" i="14"/>
  <c r="FO18" i="14"/>
  <c r="FN18" i="14"/>
  <c r="FM18" i="14"/>
  <c r="FL18" i="14"/>
  <c r="FK18" i="14"/>
  <c r="FJ18" i="14"/>
  <c r="FI18" i="14"/>
  <c r="FH18" i="14"/>
  <c r="FG18" i="14"/>
  <c r="FF18" i="14"/>
  <c r="FE18" i="14"/>
  <c r="FD18" i="14"/>
  <c r="FC18" i="14"/>
  <c r="FB18" i="14"/>
  <c r="FA18" i="14"/>
  <c r="EZ18" i="14"/>
  <c r="EY18" i="14"/>
  <c r="EX18" i="14"/>
  <c r="EW18" i="14"/>
  <c r="EV18" i="14"/>
  <c r="EU18" i="14"/>
  <c r="ET18" i="14"/>
  <c r="ES18" i="14"/>
  <c r="ER18" i="14"/>
  <c r="EQ18" i="14"/>
  <c r="EP18" i="14"/>
  <c r="EO18" i="14"/>
  <c r="EN18" i="14"/>
  <c r="EM18" i="14"/>
  <c r="EL18" i="14"/>
  <c r="EK18" i="14"/>
  <c r="EJ18" i="14"/>
  <c r="EI18" i="14"/>
  <c r="EH18" i="14"/>
  <c r="EG18" i="14"/>
  <c r="EF18" i="14"/>
  <c r="EE18" i="14"/>
  <c r="ED18" i="14"/>
  <c r="EC18" i="14"/>
  <c r="EB18" i="14"/>
  <c r="EA18" i="14"/>
  <c r="DZ18" i="14"/>
  <c r="DY18" i="14"/>
  <c r="DX18" i="14"/>
  <c r="DW18" i="14"/>
  <c r="DV18" i="14"/>
  <c r="DU18" i="14"/>
  <c r="DT18" i="14"/>
  <c r="DS18" i="14"/>
  <c r="DR18" i="14"/>
  <c r="DQ18" i="14"/>
  <c r="DP18" i="14"/>
  <c r="DO18" i="14"/>
  <c r="DN18" i="14"/>
  <c r="DM18" i="14"/>
  <c r="DL18" i="14"/>
  <c r="DK18" i="14"/>
  <c r="DJ18" i="14"/>
  <c r="DI18" i="14"/>
  <c r="DH18" i="14"/>
  <c r="DG18" i="14"/>
  <c r="DF18" i="14"/>
  <c r="DE18" i="14"/>
  <c r="DD18" i="14"/>
  <c r="DC18" i="14"/>
  <c r="DB18" i="14"/>
  <c r="DA18" i="14"/>
  <c r="CZ18" i="14"/>
  <c r="CY18" i="14"/>
  <c r="CX18" i="14"/>
  <c r="CW18" i="14"/>
  <c r="CV18" i="14"/>
  <c r="CU18" i="14"/>
  <c r="CT18" i="14"/>
  <c r="CS18" i="14"/>
  <c r="CR18" i="14"/>
  <c r="CQ18" i="14"/>
  <c r="CP18" i="14"/>
  <c r="CO18" i="14"/>
  <c r="CN18" i="14"/>
  <c r="CM18" i="14"/>
  <c r="CL18" i="14"/>
  <c r="CK18" i="14"/>
  <c r="CJ18" i="14"/>
  <c r="CI18" i="14"/>
  <c r="CH18" i="14"/>
  <c r="CG18" i="14"/>
  <c r="CF18" i="14"/>
  <c r="CE18" i="14"/>
  <c r="CD18" i="14"/>
  <c r="CC18" i="14"/>
  <c r="CB18" i="14"/>
  <c r="CA18" i="14"/>
  <c r="BZ18" i="14"/>
  <c r="BY18" i="14"/>
  <c r="BX18" i="14"/>
  <c r="BW18" i="14"/>
  <c r="BV18" i="14"/>
  <c r="BU18" i="14"/>
  <c r="BT18" i="14"/>
  <c r="BS18" i="14"/>
  <c r="BR18" i="14"/>
  <c r="BQ18" i="14"/>
  <c r="BP18" i="14"/>
  <c r="BO18" i="14"/>
  <c r="BN18" i="14"/>
  <c r="BM18" i="14"/>
  <c r="BL18" i="14"/>
  <c r="BK18" i="14"/>
  <c r="BJ18" i="14"/>
  <c r="BI18" i="14"/>
  <c r="BH18" i="14"/>
  <c r="BG18" i="14"/>
  <c r="BF18" i="14"/>
  <c r="BE18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AA18" i="14"/>
  <c r="Z18" i="14"/>
  <c r="G18" i="14"/>
  <c r="E18" i="14"/>
  <c r="C18" i="14"/>
  <c r="B18" i="14"/>
  <c r="D12" i="14"/>
  <c r="F58" i="13"/>
  <c r="E58" i="13"/>
  <c r="D58" i="13"/>
  <c r="F57" i="13"/>
  <c r="E57" i="13"/>
  <c r="D57" i="13"/>
  <c r="F56" i="13"/>
  <c r="E56" i="13"/>
  <c r="D56" i="13"/>
  <c r="F53" i="13"/>
  <c r="E53" i="13"/>
  <c r="D53" i="13"/>
  <c r="F52" i="13"/>
  <c r="E54" i="13" s="1"/>
  <c r="E52" i="13"/>
  <c r="D52" i="13"/>
  <c r="A50" i="13"/>
  <c r="F48" i="13"/>
  <c r="E48" i="13"/>
  <c r="D48" i="13"/>
  <c r="F47" i="13"/>
  <c r="E49" i="13" s="1"/>
  <c r="E47" i="13"/>
  <c r="D47" i="13"/>
  <c r="A45" i="13"/>
  <c r="F43" i="13"/>
  <c r="E43" i="13"/>
  <c r="D43" i="13"/>
  <c r="F42" i="13"/>
  <c r="E42" i="13"/>
  <c r="D42" i="13"/>
  <c r="F41" i="13"/>
  <c r="E41" i="13"/>
  <c r="D41" i="13"/>
  <c r="F40" i="13"/>
  <c r="E40" i="13"/>
  <c r="D40" i="13"/>
  <c r="F37" i="13"/>
  <c r="E37" i="13"/>
  <c r="D37" i="13"/>
  <c r="F36" i="13"/>
  <c r="E36" i="13"/>
  <c r="D36" i="13"/>
  <c r="F35" i="13"/>
  <c r="E35" i="13"/>
  <c r="D35" i="13"/>
  <c r="F34" i="13"/>
  <c r="E34" i="13"/>
  <c r="D34" i="13"/>
  <c r="F33" i="13"/>
  <c r="E33" i="13"/>
  <c r="D33" i="13"/>
  <c r="F32" i="13"/>
  <c r="E38" i="13" s="1"/>
  <c r="E32" i="13"/>
  <c r="D32" i="13"/>
  <c r="A30" i="13"/>
  <c r="F28" i="13"/>
  <c r="E28" i="13"/>
  <c r="D28" i="13"/>
  <c r="F27" i="13"/>
  <c r="E27" i="13"/>
  <c r="D27" i="13"/>
  <c r="F26" i="13"/>
  <c r="E26" i="13"/>
  <c r="D26" i="13"/>
  <c r="F25" i="13"/>
  <c r="E29" i="13" s="1"/>
  <c r="E25" i="13"/>
  <c r="D25" i="13"/>
  <c r="F22" i="13"/>
  <c r="E22" i="13"/>
  <c r="D22" i="13"/>
  <c r="F21" i="13"/>
  <c r="E21" i="13"/>
  <c r="D21" i="13"/>
  <c r="F20" i="13"/>
  <c r="E20" i="13"/>
  <c r="D20" i="13"/>
  <c r="F19" i="13"/>
  <c r="E19" i="13"/>
  <c r="D19" i="13"/>
  <c r="F18" i="13"/>
  <c r="E18" i="13"/>
  <c r="D18" i="13"/>
  <c r="F17" i="13"/>
  <c r="E17" i="13"/>
  <c r="D17" i="13"/>
  <c r="F16" i="13"/>
  <c r="E16" i="13"/>
  <c r="D16" i="13"/>
  <c r="F15" i="13"/>
  <c r="E15" i="13"/>
  <c r="D15" i="13"/>
  <c r="F14" i="13"/>
  <c r="E14" i="13"/>
  <c r="D14" i="13"/>
  <c r="F13" i="13"/>
  <c r="E13" i="13"/>
  <c r="D13" i="13"/>
  <c r="F12" i="13"/>
  <c r="E12" i="13"/>
  <c r="D12" i="13"/>
  <c r="F11" i="13"/>
  <c r="E11" i="13"/>
  <c r="D11" i="13"/>
  <c r="A9" i="13"/>
  <c r="A3" i="13"/>
  <c r="G47" i="12"/>
  <c r="F47" i="12"/>
  <c r="C47" i="12"/>
  <c r="B47" i="12"/>
  <c r="G46" i="12"/>
  <c r="F46" i="12"/>
  <c r="E46" i="12"/>
  <c r="C46" i="12"/>
  <c r="B46" i="12"/>
  <c r="G45" i="12"/>
  <c r="F45" i="12"/>
  <c r="E45" i="12"/>
  <c r="C45" i="12"/>
  <c r="B45" i="12"/>
  <c r="G44" i="12"/>
  <c r="F44" i="12"/>
  <c r="C44" i="12"/>
  <c r="B44" i="12"/>
  <c r="A43" i="12"/>
  <c r="G42" i="12"/>
  <c r="F42" i="12"/>
  <c r="E42" i="12"/>
  <c r="C42" i="12"/>
  <c r="B42" i="12"/>
  <c r="G41" i="12"/>
  <c r="F41" i="12"/>
  <c r="E41" i="12"/>
  <c r="C41" i="12"/>
  <c r="B41" i="12"/>
  <c r="A40" i="12"/>
  <c r="G39" i="12"/>
  <c r="F39" i="12"/>
  <c r="C39" i="12"/>
  <c r="B39" i="12"/>
  <c r="F38" i="12"/>
  <c r="C38" i="12"/>
  <c r="B38" i="12"/>
  <c r="G37" i="12"/>
  <c r="F37" i="12"/>
  <c r="C37" i="12"/>
  <c r="B37" i="12"/>
  <c r="G36" i="12"/>
  <c r="F36" i="12"/>
  <c r="E36" i="12"/>
  <c r="C36" i="12"/>
  <c r="B36" i="12"/>
  <c r="G35" i="12"/>
  <c r="F35" i="12"/>
  <c r="E35" i="12"/>
  <c r="C35" i="12"/>
  <c r="B35" i="12"/>
  <c r="F34" i="12"/>
  <c r="E34" i="12"/>
  <c r="C34" i="12"/>
  <c r="B34" i="12"/>
  <c r="F33" i="12"/>
  <c r="E33" i="12"/>
  <c r="C33" i="12"/>
  <c r="B33" i="12"/>
  <c r="G32" i="12"/>
  <c r="F32" i="12"/>
  <c r="E32" i="12"/>
  <c r="C32" i="12"/>
  <c r="B32" i="12"/>
  <c r="A31" i="12"/>
  <c r="F30" i="12"/>
  <c r="E30" i="12"/>
  <c r="C30" i="12"/>
  <c r="B30" i="12"/>
  <c r="F29" i="12"/>
  <c r="C29" i="12"/>
  <c r="B29" i="12"/>
  <c r="G28" i="12"/>
  <c r="F28" i="12"/>
  <c r="E28" i="12"/>
  <c r="C28" i="12"/>
  <c r="B28" i="12"/>
  <c r="G27" i="12"/>
  <c r="F27" i="12"/>
  <c r="E27" i="12"/>
  <c r="C27" i="12"/>
  <c r="B27" i="12"/>
  <c r="G26" i="12"/>
  <c r="F26" i="12"/>
  <c r="E26" i="12"/>
  <c r="C26" i="12"/>
  <c r="B26" i="12"/>
  <c r="F25" i="12"/>
  <c r="C25" i="12"/>
  <c r="B25" i="12"/>
  <c r="F24" i="12"/>
  <c r="C24" i="12"/>
  <c r="B24" i="12"/>
  <c r="F23" i="12"/>
  <c r="C23" i="12"/>
  <c r="B23" i="12"/>
  <c r="G22" i="12"/>
  <c r="F22" i="12"/>
  <c r="C22" i="12"/>
  <c r="B22" i="12"/>
  <c r="G21" i="12"/>
  <c r="F21" i="12"/>
  <c r="C21" i="12"/>
  <c r="B21" i="12"/>
  <c r="G20" i="12"/>
  <c r="F20" i="12"/>
  <c r="C20" i="12"/>
  <c r="B20" i="12"/>
  <c r="A19" i="12"/>
  <c r="A18" i="12"/>
  <c r="B13" i="12"/>
  <c r="B12" i="12"/>
  <c r="A1" i="12"/>
  <c r="C48" i="11"/>
  <c r="B48" i="11"/>
  <c r="C47" i="11"/>
  <c r="B47" i="11"/>
  <c r="D46" i="11"/>
  <c r="C46" i="11"/>
  <c r="B46" i="11"/>
  <c r="C45" i="11"/>
  <c r="B45" i="11"/>
  <c r="A44" i="11"/>
  <c r="D43" i="11"/>
  <c r="C43" i="11"/>
  <c r="B43" i="11"/>
  <c r="D42" i="11"/>
  <c r="C42" i="11"/>
  <c r="B42" i="11"/>
  <c r="A41" i="11"/>
  <c r="D40" i="11"/>
  <c r="C40" i="11"/>
  <c r="B40" i="11"/>
  <c r="C39" i="11"/>
  <c r="B39" i="11"/>
  <c r="D38" i="11"/>
  <c r="C38" i="11"/>
  <c r="B38" i="11"/>
  <c r="D37" i="11"/>
  <c r="C37" i="11"/>
  <c r="B37" i="11"/>
  <c r="D36" i="11"/>
  <c r="C36" i="11"/>
  <c r="B36" i="11"/>
  <c r="D35" i="11"/>
  <c r="C35" i="11"/>
  <c r="B35" i="11"/>
  <c r="D34" i="11"/>
  <c r="C34" i="11"/>
  <c r="B34" i="11"/>
  <c r="D33" i="11"/>
  <c r="C33" i="11"/>
  <c r="B33" i="11"/>
  <c r="A32" i="11"/>
  <c r="D31" i="11"/>
  <c r="C31" i="11"/>
  <c r="B31" i="11"/>
  <c r="C30" i="11"/>
  <c r="B30" i="11"/>
  <c r="D29" i="11"/>
  <c r="C29" i="11"/>
  <c r="B29" i="11"/>
  <c r="D28" i="11"/>
  <c r="C28" i="11"/>
  <c r="B28" i="11"/>
  <c r="D27" i="11"/>
  <c r="C27" i="11"/>
  <c r="B27" i="11"/>
  <c r="C26" i="11"/>
  <c r="B26" i="11"/>
  <c r="C25" i="11"/>
  <c r="B25" i="11"/>
  <c r="C24" i="11"/>
  <c r="B24" i="11"/>
  <c r="C23" i="11"/>
  <c r="B23" i="11"/>
  <c r="C22" i="11"/>
  <c r="B22" i="11"/>
  <c r="C21" i="11"/>
  <c r="B21" i="11"/>
  <c r="A20" i="11"/>
  <c r="A19" i="11"/>
  <c r="A12" i="11"/>
  <c r="A11" i="11"/>
  <c r="A1" i="11"/>
  <c r="P32" i="14" l="1"/>
  <c r="R28" i="14"/>
  <c r="BB26" i="14"/>
  <c r="CZ185" i="14"/>
  <c r="Y185" i="14" s="1"/>
  <c r="CY185" i="14"/>
  <c r="X185" i="14" s="1"/>
  <c r="CS185" i="14"/>
  <c r="AD185" i="14"/>
  <c r="CX58" i="16"/>
  <c r="W186" i="14"/>
  <c r="CS86" i="14"/>
  <c r="CR86" i="14"/>
  <c r="Q86" i="14" s="1"/>
  <c r="CP86" i="14" s="1"/>
  <c r="O86" i="14" s="1"/>
  <c r="AD86" i="14"/>
  <c r="AB86" i="14" s="1"/>
  <c r="CC40" i="14"/>
  <c r="CX52" i="16"/>
  <c r="D22" i="11"/>
  <c r="CK26" i="14"/>
  <c r="CT29" i="14"/>
  <c r="S29" i="14" s="1"/>
  <c r="CL82" i="14"/>
  <c r="W184" i="14"/>
  <c r="U185" i="14"/>
  <c r="I32" i="14"/>
  <c r="E22" i="12"/>
  <c r="W30" i="14"/>
  <c r="CS31" i="14"/>
  <c r="CR31" i="14"/>
  <c r="AD31" i="14"/>
  <c r="AB31" i="14" s="1"/>
  <c r="V37" i="14"/>
  <c r="CX53" i="16"/>
  <c r="E44" i="12"/>
  <c r="D45" i="11"/>
  <c r="CX61" i="16"/>
  <c r="E47" i="12"/>
  <c r="D48" i="11"/>
  <c r="CX60" i="16"/>
  <c r="CS91" i="14"/>
  <c r="CR91" i="14"/>
  <c r="Q91" i="14" s="1"/>
  <c r="AD91" i="14"/>
  <c r="AB91" i="14" s="1"/>
  <c r="AD28" i="14"/>
  <c r="AB28" i="14" s="1"/>
  <c r="GX28" i="14"/>
  <c r="T29" i="14"/>
  <c r="CT34" i="14"/>
  <c r="S34" i="14" s="1"/>
  <c r="CZ34" i="14" s="1"/>
  <c r="Y34" i="14" s="1"/>
  <c r="CM82" i="14"/>
  <c r="CS87" i="14"/>
  <c r="CR87" i="14"/>
  <c r="Q87" i="14" s="1"/>
  <c r="AD87" i="14"/>
  <c r="AB87" i="14" s="1"/>
  <c r="T91" i="14"/>
  <c r="AO140" i="14"/>
  <c r="BX135" i="14"/>
  <c r="BY189" i="14"/>
  <c r="CT186" i="14"/>
  <c r="S186" i="14" s="1"/>
  <c r="BC40" i="14"/>
  <c r="BC26" i="14" s="1"/>
  <c r="CL26" i="14"/>
  <c r="W29" i="14"/>
  <c r="CM26" i="14"/>
  <c r="BD40" i="14"/>
  <c r="BD26" i="14" s="1"/>
  <c r="P186" i="14"/>
  <c r="CR28" i="14"/>
  <c r="Q28" i="14" s="1"/>
  <c r="CR30" i="14"/>
  <c r="AD30" i="14"/>
  <c r="CS30" i="14"/>
  <c r="W32" i="14"/>
  <c r="CT87" i="14"/>
  <c r="S87" i="14" s="1"/>
  <c r="CY88" i="14"/>
  <c r="X88" i="14" s="1"/>
  <c r="I90" i="14"/>
  <c r="E37" i="12"/>
  <c r="T89" i="14"/>
  <c r="U91" i="14"/>
  <c r="AG140" i="14"/>
  <c r="T140" i="14" s="1"/>
  <c r="AJ140" i="14"/>
  <c r="CR184" i="14"/>
  <c r="Q184" i="14" s="1"/>
  <c r="AD184" i="14"/>
  <c r="CS184" i="14"/>
  <c r="T186" i="14"/>
  <c r="F109" i="14"/>
  <c r="BC82" i="14"/>
  <c r="E20" i="12"/>
  <c r="D21" i="11"/>
  <c r="V30" i="14"/>
  <c r="CQ34" i="14"/>
  <c r="P34" i="14" s="1"/>
  <c r="CP34" i="14" s="1"/>
  <c r="O34" i="14" s="1"/>
  <c r="D47" i="11"/>
  <c r="CS29" i="14"/>
  <c r="D23" i="11"/>
  <c r="S28" i="14"/>
  <c r="CY28" i="14" s="1"/>
  <c r="X28" i="14" s="1"/>
  <c r="V28" i="14"/>
  <c r="GX29" i="14"/>
  <c r="CT30" i="14"/>
  <c r="S30" i="14" s="1"/>
  <c r="CR85" i="14"/>
  <c r="Q85" i="14" s="1"/>
  <c r="CS85" i="14"/>
  <c r="AD85" i="14"/>
  <c r="CT86" i="14"/>
  <c r="S86" i="14" s="1"/>
  <c r="V90" i="14"/>
  <c r="R91" i="14"/>
  <c r="GK91" i="14" s="1"/>
  <c r="E39" i="12"/>
  <c r="W91" i="14"/>
  <c r="CK82" i="14"/>
  <c r="BB93" i="14"/>
  <c r="BB140" i="14"/>
  <c r="CK135" i="14"/>
  <c r="CT184" i="14"/>
  <c r="S184" i="14" s="1"/>
  <c r="U186" i="14"/>
  <c r="GX186" i="14"/>
  <c r="CT187" i="14"/>
  <c r="S187" i="14" s="1"/>
  <c r="R89" i="14"/>
  <c r="GK89" i="14" s="1"/>
  <c r="U28" i="14"/>
  <c r="BZ40" i="14"/>
  <c r="AD36" i="14"/>
  <c r="CS36" i="14"/>
  <c r="S37" i="14"/>
  <c r="AB38" i="14"/>
  <c r="CS38" i="14"/>
  <c r="W85" i="14"/>
  <c r="W86" i="14"/>
  <c r="W90" i="14"/>
  <c r="GX184" i="14"/>
  <c r="P187" i="14"/>
  <c r="CG189" i="14"/>
  <c r="R37" i="14"/>
  <c r="GK37" i="14" s="1"/>
  <c r="T85" i="14"/>
  <c r="CB140" i="14"/>
  <c r="CB135" i="14" s="1"/>
  <c r="V184" i="14"/>
  <c r="W187" i="14"/>
  <c r="Q36" i="14"/>
  <c r="T37" i="14"/>
  <c r="AD38" i="14"/>
  <c r="AD88" i="14"/>
  <c r="Q89" i="14"/>
  <c r="GX91" i="14"/>
  <c r="AD186" i="14"/>
  <c r="CS186" i="14"/>
  <c r="AD187" i="14"/>
  <c r="AB187" i="14" s="1"/>
  <c r="W28" i="14"/>
  <c r="S36" i="14"/>
  <c r="I37" i="14"/>
  <c r="U37" i="14"/>
  <c r="BY93" i="14"/>
  <c r="BY82" i="14" s="1"/>
  <c r="GX185" i="14"/>
  <c r="Q186" i="14"/>
  <c r="R187" i="14"/>
  <c r="GK187" i="14" s="1"/>
  <c r="E44" i="13"/>
  <c r="CZ29" i="14"/>
  <c r="Y29" i="14" s="1"/>
  <c r="CY29" i="14"/>
  <c r="X29" i="14" s="1"/>
  <c r="CQ30" i="14"/>
  <c r="P30" i="14" s="1"/>
  <c r="AB30" i="14"/>
  <c r="CQ35" i="14"/>
  <c r="P35" i="14" s="1"/>
  <c r="CP35" i="14" s="1"/>
  <c r="O35" i="14" s="1"/>
  <c r="AB35" i="14"/>
  <c r="CZ37" i="14"/>
  <c r="Y37" i="14" s="1"/>
  <c r="CY37" i="14"/>
  <c r="X37" i="14" s="1"/>
  <c r="CQ29" i="14"/>
  <c r="P29" i="14" s="1"/>
  <c r="AQ40" i="14"/>
  <c r="BZ26" i="14"/>
  <c r="CZ35" i="14"/>
  <c r="Y35" i="14" s="1"/>
  <c r="CY35" i="14"/>
  <c r="X35" i="14" s="1"/>
  <c r="CZ36" i="14"/>
  <c r="Y36" i="14" s="1"/>
  <c r="AT40" i="14"/>
  <c r="CC26" i="14"/>
  <c r="CZ89" i="14"/>
  <c r="Y89" i="14" s="1"/>
  <c r="CY89" i="14"/>
  <c r="X89" i="14" s="1"/>
  <c r="E23" i="13"/>
  <c r="CY30" i="14"/>
  <c r="X30" i="14" s="1"/>
  <c r="R32" i="14"/>
  <c r="GK32" i="14" s="1"/>
  <c r="CP36" i="14"/>
  <c r="O36" i="14" s="1"/>
  <c r="AI93" i="14"/>
  <c r="BZ93" i="14"/>
  <c r="T32" i="14"/>
  <c r="GX32" i="14"/>
  <c r="D25" i="11"/>
  <c r="Q32" i="14"/>
  <c r="CY38" i="14"/>
  <c r="X38" i="14" s="1"/>
  <c r="CZ38" i="14"/>
  <c r="Y38" i="14" s="1"/>
  <c r="AS93" i="14"/>
  <c r="E59" i="13"/>
  <c r="S32" i="14"/>
  <c r="V32" i="14"/>
  <c r="CT85" i="14"/>
  <c r="S85" i="14" s="1"/>
  <c r="AB85" i="14"/>
  <c r="CZ87" i="14"/>
  <c r="Y87" i="14" s="1"/>
  <c r="CY87" i="14"/>
  <c r="X87" i="14" s="1"/>
  <c r="AD29" i="14"/>
  <c r="AB29" i="14" s="1"/>
  <c r="CS35" i="14"/>
  <c r="V38" i="14"/>
  <c r="CP84" i="14"/>
  <c r="O84" i="14" s="1"/>
  <c r="AB88" i="14"/>
  <c r="S91" i="14"/>
  <c r="CP91" i="14" s="1"/>
  <c r="O91" i="14" s="1"/>
  <c r="CQ137" i="14"/>
  <c r="P137" i="14" s="1"/>
  <c r="AB137" i="14"/>
  <c r="CS137" i="14"/>
  <c r="R137" i="14" s="1"/>
  <c r="CB40" i="14"/>
  <c r="CX13" i="16"/>
  <c r="CX9" i="16"/>
  <c r="CX10" i="16"/>
  <c r="CX11" i="16"/>
  <c r="CX12" i="16"/>
  <c r="U29" i="14"/>
  <c r="CR29" i="14"/>
  <c r="Q29" i="14" s="1"/>
  <c r="GX37" i="14"/>
  <c r="W38" i="14"/>
  <c r="CC82" i="14"/>
  <c r="AT93" i="14"/>
  <c r="GX90" i="14"/>
  <c r="CJ93" i="14" s="1"/>
  <c r="V29" i="14"/>
  <c r="Q30" i="14"/>
  <c r="AB36" i="14"/>
  <c r="GK84" i="14"/>
  <c r="CP87" i="14"/>
  <c r="O87" i="14" s="1"/>
  <c r="F65" i="14"/>
  <c r="T135" i="14"/>
  <c r="F161" i="14"/>
  <c r="AQ140" i="14"/>
  <c r="CG140" i="14"/>
  <c r="BZ135" i="14"/>
  <c r="E21" i="12"/>
  <c r="CX5" i="16"/>
  <c r="CX6" i="16"/>
  <c r="CX7" i="16"/>
  <c r="CX8" i="16"/>
  <c r="CX1" i="16"/>
  <c r="CX2" i="16"/>
  <c r="CX3" i="16"/>
  <c r="CX4" i="16"/>
  <c r="CQ38" i="14"/>
  <c r="P38" i="14" s="1"/>
  <c r="CG40" i="14"/>
  <c r="AO40" i="14"/>
  <c r="P85" i="14"/>
  <c r="CP85" i="14" s="1"/>
  <c r="O85" i="14" s="1"/>
  <c r="CQ89" i="14"/>
  <c r="P89" i="14" s="1"/>
  <c r="AD90" i="14"/>
  <c r="AB90" i="14" s="1"/>
  <c r="CR90" i="14"/>
  <c r="Q90" i="14" s="1"/>
  <c r="CX50" i="16"/>
  <c r="CX51" i="16"/>
  <c r="AJ135" i="14"/>
  <c r="W140" i="14"/>
  <c r="CJ189" i="14"/>
  <c r="BY40" i="14"/>
  <c r="AD33" i="14"/>
  <c r="AB33" i="14" s="1"/>
  <c r="CY34" i="14"/>
  <c r="X34" i="14" s="1"/>
  <c r="Q38" i="14"/>
  <c r="F53" i="14"/>
  <c r="CY84" i="14"/>
  <c r="X84" i="14" s="1"/>
  <c r="AG135" i="14"/>
  <c r="AH140" i="14"/>
  <c r="CX21" i="16"/>
  <c r="CX22" i="16"/>
  <c r="CX14" i="16"/>
  <c r="CX23" i="16"/>
  <c r="CX15" i="16"/>
  <c r="CX16" i="16"/>
  <c r="CX17" i="16"/>
  <c r="CX18" i="16"/>
  <c r="CX19" i="16"/>
  <c r="I33" i="14"/>
  <c r="U33" i="14" s="1"/>
  <c r="CX20" i="16"/>
  <c r="I31" i="14"/>
  <c r="V31" i="14" s="1"/>
  <c r="CR33" i="14"/>
  <c r="S90" i="14"/>
  <c r="AF93" i="14" s="1"/>
  <c r="U90" i="14"/>
  <c r="AH93" i="14" s="1"/>
  <c r="AP93" i="14"/>
  <c r="AT140" i="14"/>
  <c r="CC135" i="14"/>
  <c r="BD140" i="14"/>
  <c r="BD219" i="14" s="1"/>
  <c r="CM135" i="14"/>
  <c r="CY137" i="14"/>
  <c r="X137" i="14" s="1"/>
  <c r="AK140" i="14" s="1"/>
  <c r="AF140" i="14"/>
  <c r="AS140" i="14"/>
  <c r="CZ186" i="14"/>
  <c r="Y186" i="14" s="1"/>
  <c r="CY186" i="14"/>
  <c r="X186" i="14" s="1"/>
  <c r="AB84" i="14"/>
  <c r="CR88" i="14"/>
  <c r="Q88" i="14" s="1"/>
  <c r="P90" i="14"/>
  <c r="AI140" i="14"/>
  <c r="CJ140" i="14"/>
  <c r="CI189" i="14"/>
  <c r="AP189" i="14"/>
  <c r="BY182" i="14"/>
  <c r="CZ137" i="14"/>
  <c r="Y137" i="14" s="1"/>
  <c r="AL140" i="14" s="1"/>
  <c r="CR138" i="14"/>
  <c r="Q138" i="14" s="1"/>
  <c r="CP138" i="14" s="1"/>
  <c r="O138" i="14" s="1"/>
  <c r="AD138" i="14"/>
  <c r="AB138" i="14" s="1"/>
  <c r="AO93" i="14"/>
  <c r="BX82" i="14"/>
  <c r="BY140" i="14"/>
  <c r="AH189" i="14"/>
  <c r="AS189" i="14"/>
  <c r="CB182" i="14"/>
  <c r="BD82" i="14"/>
  <c r="CZ138" i="14"/>
  <c r="Y138" i="14" s="1"/>
  <c r="AI189" i="14"/>
  <c r="CX46" i="16"/>
  <c r="CX47" i="16"/>
  <c r="CX48" i="16"/>
  <c r="CX49" i="16"/>
  <c r="AB184" i="14"/>
  <c r="AQ182" i="14"/>
  <c r="F199" i="14"/>
  <c r="CX56" i="16"/>
  <c r="CX57" i="16"/>
  <c r="AB185" i="14"/>
  <c r="BD189" i="14"/>
  <c r="AC189" i="14"/>
  <c r="CP184" i="14"/>
  <c r="O184" i="14" s="1"/>
  <c r="CR185" i="14"/>
  <c r="Q185" i="14" s="1"/>
  <c r="CP185" i="14" s="1"/>
  <c r="O185" i="14" s="1"/>
  <c r="AB186" i="14"/>
  <c r="AG189" i="14"/>
  <c r="CC189" i="14"/>
  <c r="CZ184" i="14"/>
  <c r="Y184" i="14" s="1"/>
  <c r="CY184" i="14"/>
  <c r="X184" i="14" s="1"/>
  <c r="AF189" i="14"/>
  <c r="CX29" i="16"/>
  <c r="CX30" i="16"/>
  <c r="CX31" i="16"/>
  <c r="CX32" i="16"/>
  <c r="BC219" i="14"/>
  <c r="F56" i="14"/>
  <c r="W185" i="14"/>
  <c r="CZ187" i="14"/>
  <c r="Y187" i="14" s="1"/>
  <c r="CY187" i="14"/>
  <c r="X187" i="14" s="1"/>
  <c r="CX59" i="16"/>
  <c r="CR187" i="14"/>
  <c r="Q187" i="14" s="1"/>
  <c r="CP187" i="14" s="1"/>
  <c r="O187" i="14" s="1"/>
  <c r="F193" i="14"/>
  <c r="CX55" i="16"/>
  <c r="CX54" i="16"/>
  <c r="CX62" i="16"/>
  <c r="R184" i="14" l="1"/>
  <c r="V33" i="14"/>
  <c r="AX189" i="14"/>
  <c r="CG182" i="14"/>
  <c r="F106" i="14"/>
  <c r="BB82" i="14"/>
  <c r="R85" i="14"/>
  <c r="AO135" i="14"/>
  <c r="F144" i="14"/>
  <c r="CY36" i="14"/>
  <c r="X36" i="14" s="1"/>
  <c r="CP28" i="14"/>
  <c r="O28" i="14" s="1"/>
  <c r="R186" i="14"/>
  <c r="GK186" i="14" s="1"/>
  <c r="R36" i="14"/>
  <c r="D39" i="11"/>
  <c r="E38" i="12"/>
  <c r="BB219" i="14"/>
  <c r="AI40" i="14"/>
  <c r="S33" i="14"/>
  <c r="CZ33" i="14" s="1"/>
  <c r="Y33" i="14" s="1"/>
  <c r="R90" i="14"/>
  <c r="GK90" i="14" s="1"/>
  <c r="CZ28" i="14"/>
  <c r="Y28" i="14" s="1"/>
  <c r="GM28" i="14" s="1"/>
  <c r="P37" i="14"/>
  <c r="D30" i="11"/>
  <c r="E29" i="12"/>
  <c r="Q37" i="14"/>
  <c r="GK28" i="14"/>
  <c r="AJ189" i="14"/>
  <c r="GX33" i="14"/>
  <c r="CZ30" i="14"/>
  <c r="Y30" i="14" s="1"/>
  <c r="R87" i="14"/>
  <c r="R38" i="14"/>
  <c r="GK38" i="14" s="1"/>
  <c r="R185" i="14"/>
  <c r="GK185" i="14" s="1"/>
  <c r="BB135" i="14"/>
  <c r="F153" i="14"/>
  <c r="P33" i="14"/>
  <c r="CP32" i="14"/>
  <c r="O32" i="14" s="1"/>
  <c r="AJ93" i="14"/>
  <c r="R29" i="14"/>
  <c r="CP186" i="14"/>
  <c r="O186" i="14" s="1"/>
  <c r="GP186" i="14" s="1"/>
  <c r="T90" i="14"/>
  <c r="AG93" i="14" s="1"/>
  <c r="AG82" i="14" s="1"/>
  <c r="E24" i="12"/>
  <c r="U32" i="14"/>
  <c r="R86" i="14"/>
  <c r="GK86" i="14" s="1"/>
  <c r="W37" i="14"/>
  <c r="CZ86" i="14"/>
  <c r="Y86" i="14" s="1"/>
  <c r="CY86" i="14"/>
  <c r="X86" i="14" s="1"/>
  <c r="R30" i="14"/>
  <c r="F244" i="14"/>
  <c r="BD259" i="14"/>
  <c r="BD22" i="14"/>
  <c r="W189" i="14"/>
  <c r="AJ182" i="14"/>
  <c r="GM138" i="14"/>
  <c r="GP138" i="14"/>
  <c r="U93" i="14"/>
  <c r="AH82" i="14"/>
  <c r="V40" i="14"/>
  <c r="AI26" i="14"/>
  <c r="GP187" i="14"/>
  <c r="GM187" i="14"/>
  <c r="AE140" i="14"/>
  <c r="GK137" i="14"/>
  <c r="P189" i="14"/>
  <c r="CH189" i="14"/>
  <c r="CF189" i="14"/>
  <c r="AC182" i="14"/>
  <c r="CE189" i="14"/>
  <c r="F206" i="14"/>
  <c r="AS182" i="14"/>
  <c r="GM87" i="14"/>
  <c r="GP87" i="14"/>
  <c r="AD189" i="14"/>
  <c r="V93" i="14"/>
  <c r="AI82" i="14"/>
  <c r="F50" i="14"/>
  <c r="AQ26" i="14"/>
  <c r="AD140" i="14"/>
  <c r="R31" i="14"/>
  <c r="BD135" i="14"/>
  <c r="F165" i="14"/>
  <c r="S93" i="14"/>
  <c r="AF82" i="14"/>
  <c r="R35" i="14"/>
  <c r="AQ93" i="14"/>
  <c r="AQ219" i="14" s="1"/>
  <c r="BZ82" i="14"/>
  <c r="F58" i="14"/>
  <c r="AT26" i="14"/>
  <c r="U31" i="14"/>
  <c r="AH40" i="14" s="1"/>
  <c r="AL189" i="14"/>
  <c r="Y140" i="14"/>
  <c r="AL135" i="14"/>
  <c r="GP34" i="14"/>
  <c r="GM34" i="14"/>
  <c r="CZ32" i="14"/>
  <c r="Y32" i="14" s="1"/>
  <c r="CY32" i="14"/>
  <c r="X32" i="14" s="1"/>
  <c r="BC259" i="14"/>
  <c r="F235" i="14"/>
  <c r="BC22" i="14"/>
  <c r="AT189" i="14"/>
  <c r="CC182" i="14"/>
  <c r="F214" i="14"/>
  <c r="BD182" i="14"/>
  <c r="U189" i="14"/>
  <c r="AH182" i="14"/>
  <c r="F158" i="14"/>
  <c r="AT135" i="14"/>
  <c r="D26" i="11"/>
  <c r="T33" i="14"/>
  <c r="E25" i="12"/>
  <c r="AX140" i="14"/>
  <c r="CG135" i="14"/>
  <c r="AT82" i="14"/>
  <c r="F111" i="14"/>
  <c r="AC140" i="14"/>
  <c r="CP137" i="14"/>
  <c r="O137" i="14" s="1"/>
  <c r="W31" i="14"/>
  <c r="AD93" i="14"/>
  <c r="CP88" i="14"/>
  <c r="O88" i="14" s="1"/>
  <c r="AK189" i="14"/>
  <c r="CI140" i="14"/>
  <c r="AP140" i="14"/>
  <c r="BY135" i="14"/>
  <c r="BA189" i="14"/>
  <c r="CJ182" i="14"/>
  <c r="CP89" i="14"/>
  <c r="O89" i="14" s="1"/>
  <c r="F150" i="14"/>
  <c r="AQ135" i="14"/>
  <c r="AC93" i="14"/>
  <c r="P31" i="14"/>
  <c r="CP30" i="14"/>
  <c r="O30" i="14" s="1"/>
  <c r="E23" i="12"/>
  <c r="GX31" i="14"/>
  <c r="CJ40" i="14" s="1"/>
  <c r="D24" i="11"/>
  <c r="AP182" i="14"/>
  <c r="F198" i="14"/>
  <c r="F102" i="14"/>
  <c r="AP82" i="14"/>
  <c r="CZ91" i="14"/>
  <c r="Y91" i="14" s="1"/>
  <c r="CY91" i="14"/>
  <c r="X91" i="14" s="1"/>
  <c r="F110" i="14"/>
  <c r="AS82" i="14"/>
  <c r="GP28" i="14"/>
  <c r="GP185" i="14"/>
  <c r="GM185" i="14"/>
  <c r="BA140" i="14"/>
  <c r="CJ135" i="14"/>
  <c r="U140" i="14"/>
  <c r="AH135" i="14"/>
  <c r="F164" i="14"/>
  <c r="W135" i="14"/>
  <c r="S31" i="14"/>
  <c r="AZ189" i="14"/>
  <c r="CI182" i="14"/>
  <c r="BA93" i="14"/>
  <c r="CJ82" i="14"/>
  <c r="CZ85" i="14"/>
  <c r="Y85" i="14" s="1"/>
  <c r="CY85" i="14"/>
  <c r="X85" i="14" s="1"/>
  <c r="GP35" i="14"/>
  <c r="GM35" i="14"/>
  <c r="Q31" i="14"/>
  <c r="AD40" i="14" s="1"/>
  <c r="T31" i="14"/>
  <c r="AG182" i="14"/>
  <c r="T189" i="14"/>
  <c r="F157" i="14"/>
  <c r="AS135" i="14"/>
  <c r="AI182" i="14"/>
  <c r="V189" i="14"/>
  <c r="AO82" i="14"/>
  <c r="F97" i="14"/>
  <c r="S140" i="14"/>
  <c r="AF135" i="14"/>
  <c r="CZ90" i="14"/>
  <c r="Y90" i="14" s="1"/>
  <c r="CY90" i="14"/>
  <c r="X90" i="14" s="1"/>
  <c r="AO219" i="14"/>
  <c r="F44" i="14"/>
  <c r="AO26" i="14"/>
  <c r="CG93" i="14"/>
  <c r="AI135" i="14"/>
  <c r="V140" i="14"/>
  <c r="AK135" i="14"/>
  <c r="X140" i="14"/>
  <c r="CI93" i="14"/>
  <c r="AX40" i="14"/>
  <c r="CG26" i="14"/>
  <c r="GM84" i="14"/>
  <c r="GP84" i="14"/>
  <c r="AB93" i="14"/>
  <c r="S189" i="14"/>
  <c r="AF182" i="14"/>
  <c r="CP90" i="14"/>
  <c r="O90" i="14" s="1"/>
  <c r="Q33" i="14"/>
  <c r="AP40" i="14"/>
  <c r="CI40" i="14"/>
  <c r="BY26" i="14"/>
  <c r="CP38" i="14"/>
  <c r="O38" i="14" s="1"/>
  <c r="AS40" i="14"/>
  <c r="CB26" i="14"/>
  <c r="W33" i="14"/>
  <c r="CP29" i="14"/>
  <c r="O29" i="14" s="1"/>
  <c r="R33" i="14"/>
  <c r="GK33" i="14" s="1"/>
  <c r="GK36" i="14" l="1"/>
  <c r="AE189" i="14"/>
  <c r="GK184" i="14"/>
  <c r="BB22" i="14"/>
  <c r="BB259" i="14"/>
  <c r="F232" i="14"/>
  <c r="GK85" i="14"/>
  <c r="GP85" i="14" s="1"/>
  <c r="CD93" i="14" s="1"/>
  <c r="AE93" i="14"/>
  <c r="T93" i="14"/>
  <c r="CY33" i="14"/>
  <c r="X33" i="14" s="1"/>
  <c r="CP31" i="14"/>
  <c r="O31" i="14" s="1"/>
  <c r="CP33" i="14"/>
  <c r="O33" i="14" s="1"/>
  <c r="AB189" i="14"/>
  <c r="O189" i="14" s="1"/>
  <c r="GM186" i="14"/>
  <c r="GK30" i="14"/>
  <c r="GM30" i="14" s="1"/>
  <c r="GK29" i="14"/>
  <c r="GP86" i="14"/>
  <c r="W93" i="14"/>
  <c r="AJ82" i="14"/>
  <c r="CP37" i="14"/>
  <c r="O37" i="14" s="1"/>
  <c r="GM86" i="14"/>
  <c r="F196" i="14"/>
  <c r="AX182" i="14"/>
  <c r="GP91" i="14"/>
  <c r="GM33" i="14"/>
  <c r="Q40" i="14"/>
  <c r="AD26" i="14"/>
  <c r="F229" i="14"/>
  <c r="AQ259" i="14"/>
  <c r="AQ22" i="14"/>
  <c r="AH26" i="14"/>
  <c r="U40" i="14"/>
  <c r="F160" i="14"/>
  <c r="BA135" i="14"/>
  <c r="AY189" i="14"/>
  <c r="CH182" i="14"/>
  <c r="P93" i="14"/>
  <c r="CH93" i="14"/>
  <c r="CF93" i="14"/>
  <c r="CE93" i="14"/>
  <c r="AC82" i="14"/>
  <c r="F209" i="14"/>
  <c r="BA182" i="14"/>
  <c r="AX135" i="14"/>
  <c r="F147" i="14"/>
  <c r="S82" i="14"/>
  <c r="F108" i="14"/>
  <c r="F129" i="14" s="1"/>
  <c r="F192" i="14"/>
  <c r="P182" i="14"/>
  <c r="GM91" i="14"/>
  <c r="GM38" i="14"/>
  <c r="GP38" i="14"/>
  <c r="AX26" i="14"/>
  <c r="F47" i="14"/>
  <c r="AD182" i="14"/>
  <c r="Q189" i="14"/>
  <c r="GP32" i="14"/>
  <c r="F204" i="14"/>
  <c r="S182" i="14"/>
  <c r="AZ93" i="14"/>
  <c r="CI82" i="14"/>
  <c r="F223" i="14"/>
  <c r="AO259" i="14"/>
  <c r="AO22" i="14"/>
  <c r="F212" i="14"/>
  <c r="V182" i="14"/>
  <c r="AL93" i="14"/>
  <c r="GM29" i="14"/>
  <c r="GP29" i="14"/>
  <c r="AZ40" i="14"/>
  <c r="CI26" i="14"/>
  <c r="F166" i="14"/>
  <c r="X135" i="14"/>
  <c r="AG40" i="14"/>
  <c r="Q93" i="14"/>
  <c r="AD82" i="14"/>
  <c r="GM32" i="14"/>
  <c r="F114" i="14"/>
  <c r="T82" i="14"/>
  <c r="AP219" i="14"/>
  <c r="AP26" i="14"/>
  <c r="F49" i="14"/>
  <c r="AB82" i="14"/>
  <c r="O93" i="14"/>
  <c r="BA82" i="14"/>
  <c r="F113" i="14"/>
  <c r="BA40" i="14"/>
  <c r="CJ26" i="14"/>
  <c r="AP135" i="14"/>
  <c r="F149" i="14"/>
  <c r="AJ40" i="14"/>
  <c r="F207" i="14"/>
  <c r="AT182" i="14"/>
  <c r="AT219" i="14"/>
  <c r="R140" i="14"/>
  <c r="AE135" i="14"/>
  <c r="V219" i="14"/>
  <c r="F63" i="14"/>
  <c r="V26" i="14"/>
  <c r="F163" i="14"/>
  <c r="V135" i="14"/>
  <c r="AZ140" i="14"/>
  <c r="CI135" i="14"/>
  <c r="GP137" i="14"/>
  <c r="CD140" i="14" s="1"/>
  <c r="GM137" i="14"/>
  <c r="CA140" i="14" s="1"/>
  <c r="AB140" i="14"/>
  <c r="F213" i="14"/>
  <c r="W182" i="14"/>
  <c r="AK93" i="14"/>
  <c r="F200" i="14"/>
  <c r="AZ182" i="14"/>
  <c r="CF140" i="14"/>
  <c r="AC135" i="14"/>
  <c r="CH140" i="14"/>
  <c r="P140" i="14"/>
  <c r="CE140" i="14"/>
  <c r="Y135" i="14"/>
  <c r="F167" i="14"/>
  <c r="F171" i="14" s="1"/>
  <c r="F103" i="14"/>
  <c r="AQ82" i="14"/>
  <c r="CE182" i="14"/>
  <c r="AV189" i="14"/>
  <c r="F115" i="14"/>
  <c r="U82" i="14"/>
  <c r="F210" i="14"/>
  <c r="T182" i="14"/>
  <c r="S135" i="14"/>
  <c r="F155" i="14"/>
  <c r="F176" i="14" s="1"/>
  <c r="X189" i="14"/>
  <c r="AK182" i="14"/>
  <c r="F275" i="14"/>
  <c r="BC18" i="14"/>
  <c r="GK31" i="14"/>
  <c r="AE40" i="14"/>
  <c r="F284" i="14"/>
  <c r="BD18" i="14"/>
  <c r="AX93" i="14"/>
  <c r="CG82" i="14"/>
  <c r="AC40" i="14"/>
  <c r="F162" i="14"/>
  <c r="U135" i="14"/>
  <c r="AS219" i="14"/>
  <c r="AS26" i="14"/>
  <c r="F57" i="14"/>
  <c r="GM90" i="14"/>
  <c r="GP90" i="14"/>
  <c r="CZ31" i="14"/>
  <c r="Y31" i="14" s="1"/>
  <c r="CY31" i="14"/>
  <c r="X31" i="14" s="1"/>
  <c r="GM31" i="14" s="1"/>
  <c r="AF40" i="14"/>
  <c r="AB40" i="14"/>
  <c r="GM89" i="14"/>
  <c r="GP89" i="14"/>
  <c r="GP88" i="14"/>
  <c r="GM88" i="14"/>
  <c r="F211" i="14"/>
  <c r="U182" i="14"/>
  <c r="Y189" i="14"/>
  <c r="AL182" i="14"/>
  <c r="Q140" i="14"/>
  <c r="AD135" i="14"/>
  <c r="F116" i="14"/>
  <c r="V82" i="14"/>
  <c r="AW189" i="14"/>
  <c r="CF182" i="14"/>
  <c r="F272" i="14" l="1"/>
  <c r="BB18" i="14"/>
  <c r="GM85" i="14"/>
  <c r="GP33" i="14"/>
  <c r="F117" i="14"/>
  <c r="W82" i="14"/>
  <c r="GP184" i="14"/>
  <c r="CD189" i="14" s="1"/>
  <c r="GM184" i="14"/>
  <c r="CA189" i="14" s="1"/>
  <c r="AR189" i="14" s="1"/>
  <c r="R189" i="14"/>
  <c r="AE182" i="14"/>
  <c r="CA93" i="14"/>
  <c r="AR93" i="14" s="1"/>
  <c r="AB182" i="14"/>
  <c r="GP30" i="14"/>
  <c r="R93" i="14"/>
  <c r="AE82" i="14"/>
  <c r="GP36" i="14"/>
  <c r="GM36" i="14"/>
  <c r="GP37" i="14"/>
  <c r="GM37" i="14"/>
  <c r="CA40" i="14" s="1"/>
  <c r="AU93" i="14"/>
  <c r="CD82" i="14"/>
  <c r="P135" i="14"/>
  <c r="F143" i="14"/>
  <c r="X93" i="14"/>
  <c r="AK82" i="14"/>
  <c r="V259" i="14"/>
  <c r="F242" i="14"/>
  <c r="V22" i="14"/>
  <c r="F95" i="14"/>
  <c r="O82" i="14"/>
  <c r="AE26" i="14"/>
  <c r="R40" i="14"/>
  <c r="CH135" i="14"/>
  <c r="AY140" i="14"/>
  <c r="Q82" i="14"/>
  <c r="F105" i="14"/>
  <c r="GP31" i="14"/>
  <c r="CD40" i="14" s="1"/>
  <c r="F269" i="14"/>
  <c r="AQ18" i="14"/>
  <c r="Q135" i="14"/>
  <c r="F152" i="14"/>
  <c r="CF40" i="14"/>
  <c r="P40" i="14"/>
  <c r="CH40" i="14"/>
  <c r="CE40" i="14"/>
  <c r="AC26" i="14"/>
  <c r="R135" i="14"/>
  <c r="F154" i="14"/>
  <c r="F177" i="14" s="1"/>
  <c r="F172" i="14" s="1"/>
  <c r="Y93" i="14"/>
  <c r="AL82" i="14"/>
  <c r="F104" i="14"/>
  <c r="AZ82" i="14"/>
  <c r="F191" i="14"/>
  <c r="O182" i="14"/>
  <c r="U219" i="14"/>
  <c r="F62" i="14"/>
  <c r="U26" i="14"/>
  <c r="AW140" i="14"/>
  <c r="CF135" i="14"/>
  <c r="AB135" i="14"/>
  <c r="O140" i="14"/>
  <c r="AT259" i="14"/>
  <c r="F237" i="14"/>
  <c r="F16" i="15" s="1"/>
  <c r="F18" i="15" s="1"/>
  <c r="AT22" i="14"/>
  <c r="T40" i="14"/>
  <c r="AG26" i="14"/>
  <c r="AL40" i="14"/>
  <c r="F100" i="14"/>
  <c r="AX82" i="14"/>
  <c r="CA135" i="14"/>
  <c r="AR140" i="14"/>
  <c r="BA219" i="14"/>
  <c r="F60" i="14"/>
  <c r="BA26" i="14"/>
  <c r="F228" i="14"/>
  <c r="G16" i="15" s="1"/>
  <c r="G18" i="15" s="1"/>
  <c r="AP259" i="14"/>
  <c r="AP22" i="14"/>
  <c r="AV93" i="14"/>
  <c r="CE82" i="14"/>
  <c r="F197" i="14"/>
  <c r="AY182" i="14"/>
  <c r="Q219" i="14"/>
  <c r="F52" i="14"/>
  <c r="Q26" i="14"/>
  <c r="Y182" i="14"/>
  <c r="F216" i="14"/>
  <c r="O40" i="14"/>
  <c r="AB26" i="14"/>
  <c r="AU140" i="14"/>
  <c r="CD135" i="14"/>
  <c r="AW93" i="14"/>
  <c r="CF82" i="14"/>
  <c r="F195" i="14"/>
  <c r="AW182" i="14"/>
  <c r="S40" i="14"/>
  <c r="AF26" i="14"/>
  <c r="F215" i="14"/>
  <c r="X182" i="14"/>
  <c r="W40" i="14"/>
  <c r="AJ26" i="14"/>
  <c r="Q182" i="14"/>
  <c r="F201" i="14"/>
  <c r="AX219" i="14"/>
  <c r="AY93" i="14"/>
  <c r="CH82" i="14"/>
  <c r="AK40" i="14"/>
  <c r="AS259" i="14"/>
  <c r="F236" i="14"/>
  <c r="E16" i="15" s="1"/>
  <c r="AS22" i="14"/>
  <c r="F194" i="14"/>
  <c r="AV182" i="14"/>
  <c r="CE135" i="14"/>
  <c r="AV140" i="14"/>
  <c r="AZ135" i="14"/>
  <c r="F151" i="14"/>
  <c r="AZ219" i="14"/>
  <c r="F51" i="14"/>
  <c r="AZ26" i="14"/>
  <c r="F263" i="14"/>
  <c r="AO18" i="14"/>
  <c r="F96" i="14"/>
  <c r="P82" i="14"/>
  <c r="AR40" i="14" l="1"/>
  <c r="F68" i="14" s="1"/>
  <c r="CA26" i="14"/>
  <c r="AU189" i="14"/>
  <c r="CD182" i="14"/>
  <c r="CA182" i="14"/>
  <c r="CA82" i="14"/>
  <c r="R182" i="14"/>
  <c r="F203" i="14"/>
  <c r="F107" i="14"/>
  <c r="F130" i="14" s="1"/>
  <c r="F125" i="14" s="1"/>
  <c r="R82" i="14"/>
  <c r="AU40" i="14"/>
  <c r="CD26" i="14"/>
  <c r="F101" i="14"/>
  <c r="AY82" i="14"/>
  <c r="AX259" i="14"/>
  <c r="F226" i="14"/>
  <c r="AX22" i="14"/>
  <c r="S219" i="14"/>
  <c r="F55" i="14"/>
  <c r="F76" i="14" s="1"/>
  <c r="S26" i="14"/>
  <c r="F277" i="14"/>
  <c r="AT18" i="14"/>
  <c r="F282" i="14"/>
  <c r="V18" i="14"/>
  <c r="F268" i="14"/>
  <c r="AP18" i="14"/>
  <c r="F142" i="14"/>
  <c r="O135" i="14"/>
  <c r="CE26" i="14"/>
  <c r="AV40" i="14"/>
  <c r="F217" i="14"/>
  <c r="AR182" i="14"/>
  <c r="F112" i="14"/>
  <c r="AU82" i="14"/>
  <c r="F230" i="14"/>
  <c r="AZ259" i="14"/>
  <c r="AZ22" i="14"/>
  <c r="Y40" i="14"/>
  <c r="AL26" i="14"/>
  <c r="CH26" i="14"/>
  <c r="AY40" i="14"/>
  <c r="F119" i="14"/>
  <c r="X82" i="14"/>
  <c r="F231" i="14"/>
  <c r="Q259" i="14"/>
  <c r="Q22" i="14"/>
  <c r="P219" i="14"/>
  <c r="F43" i="14"/>
  <c r="P26" i="14"/>
  <c r="AR219" i="14"/>
  <c r="F276" i="14"/>
  <c r="AS18" i="14"/>
  <c r="F146" i="14"/>
  <c r="AW135" i="14"/>
  <c r="AW40" i="14"/>
  <c r="CF26" i="14"/>
  <c r="F148" i="14"/>
  <c r="AY135" i="14"/>
  <c r="E18" i="15"/>
  <c r="F159" i="14"/>
  <c r="AU135" i="14"/>
  <c r="X40" i="14"/>
  <c r="AK26" i="14"/>
  <c r="W219" i="14"/>
  <c r="F64" i="14"/>
  <c r="W26" i="14"/>
  <c r="F145" i="14"/>
  <c r="AV135" i="14"/>
  <c r="F239" i="14"/>
  <c r="BA259" i="14"/>
  <c r="BA22" i="14"/>
  <c r="T219" i="14"/>
  <c r="F61" i="14"/>
  <c r="T26" i="14"/>
  <c r="F120" i="14"/>
  <c r="F124" i="14" s="1"/>
  <c r="Y82" i="14"/>
  <c r="F121" i="14"/>
  <c r="AR82" i="14"/>
  <c r="F99" i="14"/>
  <c r="AW82" i="14"/>
  <c r="O219" i="14"/>
  <c r="O26" i="14"/>
  <c r="F42" i="14"/>
  <c r="AR135" i="14"/>
  <c r="F168" i="14"/>
  <c r="R219" i="14"/>
  <c r="F54" i="14"/>
  <c r="F77" i="14" s="1"/>
  <c r="F72" i="14" s="1"/>
  <c r="R26" i="14"/>
  <c r="AV82" i="14"/>
  <c r="F98" i="14"/>
  <c r="U259" i="14"/>
  <c r="F241" i="14"/>
  <c r="U22" i="14"/>
  <c r="AR26" i="14" l="1"/>
  <c r="F208" i="14"/>
  <c r="AU182" i="14"/>
  <c r="F170" i="14"/>
  <c r="F173" i="14" s="1"/>
  <c r="F169" i="14"/>
  <c r="S259" i="14"/>
  <c r="F234" i="14"/>
  <c r="S22" i="14"/>
  <c r="F281" i="14"/>
  <c r="U18" i="14"/>
  <c r="P259" i="14"/>
  <c r="F222" i="14"/>
  <c r="P22" i="14"/>
  <c r="Y219" i="14"/>
  <c r="F67" i="14"/>
  <c r="F71" i="14" s="1"/>
  <c r="Y26" i="14"/>
  <c r="AV219" i="14"/>
  <c r="F45" i="14"/>
  <c r="AV26" i="14"/>
  <c r="O259" i="14"/>
  <c r="F221" i="14"/>
  <c r="O22" i="14"/>
  <c r="F271" i="14"/>
  <c r="Q18" i="14"/>
  <c r="F266" i="14"/>
  <c r="AX18" i="14"/>
  <c r="F240" i="14"/>
  <c r="T259" i="14"/>
  <c r="T22" i="14"/>
  <c r="F270" i="14"/>
  <c r="AZ18" i="14"/>
  <c r="W259" i="14"/>
  <c r="F243" i="14"/>
  <c r="W22" i="14"/>
  <c r="F69" i="14"/>
  <c r="F70" i="14"/>
  <c r="R259" i="14"/>
  <c r="F233" i="14"/>
  <c r="F256" i="14" s="1"/>
  <c r="F251" i="14" s="1"/>
  <c r="R22" i="14"/>
  <c r="F279" i="14"/>
  <c r="BA18" i="14"/>
  <c r="F247" i="14"/>
  <c r="AR259" i="14"/>
  <c r="AR22" i="14"/>
  <c r="F123" i="14"/>
  <c r="F126" i="14" s="1"/>
  <c r="F122" i="14"/>
  <c r="X219" i="14"/>
  <c r="F66" i="14"/>
  <c r="X26" i="14"/>
  <c r="AW219" i="14"/>
  <c r="AW26" i="14"/>
  <c r="F46" i="14"/>
  <c r="AY219" i="14"/>
  <c r="F48" i="14"/>
  <c r="AY26" i="14"/>
  <c r="AU219" i="14"/>
  <c r="F59" i="14"/>
  <c r="AU26" i="14"/>
  <c r="F73" i="14" l="1"/>
  <c r="AU259" i="14"/>
  <c r="F238" i="14"/>
  <c r="H16" i="15" s="1"/>
  <c r="AU22" i="14"/>
  <c r="F283" i="14"/>
  <c r="W18" i="14"/>
  <c r="F224" i="14"/>
  <c r="AV259" i="14"/>
  <c r="AV22" i="14"/>
  <c r="X259" i="14"/>
  <c r="F245" i="14"/>
  <c r="X22" i="14"/>
  <c r="F255" i="14"/>
  <c r="J16" i="15"/>
  <c r="J18" i="15" s="1"/>
  <c r="AY259" i="14"/>
  <c r="F227" i="14"/>
  <c r="AY22" i="14"/>
  <c r="F273" i="14"/>
  <c r="F296" i="14" s="1"/>
  <c r="F291" i="14" s="1"/>
  <c r="R18" i="14"/>
  <c r="F246" i="14"/>
  <c r="F250" i="14" s="1"/>
  <c r="Y259" i="14"/>
  <c r="Y22" i="14"/>
  <c r="F274" i="14"/>
  <c r="S18" i="14"/>
  <c r="F74" i="14"/>
  <c r="F75" i="14" s="1"/>
  <c r="F78" i="14" s="1"/>
  <c r="F127" i="14"/>
  <c r="F128" i="14" s="1"/>
  <c r="F131" i="14" s="1"/>
  <c r="F280" i="14"/>
  <c r="T18" i="14"/>
  <c r="F287" i="14"/>
  <c r="AR18" i="14"/>
  <c r="F261" i="14"/>
  <c r="O18" i="14"/>
  <c r="AW259" i="14"/>
  <c r="F225" i="14"/>
  <c r="AW22" i="14"/>
  <c r="F248" i="14"/>
  <c r="F249" i="14"/>
  <c r="F252" i="14" s="1"/>
  <c r="F262" i="14"/>
  <c r="P18" i="14"/>
  <c r="F174" i="14"/>
  <c r="F175" i="14" s="1"/>
  <c r="F178" i="14" s="1"/>
  <c r="F253" i="14" l="1"/>
  <c r="F254" i="14" s="1"/>
  <c r="F257" i="14" s="1"/>
  <c r="F289" i="14"/>
  <c r="F288" i="14"/>
  <c r="F264" i="14"/>
  <c r="AV18" i="14"/>
  <c r="F295" i="14"/>
  <c r="F267" i="14"/>
  <c r="AY18" i="14"/>
  <c r="F286" i="14"/>
  <c r="F290" i="14" s="1"/>
  <c r="Y18" i="14"/>
  <c r="F265" i="14"/>
  <c r="AW18" i="14"/>
  <c r="H18" i="15"/>
  <c r="I16" i="15"/>
  <c r="I18" i="15" s="1"/>
  <c r="F285" i="14"/>
  <c r="X18" i="14"/>
  <c r="F278" i="14"/>
  <c r="AU18" i="14"/>
  <c r="F292" i="14" l="1"/>
  <c r="F293" i="14"/>
  <c r="F294" i="14" s="1"/>
  <c r="F297" i="14" s="1"/>
  <c r="A91" i="9" l="1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A1" i="9"/>
  <c r="DC95" i="8"/>
  <c r="DA95" i="8"/>
  <c r="CZ95" i="8"/>
  <c r="DB95" i="8" s="1"/>
  <c r="CY95" i="8"/>
  <c r="A95" i="8"/>
  <c r="DC94" i="8"/>
  <c r="DB94" i="8"/>
  <c r="DA94" i="8"/>
  <c r="CZ94" i="8"/>
  <c r="CY94" i="8"/>
  <c r="A94" i="8"/>
  <c r="DC93" i="8"/>
  <c r="DB93" i="8"/>
  <c r="DA93" i="8"/>
  <c r="CZ93" i="8"/>
  <c r="CY93" i="8"/>
  <c r="A93" i="8"/>
  <c r="DC92" i="8"/>
  <c r="DA92" i="8"/>
  <c r="CZ92" i="8"/>
  <c r="DB92" i="8" s="1"/>
  <c r="CY92" i="8"/>
  <c r="A92" i="8"/>
  <c r="DC91" i="8"/>
  <c r="DA91" i="8"/>
  <c r="CZ91" i="8"/>
  <c r="DB91" i="8" s="1"/>
  <c r="CY91" i="8"/>
  <c r="A91" i="8"/>
  <c r="DC90" i="8"/>
  <c r="DB90" i="8"/>
  <c r="DA90" i="8"/>
  <c r="CZ90" i="8"/>
  <c r="CY90" i="8"/>
  <c r="A90" i="8"/>
  <c r="DC89" i="8"/>
  <c r="DA89" i="8"/>
  <c r="CZ89" i="8"/>
  <c r="DB89" i="8" s="1"/>
  <c r="CY89" i="8"/>
  <c r="A89" i="8"/>
  <c r="DC88" i="8"/>
  <c r="DA88" i="8"/>
  <c r="CZ88" i="8"/>
  <c r="DB88" i="8" s="1"/>
  <c r="CY88" i="8"/>
  <c r="A88" i="8"/>
  <c r="DC87" i="8"/>
  <c r="DA87" i="8"/>
  <c r="CZ87" i="8"/>
  <c r="DB87" i="8" s="1"/>
  <c r="CY87" i="8"/>
  <c r="A87" i="8"/>
  <c r="DC86" i="8"/>
  <c r="DA86" i="8"/>
  <c r="CZ86" i="8"/>
  <c r="DB86" i="8" s="1"/>
  <c r="CY86" i="8"/>
  <c r="A86" i="8"/>
  <c r="DC85" i="8"/>
  <c r="DA85" i="8"/>
  <c r="CZ85" i="8"/>
  <c r="DB85" i="8" s="1"/>
  <c r="CY85" i="8"/>
  <c r="A85" i="8"/>
  <c r="DC84" i="8"/>
  <c r="DA84" i="8"/>
  <c r="CZ84" i="8"/>
  <c r="DB84" i="8" s="1"/>
  <c r="CY84" i="8"/>
  <c r="A84" i="8"/>
  <c r="DC83" i="8"/>
  <c r="DA83" i="8"/>
  <c r="CZ83" i="8"/>
  <c r="DB83" i="8" s="1"/>
  <c r="CY83" i="8"/>
  <c r="A83" i="8"/>
  <c r="DC82" i="8"/>
  <c r="DA82" i="8"/>
  <c r="CZ82" i="8"/>
  <c r="DB82" i="8" s="1"/>
  <c r="CY82" i="8"/>
  <c r="A82" i="8"/>
  <c r="DC81" i="8"/>
  <c r="DA81" i="8"/>
  <c r="CZ81" i="8"/>
  <c r="DB81" i="8" s="1"/>
  <c r="CY81" i="8"/>
  <c r="A81" i="8"/>
  <c r="DC80" i="8"/>
  <c r="DA80" i="8"/>
  <c r="CZ80" i="8"/>
  <c r="DB80" i="8" s="1"/>
  <c r="CY80" i="8"/>
  <c r="A80" i="8"/>
  <c r="DC79" i="8"/>
  <c r="DA79" i="8"/>
  <c r="CZ79" i="8"/>
  <c r="DB79" i="8" s="1"/>
  <c r="CY79" i="8"/>
  <c r="A79" i="8"/>
  <c r="DC78" i="8"/>
  <c r="DB78" i="8"/>
  <c r="DA78" i="8"/>
  <c r="CZ78" i="8"/>
  <c r="CY78" i="8"/>
  <c r="A78" i="8"/>
  <c r="DC77" i="8"/>
  <c r="DA77" i="8"/>
  <c r="CZ77" i="8"/>
  <c r="DB77" i="8" s="1"/>
  <c r="CY77" i="8"/>
  <c r="A77" i="8"/>
  <c r="DC76" i="8"/>
  <c r="DA76" i="8"/>
  <c r="CZ76" i="8"/>
  <c r="DB76" i="8" s="1"/>
  <c r="CY76" i="8"/>
  <c r="A76" i="8"/>
  <c r="DC75" i="8"/>
  <c r="DA75" i="8"/>
  <c r="CZ75" i="8"/>
  <c r="DB75" i="8" s="1"/>
  <c r="CY75" i="8"/>
  <c r="A75" i="8"/>
  <c r="DC74" i="8"/>
  <c r="DA74" i="8"/>
  <c r="CZ74" i="8"/>
  <c r="DB74" i="8" s="1"/>
  <c r="CY74" i="8"/>
  <c r="A74" i="8"/>
  <c r="DC73" i="8"/>
  <c r="DA73" i="8"/>
  <c r="CZ73" i="8"/>
  <c r="DB73" i="8" s="1"/>
  <c r="CY73" i="8"/>
  <c r="A73" i="8"/>
  <c r="DC72" i="8"/>
  <c r="DA72" i="8"/>
  <c r="CZ72" i="8"/>
  <c r="DB72" i="8" s="1"/>
  <c r="CY72" i="8"/>
  <c r="CX72" i="8"/>
  <c r="A72" i="8"/>
  <c r="DC71" i="8"/>
  <c r="DA71" i="8"/>
  <c r="CZ71" i="8"/>
  <c r="DB71" i="8" s="1"/>
  <c r="CY71" i="8"/>
  <c r="CX71" i="8"/>
  <c r="A71" i="8"/>
  <c r="DC70" i="8"/>
  <c r="DA70" i="8"/>
  <c r="CZ70" i="8"/>
  <c r="DB70" i="8" s="1"/>
  <c r="CY70" i="8"/>
  <c r="A70" i="8"/>
  <c r="DC69" i="8"/>
  <c r="DA69" i="8"/>
  <c r="CZ69" i="8"/>
  <c r="DB69" i="8" s="1"/>
  <c r="CY69" i="8"/>
  <c r="A69" i="8"/>
  <c r="DC68" i="8"/>
  <c r="DA68" i="8"/>
  <c r="CZ68" i="8"/>
  <c r="DB68" i="8" s="1"/>
  <c r="CY68" i="8"/>
  <c r="A68" i="8"/>
  <c r="DC67" i="8"/>
  <c r="DA67" i="8"/>
  <c r="CZ67" i="8"/>
  <c r="DB67" i="8" s="1"/>
  <c r="CY67" i="8"/>
  <c r="A67" i="8"/>
  <c r="DC66" i="8"/>
  <c r="DA66" i="8"/>
  <c r="CZ66" i="8"/>
  <c r="DB66" i="8" s="1"/>
  <c r="CY66" i="8"/>
  <c r="A66" i="8"/>
  <c r="DC65" i="8"/>
  <c r="DA65" i="8"/>
  <c r="CZ65" i="8"/>
  <c r="DB65" i="8" s="1"/>
  <c r="CY65" i="8"/>
  <c r="A65" i="8"/>
  <c r="DC64" i="8"/>
  <c r="DA64" i="8"/>
  <c r="CZ64" i="8"/>
  <c r="DB64" i="8" s="1"/>
  <c r="CY64" i="8"/>
  <c r="A64" i="8"/>
  <c r="DC63" i="8"/>
  <c r="DA63" i="8"/>
  <c r="CZ63" i="8"/>
  <c r="DB63" i="8" s="1"/>
  <c r="CY63" i="8"/>
  <c r="A63" i="8"/>
  <c r="DC62" i="8"/>
  <c r="DA62" i="8"/>
  <c r="CZ62" i="8"/>
  <c r="DB62" i="8" s="1"/>
  <c r="CY62" i="8"/>
  <c r="A62" i="8"/>
  <c r="DC61" i="8"/>
  <c r="DB61" i="8"/>
  <c r="DA61" i="8"/>
  <c r="CZ61" i="8"/>
  <c r="CY61" i="8"/>
  <c r="A61" i="8"/>
  <c r="DC60" i="8"/>
  <c r="DA60" i="8"/>
  <c r="CZ60" i="8"/>
  <c r="DB60" i="8" s="1"/>
  <c r="CY60" i="8"/>
  <c r="A60" i="8"/>
  <c r="DC59" i="8"/>
  <c r="DA59" i="8"/>
  <c r="CZ59" i="8"/>
  <c r="DB59" i="8" s="1"/>
  <c r="CY59" i="8"/>
  <c r="A59" i="8"/>
  <c r="DC58" i="8"/>
  <c r="DB58" i="8"/>
  <c r="DA58" i="8"/>
  <c r="CZ58" i="8"/>
  <c r="CY58" i="8"/>
  <c r="A58" i="8"/>
  <c r="DC57" i="8"/>
  <c r="DA57" i="8"/>
  <c r="CZ57" i="8"/>
  <c r="DB57" i="8" s="1"/>
  <c r="CY57" i="8"/>
  <c r="A57" i="8"/>
  <c r="DC56" i="8"/>
  <c r="DA56" i="8"/>
  <c r="CZ56" i="8"/>
  <c r="DB56" i="8" s="1"/>
  <c r="CY56" i="8"/>
  <c r="A56" i="8"/>
  <c r="DC55" i="8"/>
  <c r="DB55" i="8"/>
  <c r="DA55" i="8"/>
  <c r="CZ55" i="8"/>
  <c r="CY55" i="8"/>
  <c r="A55" i="8"/>
  <c r="DC54" i="8"/>
  <c r="DA54" i="8"/>
  <c r="CZ54" i="8"/>
  <c r="DB54" i="8" s="1"/>
  <c r="CY54" i="8"/>
  <c r="A54" i="8"/>
  <c r="DC53" i="8"/>
  <c r="DA53" i="8"/>
  <c r="CZ53" i="8"/>
  <c r="DB53" i="8" s="1"/>
  <c r="CY53" i="8"/>
  <c r="A53" i="8"/>
  <c r="DC52" i="8"/>
  <c r="DA52" i="8"/>
  <c r="CZ52" i="8"/>
  <c r="DB52" i="8" s="1"/>
  <c r="CY52" i="8"/>
  <c r="A52" i="8"/>
  <c r="DC51" i="8"/>
  <c r="DA51" i="8"/>
  <c r="CZ51" i="8"/>
  <c r="DB51" i="8" s="1"/>
  <c r="CY51" i="8"/>
  <c r="A51" i="8"/>
  <c r="DC50" i="8"/>
  <c r="DA50" i="8"/>
  <c r="CZ50" i="8"/>
  <c r="DB50" i="8" s="1"/>
  <c r="CY50" i="8"/>
  <c r="A50" i="8"/>
  <c r="DC49" i="8"/>
  <c r="DA49" i="8"/>
  <c r="CZ49" i="8"/>
  <c r="DB49" i="8" s="1"/>
  <c r="CY49" i="8"/>
  <c r="A49" i="8"/>
  <c r="DC48" i="8"/>
  <c r="DA48" i="8"/>
  <c r="CZ48" i="8"/>
  <c r="DB48" i="8" s="1"/>
  <c r="CY48" i="8"/>
  <c r="A48" i="8"/>
  <c r="DC47" i="8"/>
  <c r="DA47" i="8"/>
  <c r="CZ47" i="8"/>
  <c r="DB47" i="8" s="1"/>
  <c r="CY47" i="8"/>
  <c r="A47" i="8"/>
  <c r="DC46" i="8"/>
  <c r="DA46" i="8"/>
  <c r="CZ46" i="8"/>
  <c r="DB46" i="8" s="1"/>
  <c r="CY46" i="8"/>
  <c r="A46" i="8"/>
  <c r="DC45" i="8"/>
  <c r="DB45" i="8"/>
  <c r="DA45" i="8"/>
  <c r="CZ45" i="8"/>
  <c r="CY45" i="8"/>
  <c r="CX45" i="8"/>
  <c r="A45" i="8"/>
  <c r="DC44" i="8"/>
  <c r="DA44" i="8"/>
  <c r="CZ44" i="8"/>
  <c r="DB44" i="8" s="1"/>
  <c r="CY44" i="8"/>
  <c r="CX44" i="8"/>
  <c r="A44" i="8"/>
  <c r="DC43" i="8"/>
  <c r="DA43" i="8"/>
  <c r="CZ43" i="8"/>
  <c r="DB43" i="8" s="1"/>
  <c r="CY43" i="8"/>
  <c r="CX43" i="8"/>
  <c r="A43" i="8"/>
  <c r="DC42" i="8"/>
  <c r="DB42" i="8"/>
  <c r="DA42" i="8"/>
  <c r="CZ42" i="8"/>
  <c r="CY42" i="8"/>
  <c r="CX42" i="8"/>
  <c r="A42" i="8"/>
  <c r="DC41" i="8"/>
  <c r="DA41" i="8"/>
  <c r="CZ41" i="8"/>
  <c r="DB41" i="8" s="1"/>
  <c r="CY41" i="8"/>
  <c r="CX41" i="8"/>
  <c r="A41" i="8"/>
  <c r="DC40" i="8"/>
  <c r="DA40" i="8"/>
  <c r="CZ40" i="8"/>
  <c r="DB40" i="8" s="1"/>
  <c r="CY40" i="8"/>
  <c r="CX40" i="8"/>
  <c r="A40" i="8"/>
  <c r="DC39" i="8"/>
  <c r="DA39" i="8"/>
  <c r="CZ39" i="8"/>
  <c r="DB39" i="8" s="1"/>
  <c r="CY39" i="8"/>
  <c r="CX39" i="8"/>
  <c r="A39" i="8"/>
  <c r="DC38" i="8"/>
  <c r="DA38" i="8"/>
  <c r="CZ38" i="8"/>
  <c r="DB38" i="8" s="1"/>
  <c r="CY38" i="8"/>
  <c r="CX38" i="8"/>
  <c r="A38" i="8"/>
  <c r="DC37" i="8"/>
  <c r="DA37" i="8"/>
  <c r="CZ37" i="8"/>
  <c r="DB37" i="8" s="1"/>
  <c r="CY37" i="8"/>
  <c r="CX37" i="8"/>
  <c r="A37" i="8"/>
  <c r="DC36" i="8"/>
  <c r="DA36" i="8"/>
  <c r="CZ36" i="8"/>
  <c r="DB36" i="8" s="1"/>
  <c r="CY36" i="8"/>
  <c r="CX36" i="8"/>
  <c r="A36" i="8"/>
  <c r="DC35" i="8"/>
  <c r="DA35" i="8"/>
  <c r="CZ35" i="8"/>
  <c r="DB35" i="8" s="1"/>
  <c r="CY35" i="8"/>
  <c r="CX35" i="8"/>
  <c r="A35" i="8"/>
  <c r="DC34" i="8"/>
  <c r="DA34" i="8"/>
  <c r="CZ34" i="8"/>
  <c r="DB34" i="8" s="1"/>
  <c r="CY34" i="8"/>
  <c r="CX34" i="8"/>
  <c r="A34" i="8"/>
  <c r="DC33" i="8"/>
  <c r="DA33" i="8"/>
  <c r="CZ33" i="8"/>
  <c r="DB33" i="8" s="1"/>
  <c r="CY33" i="8"/>
  <c r="CX33" i="8"/>
  <c r="A33" i="8"/>
  <c r="DC32" i="8"/>
  <c r="DA32" i="8"/>
  <c r="CZ32" i="8"/>
  <c r="DB32" i="8" s="1"/>
  <c r="CY32" i="8"/>
  <c r="A32" i="8"/>
  <c r="DC31" i="8"/>
  <c r="DB31" i="8"/>
  <c r="DA31" i="8"/>
  <c r="CZ31" i="8"/>
  <c r="CY31" i="8"/>
  <c r="A31" i="8"/>
  <c r="DC30" i="8"/>
  <c r="DB30" i="8"/>
  <c r="DA30" i="8"/>
  <c r="CZ30" i="8"/>
  <c r="CY30" i="8"/>
  <c r="A30" i="8"/>
  <c r="DC29" i="8"/>
  <c r="DA29" i="8"/>
  <c r="CZ29" i="8"/>
  <c r="DB29" i="8" s="1"/>
  <c r="CY29" i="8"/>
  <c r="A29" i="8"/>
  <c r="DC28" i="8"/>
  <c r="DA28" i="8"/>
  <c r="CZ28" i="8"/>
  <c r="DB28" i="8" s="1"/>
  <c r="CY28" i="8"/>
  <c r="A28" i="8"/>
  <c r="DC27" i="8"/>
  <c r="DA27" i="8"/>
  <c r="CZ27" i="8"/>
  <c r="DB27" i="8" s="1"/>
  <c r="CY27" i="8"/>
  <c r="CX27" i="8"/>
  <c r="A27" i="8"/>
  <c r="DC26" i="8"/>
  <c r="DA26" i="8"/>
  <c r="CZ26" i="8"/>
  <c r="DB26" i="8" s="1"/>
  <c r="CY26" i="8"/>
  <c r="CX26" i="8"/>
  <c r="A26" i="8"/>
  <c r="DC25" i="8"/>
  <c r="DA25" i="8"/>
  <c r="CZ25" i="8"/>
  <c r="DB25" i="8" s="1"/>
  <c r="CY25" i="8"/>
  <c r="CX25" i="8"/>
  <c r="A25" i="8"/>
  <c r="DC24" i="8"/>
  <c r="DA24" i="8"/>
  <c r="CZ24" i="8"/>
  <c r="DB24" i="8" s="1"/>
  <c r="CY24" i="8"/>
  <c r="CX24" i="8"/>
  <c r="A24" i="8"/>
  <c r="DC23" i="8"/>
  <c r="DB23" i="8"/>
  <c r="DA23" i="8"/>
  <c r="CZ23" i="8"/>
  <c r="CY23" i="8"/>
  <c r="A23" i="8"/>
  <c r="DC22" i="8"/>
  <c r="DB22" i="8"/>
  <c r="DA22" i="8"/>
  <c r="CZ22" i="8"/>
  <c r="CY22" i="8"/>
  <c r="A22" i="8"/>
  <c r="DC21" i="8"/>
  <c r="DA21" i="8"/>
  <c r="CZ21" i="8"/>
  <c r="DB21" i="8" s="1"/>
  <c r="CY21" i="8"/>
  <c r="A21" i="8"/>
  <c r="DC20" i="8"/>
  <c r="DA20" i="8"/>
  <c r="CZ20" i="8"/>
  <c r="DB20" i="8" s="1"/>
  <c r="CY20" i="8"/>
  <c r="A20" i="8"/>
  <c r="DC19" i="8"/>
  <c r="DA19" i="8"/>
  <c r="CZ19" i="8"/>
  <c r="DB19" i="8" s="1"/>
  <c r="CY19" i="8"/>
  <c r="A19" i="8"/>
  <c r="DC18" i="8"/>
  <c r="DA18" i="8"/>
  <c r="CZ18" i="8"/>
  <c r="DB18" i="8" s="1"/>
  <c r="CY18" i="8"/>
  <c r="A18" i="8"/>
  <c r="DC17" i="8"/>
  <c r="DB17" i="8"/>
  <c r="DA17" i="8"/>
  <c r="CZ17" i="8"/>
  <c r="CY17" i="8"/>
  <c r="A17" i="8"/>
  <c r="DC16" i="8"/>
  <c r="DA16" i="8"/>
  <c r="CZ16" i="8"/>
  <c r="DB16" i="8" s="1"/>
  <c r="CY16" i="8"/>
  <c r="A16" i="8"/>
  <c r="DC15" i="8"/>
  <c r="DA15" i="8"/>
  <c r="CZ15" i="8"/>
  <c r="DB15" i="8" s="1"/>
  <c r="CY15" i="8"/>
  <c r="A15" i="8"/>
  <c r="DC14" i="8"/>
  <c r="DB14" i="8"/>
  <c r="DA14" i="8"/>
  <c r="CZ14" i="8"/>
  <c r="CY14" i="8"/>
  <c r="A14" i="8"/>
  <c r="DC13" i="8"/>
  <c r="DA13" i="8"/>
  <c r="CZ13" i="8"/>
  <c r="DB13" i="8" s="1"/>
  <c r="CY13" i="8"/>
  <c r="A13" i="8"/>
  <c r="DC12" i="8"/>
  <c r="DA12" i="8"/>
  <c r="CZ12" i="8"/>
  <c r="DB12" i="8" s="1"/>
  <c r="CY12" i="8"/>
  <c r="A12" i="8"/>
  <c r="DC11" i="8"/>
  <c r="DA11" i="8"/>
  <c r="CZ11" i="8"/>
  <c r="DB11" i="8" s="1"/>
  <c r="CY11" i="8"/>
  <c r="A11" i="8"/>
  <c r="DC10" i="8"/>
  <c r="DB10" i="8"/>
  <c r="DA10" i="8"/>
  <c r="CZ10" i="8"/>
  <c r="CY10" i="8"/>
  <c r="A10" i="8"/>
  <c r="DC9" i="8"/>
  <c r="DA9" i="8"/>
  <c r="CZ9" i="8"/>
  <c r="DB9" i="8" s="1"/>
  <c r="CY9" i="8"/>
  <c r="A9" i="8"/>
  <c r="DC8" i="8"/>
  <c r="DA8" i="8"/>
  <c r="CZ8" i="8"/>
  <c r="DB8" i="8" s="1"/>
  <c r="CY8" i="8"/>
  <c r="A8" i="8"/>
  <c r="DC7" i="8"/>
  <c r="DA7" i="8"/>
  <c r="CZ7" i="8"/>
  <c r="DB7" i="8" s="1"/>
  <c r="CY7" i="8"/>
  <c r="A7" i="8"/>
  <c r="DC6" i="8"/>
  <c r="DB6" i="8"/>
  <c r="DA6" i="8"/>
  <c r="CZ6" i="8"/>
  <c r="CY6" i="8"/>
  <c r="A6" i="8"/>
  <c r="DC5" i="8"/>
  <c r="DA5" i="8"/>
  <c r="CZ5" i="8"/>
  <c r="DB5" i="8" s="1"/>
  <c r="CY5" i="8"/>
  <c r="A5" i="8"/>
  <c r="DC4" i="8"/>
  <c r="DA4" i="8"/>
  <c r="CZ4" i="8"/>
  <c r="DB4" i="8" s="1"/>
  <c r="CY4" i="8"/>
  <c r="A4" i="8"/>
  <c r="DC3" i="8"/>
  <c r="DA3" i="8"/>
  <c r="CZ3" i="8"/>
  <c r="DB3" i="8" s="1"/>
  <c r="CY3" i="8"/>
  <c r="A3" i="8"/>
  <c r="DC2" i="8"/>
  <c r="DA2" i="8"/>
  <c r="CZ2" i="8"/>
  <c r="DB2" i="8" s="1"/>
  <c r="CY2" i="8"/>
  <c r="A2" i="8"/>
  <c r="DC1" i="8"/>
  <c r="DB1" i="8"/>
  <c r="DA1" i="8"/>
  <c r="CZ1" i="8"/>
  <c r="CY1" i="8"/>
  <c r="A1" i="8"/>
  <c r="G307" i="6"/>
  <c r="F307" i="6"/>
  <c r="F18" i="6" s="1"/>
  <c r="D307" i="6"/>
  <c r="C307" i="6"/>
  <c r="B307" i="6"/>
  <c r="G267" i="6"/>
  <c r="F267" i="6"/>
  <c r="D267" i="6"/>
  <c r="C267" i="6"/>
  <c r="B267" i="6"/>
  <c r="B22" i="6" s="1"/>
  <c r="CM237" i="6"/>
  <c r="BD237" i="6" s="1"/>
  <c r="CL237" i="6"/>
  <c r="BC237" i="6" s="1"/>
  <c r="CK237" i="6"/>
  <c r="BX237" i="6"/>
  <c r="BB237" i="6"/>
  <c r="F250" i="6" s="1"/>
  <c r="AO237" i="6"/>
  <c r="F241" i="6" s="1"/>
  <c r="G237" i="6"/>
  <c r="F237" i="6"/>
  <c r="D237" i="6"/>
  <c r="C237" i="6"/>
  <c r="B237" i="6"/>
  <c r="GV235" i="6"/>
  <c r="HC235" i="6" s="1"/>
  <c r="GO235" i="6"/>
  <c r="GN235" i="6"/>
  <c r="GL235" i="6"/>
  <c r="FR235" i="6"/>
  <c r="AJ235" i="6"/>
  <c r="CX235" i="6" s="1"/>
  <c r="AI235" i="6"/>
  <c r="CW235" i="6" s="1"/>
  <c r="AH235" i="6"/>
  <c r="CV235" i="6" s="1"/>
  <c r="AG235" i="6"/>
  <c r="CU235" i="6" s="1"/>
  <c r="AF235" i="6"/>
  <c r="CT235" i="6" s="1"/>
  <c r="AE235" i="6"/>
  <c r="CR235" i="6" s="1"/>
  <c r="AD235" i="6"/>
  <c r="AC235" i="6"/>
  <c r="CQ235" i="6" s="1"/>
  <c r="GV234" i="6"/>
  <c r="HC234" i="6" s="1"/>
  <c r="GO234" i="6"/>
  <c r="GN234" i="6"/>
  <c r="GL234" i="6"/>
  <c r="FR234" i="6"/>
  <c r="CS234" i="6"/>
  <c r="AJ234" i="6"/>
  <c r="CX234" i="6" s="1"/>
  <c r="AI234" i="6"/>
  <c r="CW234" i="6" s="1"/>
  <c r="AH234" i="6"/>
  <c r="CV234" i="6" s="1"/>
  <c r="AG234" i="6"/>
  <c r="CU234" i="6" s="1"/>
  <c r="AF234" i="6"/>
  <c r="CT234" i="6" s="1"/>
  <c r="AE234" i="6"/>
  <c r="CR234" i="6" s="1"/>
  <c r="AD234" i="6"/>
  <c r="AC234" i="6"/>
  <c r="CQ234" i="6" s="1"/>
  <c r="AB234" i="6"/>
  <c r="GV233" i="6"/>
  <c r="HC233" i="6" s="1"/>
  <c r="GX233" i="6" s="1"/>
  <c r="GO233" i="6"/>
  <c r="GN233" i="6"/>
  <c r="GL233" i="6"/>
  <c r="FR233" i="6"/>
  <c r="CS233" i="6"/>
  <c r="AJ233" i="6"/>
  <c r="CX233" i="6" s="1"/>
  <c r="W233" i="6" s="1"/>
  <c r="AI233" i="6"/>
  <c r="CW233" i="6" s="1"/>
  <c r="V233" i="6" s="1"/>
  <c r="AH233" i="6"/>
  <c r="CV233" i="6" s="1"/>
  <c r="U233" i="6" s="1"/>
  <c r="AG233" i="6"/>
  <c r="CU233" i="6" s="1"/>
  <c r="T233" i="6" s="1"/>
  <c r="AF233" i="6"/>
  <c r="CT233" i="6" s="1"/>
  <c r="AE233" i="6"/>
  <c r="CR233" i="6" s="1"/>
  <c r="AD233" i="6"/>
  <c r="AC233" i="6"/>
  <c r="CQ233" i="6" s="1"/>
  <c r="P233" i="6" s="1"/>
  <c r="R233" i="6"/>
  <c r="GK233" i="6" s="1"/>
  <c r="K233" i="6"/>
  <c r="I233" i="6"/>
  <c r="CX95" i="8" s="1"/>
  <c r="D233" i="6"/>
  <c r="C233" i="6"/>
  <c r="GV232" i="6"/>
  <c r="HC232" i="6" s="1"/>
  <c r="GO232" i="6"/>
  <c r="GN232" i="6"/>
  <c r="GL232" i="6"/>
  <c r="FR232" i="6"/>
  <c r="AJ232" i="6"/>
  <c r="CX232" i="6" s="1"/>
  <c r="AI232" i="6"/>
  <c r="CW232" i="6" s="1"/>
  <c r="AH232" i="6"/>
  <c r="CV232" i="6" s="1"/>
  <c r="AG232" i="6"/>
  <c r="CU232" i="6" s="1"/>
  <c r="AF232" i="6"/>
  <c r="CT232" i="6" s="1"/>
  <c r="AE232" i="6"/>
  <c r="CS232" i="6" s="1"/>
  <c r="AC232" i="6"/>
  <c r="CQ232" i="6" s="1"/>
  <c r="GV231" i="6"/>
  <c r="HC231" i="6" s="1"/>
  <c r="GO231" i="6"/>
  <c r="GN231" i="6"/>
  <c r="GL231" i="6"/>
  <c r="FR231" i="6"/>
  <c r="CX231" i="6"/>
  <c r="CT231" i="6"/>
  <c r="AJ231" i="6"/>
  <c r="AI231" i="6"/>
  <c r="CW231" i="6" s="1"/>
  <c r="AH231" i="6"/>
  <c r="CV231" i="6" s="1"/>
  <c r="AG231" i="6"/>
  <c r="CU231" i="6" s="1"/>
  <c r="AF231" i="6"/>
  <c r="AE231" i="6"/>
  <c r="CS231" i="6" s="1"/>
  <c r="AC231" i="6"/>
  <c r="GV230" i="6"/>
  <c r="HC230" i="6" s="1"/>
  <c r="GO230" i="6"/>
  <c r="GN230" i="6"/>
  <c r="GL230" i="6"/>
  <c r="FR230" i="6"/>
  <c r="AJ230" i="6"/>
  <c r="CX230" i="6" s="1"/>
  <c r="W230" i="6" s="1"/>
  <c r="AI230" i="6"/>
  <c r="CW230" i="6" s="1"/>
  <c r="AH230" i="6"/>
  <c r="CV230" i="6" s="1"/>
  <c r="U230" i="6" s="1"/>
  <c r="K234" i="2" s="1"/>
  <c r="AG230" i="6"/>
  <c r="CU230" i="6" s="1"/>
  <c r="AF230" i="6"/>
  <c r="CT230" i="6" s="1"/>
  <c r="S230" i="6" s="1"/>
  <c r="J225" i="2" s="1"/>
  <c r="AE230" i="6"/>
  <c r="AD230" i="6" s="1"/>
  <c r="AC230" i="6"/>
  <c r="CQ230" i="6" s="1"/>
  <c r="K230" i="6"/>
  <c r="I230" i="6"/>
  <c r="C224" i="2" s="1"/>
  <c r="D230" i="6"/>
  <c r="C230" i="6"/>
  <c r="GV229" i="6"/>
  <c r="HC229" i="6" s="1"/>
  <c r="GO229" i="6"/>
  <c r="GN229" i="6"/>
  <c r="GL229" i="6"/>
  <c r="FR229" i="6"/>
  <c r="AJ229" i="6"/>
  <c r="CX229" i="6" s="1"/>
  <c r="AI229" i="6"/>
  <c r="CW229" i="6" s="1"/>
  <c r="V229" i="6" s="1"/>
  <c r="AH229" i="6"/>
  <c r="CV229" i="6" s="1"/>
  <c r="AG229" i="6"/>
  <c r="CU229" i="6" s="1"/>
  <c r="T229" i="6" s="1"/>
  <c r="AF229" i="6"/>
  <c r="CT229" i="6" s="1"/>
  <c r="AE229" i="6"/>
  <c r="CR229" i="6" s="1"/>
  <c r="AC229" i="6"/>
  <c r="CQ229" i="6" s="1"/>
  <c r="P229" i="6" s="1"/>
  <c r="K229" i="6"/>
  <c r="I229" i="6"/>
  <c r="CX79" i="8" s="1"/>
  <c r="D229" i="6"/>
  <c r="C229" i="6"/>
  <c r="GV228" i="6"/>
  <c r="HC228" i="6" s="1"/>
  <c r="GX228" i="6" s="1"/>
  <c r="GO228" i="6"/>
  <c r="GN228" i="6"/>
  <c r="GL228" i="6"/>
  <c r="FR228" i="6"/>
  <c r="CY228" i="6"/>
  <c r="X228" i="6" s="1"/>
  <c r="R208" i="2" s="1"/>
  <c r="AJ228" i="6"/>
  <c r="CX228" i="6" s="1"/>
  <c r="W228" i="6" s="1"/>
  <c r="AI228" i="6"/>
  <c r="CW228" i="6" s="1"/>
  <c r="V228" i="6" s="1"/>
  <c r="AH228" i="6"/>
  <c r="CV228" i="6" s="1"/>
  <c r="U228" i="6" s="1"/>
  <c r="AG228" i="6"/>
  <c r="CU228" i="6" s="1"/>
  <c r="T228" i="6" s="1"/>
  <c r="AF228" i="6"/>
  <c r="CT228" i="6" s="1"/>
  <c r="S228" i="6" s="1"/>
  <c r="CZ228" i="6" s="1"/>
  <c r="Y228" i="6" s="1"/>
  <c r="AE228" i="6"/>
  <c r="CR228" i="6" s="1"/>
  <c r="Q228" i="6" s="1"/>
  <c r="AC228" i="6"/>
  <c r="CQ228" i="6" s="1"/>
  <c r="P228" i="6" s="1"/>
  <c r="CP228" i="6" s="1"/>
  <c r="O228" i="6" s="1"/>
  <c r="D228" i="6"/>
  <c r="C228" i="6"/>
  <c r="HC227" i="6"/>
  <c r="GX227" i="6" s="1"/>
  <c r="GV227" i="6"/>
  <c r="GO227" i="6"/>
  <c r="GN227" i="6"/>
  <c r="GL227" i="6"/>
  <c r="FR227" i="6"/>
  <c r="CW227" i="6"/>
  <c r="V227" i="6" s="1"/>
  <c r="CS227" i="6"/>
  <c r="R227" i="6" s="1"/>
  <c r="J206" i="2" s="1"/>
  <c r="AJ227" i="6"/>
  <c r="CX227" i="6" s="1"/>
  <c r="W227" i="6" s="1"/>
  <c r="AI227" i="6"/>
  <c r="AH227" i="6"/>
  <c r="CV227" i="6" s="1"/>
  <c r="U227" i="6" s="1"/>
  <c r="AG227" i="6"/>
  <c r="CU227" i="6" s="1"/>
  <c r="T227" i="6" s="1"/>
  <c r="AF227" i="6"/>
  <c r="CT227" i="6" s="1"/>
  <c r="S227" i="6" s="1"/>
  <c r="AE227" i="6"/>
  <c r="CR227" i="6" s="1"/>
  <c r="Q227" i="6" s="1"/>
  <c r="AD227" i="6"/>
  <c r="AB227" i="6" s="1"/>
  <c r="AC227" i="6"/>
  <c r="CQ227" i="6" s="1"/>
  <c r="P227" i="6" s="1"/>
  <c r="CP227" i="6" s="1"/>
  <c r="O227" i="6" s="1"/>
  <c r="D227" i="6"/>
  <c r="C227" i="6"/>
  <c r="GV226" i="6"/>
  <c r="HC226" i="6" s="1"/>
  <c r="GO226" i="6"/>
  <c r="GN226" i="6"/>
  <c r="GL226" i="6"/>
  <c r="FR226" i="6"/>
  <c r="AJ226" i="6"/>
  <c r="CX226" i="6" s="1"/>
  <c r="W226" i="6" s="1"/>
  <c r="AI226" i="6"/>
  <c r="CW226" i="6" s="1"/>
  <c r="AH226" i="6"/>
  <c r="CV226" i="6" s="1"/>
  <c r="AG226" i="6"/>
  <c r="CU226" i="6" s="1"/>
  <c r="AF226" i="6"/>
  <c r="CT226" i="6" s="1"/>
  <c r="S226" i="6" s="1"/>
  <c r="J199" i="2" s="1"/>
  <c r="AE226" i="6"/>
  <c r="CS226" i="6" s="1"/>
  <c r="AC226" i="6"/>
  <c r="K226" i="6"/>
  <c r="I226" i="6"/>
  <c r="CX70" i="8" s="1"/>
  <c r="D226" i="6"/>
  <c r="C226" i="6"/>
  <c r="GV225" i="6"/>
  <c r="HC225" i="6" s="1"/>
  <c r="GX225" i="6" s="1"/>
  <c r="GO225" i="6"/>
  <c r="GN225" i="6"/>
  <c r="GL225" i="6"/>
  <c r="FR225" i="6"/>
  <c r="CW225" i="6"/>
  <c r="V225" i="6" s="1"/>
  <c r="AJ225" i="6"/>
  <c r="CX225" i="6" s="1"/>
  <c r="AI225" i="6"/>
  <c r="AH225" i="6"/>
  <c r="CV225" i="6" s="1"/>
  <c r="AG225" i="6"/>
  <c r="CU225" i="6" s="1"/>
  <c r="AF225" i="6"/>
  <c r="CT225" i="6" s="1"/>
  <c r="S225" i="6" s="1"/>
  <c r="AE225" i="6"/>
  <c r="AD225" i="6" s="1"/>
  <c r="AC225" i="6"/>
  <c r="CQ225" i="6" s="1"/>
  <c r="P225" i="6" s="1"/>
  <c r="K225" i="6"/>
  <c r="I225" i="6"/>
  <c r="D225" i="6"/>
  <c r="C225" i="6"/>
  <c r="GV224" i="6"/>
  <c r="HC224" i="6" s="1"/>
  <c r="GX224" i="6" s="1"/>
  <c r="GO224" i="6"/>
  <c r="GN224" i="6"/>
  <c r="GL224" i="6"/>
  <c r="FR224" i="6"/>
  <c r="CW224" i="6"/>
  <c r="AJ224" i="6"/>
  <c r="CX224" i="6" s="1"/>
  <c r="W224" i="6" s="1"/>
  <c r="AI224" i="6"/>
  <c r="AH224" i="6"/>
  <c r="CV224" i="6" s="1"/>
  <c r="U224" i="6" s="1"/>
  <c r="AG224" i="6"/>
  <c r="CU224" i="6" s="1"/>
  <c r="AF224" i="6"/>
  <c r="CT224" i="6" s="1"/>
  <c r="S224" i="6" s="1"/>
  <c r="AE224" i="6"/>
  <c r="CS224" i="6" s="1"/>
  <c r="R224" i="6" s="1"/>
  <c r="GK224" i="6" s="1"/>
  <c r="AD224" i="6"/>
  <c r="AC224" i="6"/>
  <c r="CQ224" i="6" s="1"/>
  <c r="P224" i="6" s="1"/>
  <c r="K224" i="6"/>
  <c r="I224" i="6"/>
  <c r="CX66" i="8" s="1"/>
  <c r="D224" i="6"/>
  <c r="C224" i="6"/>
  <c r="GV223" i="6"/>
  <c r="HC223" i="6" s="1"/>
  <c r="GX223" i="6" s="1"/>
  <c r="GO223" i="6"/>
  <c r="GN223" i="6"/>
  <c r="GL223" i="6"/>
  <c r="FR223" i="6"/>
  <c r="CU223" i="6"/>
  <c r="T223" i="6" s="1"/>
  <c r="AJ223" i="6"/>
  <c r="CX223" i="6" s="1"/>
  <c r="W223" i="6" s="1"/>
  <c r="AI223" i="6"/>
  <c r="CW223" i="6" s="1"/>
  <c r="V223" i="6" s="1"/>
  <c r="AH223" i="6"/>
  <c r="CV223" i="6" s="1"/>
  <c r="U223" i="6" s="1"/>
  <c r="AG223" i="6"/>
  <c r="AF223" i="6"/>
  <c r="CT223" i="6" s="1"/>
  <c r="S223" i="6" s="1"/>
  <c r="AE223" i="6"/>
  <c r="CS223" i="6" s="1"/>
  <c r="R223" i="6" s="1"/>
  <c r="AD223" i="6"/>
  <c r="AC223" i="6"/>
  <c r="CQ223" i="6" s="1"/>
  <c r="P223" i="6" s="1"/>
  <c r="AB223" i="6"/>
  <c r="K223" i="6"/>
  <c r="I223" i="6"/>
  <c r="D223" i="6"/>
  <c r="C223" i="6"/>
  <c r="GX221" i="6"/>
  <c r="GW221" i="6"/>
  <c r="GV221" i="6"/>
  <c r="GU221" i="6"/>
  <c r="GT221" i="6"/>
  <c r="GS221" i="6"/>
  <c r="GR221" i="6"/>
  <c r="GQ221" i="6"/>
  <c r="GP221" i="6"/>
  <c r="GO221" i="6"/>
  <c r="GN221" i="6"/>
  <c r="GM221" i="6"/>
  <c r="GL221" i="6"/>
  <c r="GK221" i="6"/>
  <c r="GJ221" i="6"/>
  <c r="GI221" i="6"/>
  <c r="GH221" i="6"/>
  <c r="GG221" i="6"/>
  <c r="GF221" i="6"/>
  <c r="GE221" i="6"/>
  <c r="GD221" i="6"/>
  <c r="GC221" i="6"/>
  <c r="GB221" i="6"/>
  <c r="GA221" i="6"/>
  <c r="FZ221" i="6"/>
  <c r="FY221" i="6"/>
  <c r="FX221" i="6"/>
  <c r="FW221" i="6"/>
  <c r="FV221" i="6"/>
  <c r="FU221" i="6"/>
  <c r="FT221" i="6"/>
  <c r="FS221" i="6"/>
  <c r="FR221" i="6"/>
  <c r="FQ221" i="6"/>
  <c r="FP221" i="6"/>
  <c r="FO221" i="6"/>
  <c r="FN221" i="6"/>
  <c r="FM221" i="6"/>
  <c r="FL221" i="6"/>
  <c r="FK221" i="6"/>
  <c r="FJ221" i="6"/>
  <c r="FI221" i="6"/>
  <c r="FH221" i="6"/>
  <c r="FG221" i="6"/>
  <c r="FF221" i="6"/>
  <c r="FE221" i="6"/>
  <c r="FD221" i="6"/>
  <c r="FC221" i="6"/>
  <c r="FB221" i="6"/>
  <c r="FA221" i="6"/>
  <c r="EZ221" i="6"/>
  <c r="EY221" i="6"/>
  <c r="EX221" i="6"/>
  <c r="EW221" i="6"/>
  <c r="EV221" i="6"/>
  <c r="EU221" i="6"/>
  <c r="ET221" i="6"/>
  <c r="ES221" i="6"/>
  <c r="ER221" i="6"/>
  <c r="EQ221" i="6"/>
  <c r="EP221" i="6"/>
  <c r="EO221" i="6"/>
  <c r="EN221" i="6"/>
  <c r="EM221" i="6"/>
  <c r="EL221" i="6"/>
  <c r="EK221" i="6"/>
  <c r="EJ221" i="6"/>
  <c r="EI221" i="6"/>
  <c r="EH221" i="6"/>
  <c r="EG221" i="6"/>
  <c r="EF221" i="6"/>
  <c r="EE221" i="6"/>
  <c r="ED221" i="6"/>
  <c r="EC221" i="6"/>
  <c r="EB221" i="6"/>
  <c r="EA221" i="6"/>
  <c r="DZ221" i="6"/>
  <c r="DY221" i="6"/>
  <c r="DX221" i="6"/>
  <c r="DW221" i="6"/>
  <c r="DV221" i="6"/>
  <c r="DU221" i="6"/>
  <c r="DT221" i="6"/>
  <c r="DS221" i="6"/>
  <c r="DR221" i="6"/>
  <c r="DQ221" i="6"/>
  <c r="DP221" i="6"/>
  <c r="DO221" i="6"/>
  <c r="DN221" i="6"/>
  <c r="DM221" i="6"/>
  <c r="DL221" i="6"/>
  <c r="DK221" i="6"/>
  <c r="DJ221" i="6"/>
  <c r="DI221" i="6"/>
  <c r="DH221" i="6"/>
  <c r="DG221" i="6"/>
  <c r="DF221" i="6"/>
  <c r="DE221" i="6"/>
  <c r="DD221" i="6"/>
  <c r="DC221" i="6"/>
  <c r="DB221" i="6"/>
  <c r="DA221" i="6"/>
  <c r="CZ221" i="6"/>
  <c r="CY221" i="6"/>
  <c r="CX221" i="6"/>
  <c r="CW221" i="6"/>
  <c r="CV221" i="6"/>
  <c r="CU221" i="6"/>
  <c r="CT221" i="6"/>
  <c r="CS221" i="6"/>
  <c r="CR221" i="6"/>
  <c r="CQ221" i="6"/>
  <c r="CP221" i="6"/>
  <c r="CO221" i="6"/>
  <c r="CN221" i="6"/>
  <c r="CM221" i="6"/>
  <c r="CL221" i="6"/>
  <c r="CK221" i="6"/>
  <c r="BX221" i="6"/>
  <c r="BW221" i="6"/>
  <c r="BV221" i="6"/>
  <c r="BU221" i="6"/>
  <c r="BT221" i="6"/>
  <c r="BS221" i="6"/>
  <c r="BR221" i="6"/>
  <c r="BQ221" i="6"/>
  <c r="BP221" i="6"/>
  <c r="BO221" i="6"/>
  <c r="BN221" i="6"/>
  <c r="BM221" i="6"/>
  <c r="BL221" i="6"/>
  <c r="BK221" i="6"/>
  <c r="BJ221" i="6"/>
  <c r="BI221" i="6"/>
  <c r="BH221" i="6"/>
  <c r="BG221" i="6"/>
  <c r="BF221" i="6"/>
  <c r="BE221" i="6"/>
  <c r="BB221" i="6"/>
  <c r="AN221" i="6"/>
  <c r="AM221" i="6"/>
  <c r="AA221" i="6"/>
  <c r="Z221" i="6"/>
  <c r="G221" i="6"/>
  <c r="F221" i="6"/>
  <c r="E221" i="6"/>
  <c r="D221" i="6"/>
  <c r="C221" i="6"/>
  <c r="B221" i="6"/>
  <c r="D219" i="6"/>
  <c r="CM189" i="6"/>
  <c r="CM182" i="6" s="1"/>
  <c r="CL189" i="6"/>
  <c r="BC189" i="6" s="1"/>
  <c r="CK189" i="6"/>
  <c r="BX189" i="6"/>
  <c r="AO189" i="6" s="1"/>
  <c r="BB189" i="6"/>
  <c r="F202" i="6" s="1"/>
  <c r="G189" i="6"/>
  <c r="F189" i="6"/>
  <c r="F182" i="6" s="1"/>
  <c r="D189" i="6"/>
  <c r="D182" i="6" s="1"/>
  <c r="C189" i="6"/>
  <c r="B189" i="6"/>
  <c r="GV187" i="6"/>
  <c r="HC187" i="6" s="1"/>
  <c r="GX187" i="6" s="1"/>
  <c r="GO187" i="6"/>
  <c r="GN187" i="6"/>
  <c r="GL187" i="6"/>
  <c r="FR187" i="6"/>
  <c r="AJ187" i="6"/>
  <c r="CX187" i="6" s="1"/>
  <c r="W187" i="6" s="1"/>
  <c r="AI187" i="6"/>
  <c r="CW187" i="6" s="1"/>
  <c r="V187" i="6" s="1"/>
  <c r="AH187" i="6"/>
  <c r="CV187" i="6" s="1"/>
  <c r="AG187" i="6"/>
  <c r="CU187" i="6" s="1"/>
  <c r="AF187" i="6"/>
  <c r="CT187" i="6" s="1"/>
  <c r="AE187" i="6"/>
  <c r="CR187" i="6" s="1"/>
  <c r="AC187" i="6"/>
  <c r="K187" i="6"/>
  <c r="I187" i="6"/>
  <c r="D187" i="6"/>
  <c r="C187" i="6"/>
  <c r="HC186" i="6"/>
  <c r="GV186" i="6"/>
  <c r="GO186" i="6"/>
  <c r="GN186" i="6"/>
  <c r="GL186" i="6"/>
  <c r="FR186" i="6"/>
  <c r="CX186" i="6"/>
  <c r="W186" i="6" s="1"/>
  <c r="CU186" i="6"/>
  <c r="AJ186" i="6"/>
  <c r="AI186" i="6"/>
  <c r="CW186" i="6" s="1"/>
  <c r="AH186" i="6"/>
  <c r="CV186" i="6" s="1"/>
  <c r="AG186" i="6"/>
  <c r="AF186" i="6"/>
  <c r="CT186" i="6" s="1"/>
  <c r="S186" i="6" s="1"/>
  <c r="J151" i="2" s="1"/>
  <c r="AE186" i="6"/>
  <c r="CR186" i="6" s="1"/>
  <c r="AD186" i="6"/>
  <c r="AC186" i="6"/>
  <c r="CQ186" i="6" s="1"/>
  <c r="K186" i="6"/>
  <c r="I186" i="6"/>
  <c r="D47" i="3" s="1"/>
  <c r="D186" i="6"/>
  <c r="C186" i="6"/>
  <c r="GV185" i="6"/>
  <c r="HC185" i="6" s="1"/>
  <c r="GO185" i="6"/>
  <c r="GN185" i="6"/>
  <c r="GL185" i="6"/>
  <c r="FR185" i="6"/>
  <c r="CU185" i="6"/>
  <c r="AJ185" i="6"/>
  <c r="CX185" i="6" s="1"/>
  <c r="AI185" i="6"/>
  <c r="CW185" i="6" s="1"/>
  <c r="AH185" i="6"/>
  <c r="CV185" i="6" s="1"/>
  <c r="U185" i="6" s="1"/>
  <c r="K147" i="2" s="1"/>
  <c r="AG185" i="6"/>
  <c r="AF185" i="6"/>
  <c r="CT185" i="6" s="1"/>
  <c r="AE185" i="6"/>
  <c r="CR185" i="6" s="1"/>
  <c r="AC185" i="6"/>
  <c r="CQ185" i="6" s="1"/>
  <c r="P185" i="6" s="1"/>
  <c r="J144" i="2" s="1"/>
  <c r="K185" i="6"/>
  <c r="I185" i="6"/>
  <c r="D185" i="6"/>
  <c r="C185" i="6"/>
  <c r="GV184" i="6"/>
  <c r="HC184" i="6" s="1"/>
  <c r="GO184" i="6"/>
  <c r="GN184" i="6"/>
  <c r="CB189" i="6" s="1"/>
  <c r="GL184" i="6"/>
  <c r="BZ189" i="6" s="1"/>
  <c r="AQ189" i="6" s="1"/>
  <c r="FR184" i="6"/>
  <c r="BY189" i="6" s="1"/>
  <c r="CU184" i="6"/>
  <c r="AJ184" i="6"/>
  <c r="CX184" i="6" s="1"/>
  <c r="AI184" i="6"/>
  <c r="CW184" i="6" s="1"/>
  <c r="V184" i="6" s="1"/>
  <c r="AH184" i="6"/>
  <c r="CV184" i="6" s="1"/>
  <c r="U184" i="6" s="1"/>
  <c r="K139" i="2" s="1"/>
  <c r="AG184" i="6"/>
  <c r="AF184" i="6"/>
  <c r="CT184" i="6" s="1"/>
  <c r="S184" i="6" s="1"/>
  <c r="AE184" i="6"/>
  <c r="CS184" i="6" s="1"/>
  <c r="R184" i="6" s="1"/>
  <c r="AC184" i="6"/>
  <c r="CQ184" i="6" s="1"/>
  <c r="P184" i="6" s="1"/>
  <c r="K184" i="6"/>
  <c r="I184" i="6"/>
  <c r="D184" i="6"/>
  <c r="C184" i="6"/>
  <c r="GX182" i="6"/>
  <c r="GW182" i="6"/>
  <c r="GV182" i="6"/>
  <c r="GU182" i="6"/>
  <c r="GT182" i="6"/>
  <c r="GS182" i="6"/>
  <c r="GR182" i="6"/>
  <c r="GQ182" i="6"/>
  <c r="GP182" i="6"/>
  <c r="GO182" i="6"/>
  <c r="GN182" i="6"/>
  <c r="GM182" i="6"/>
  <c r="GL182" i="6"/>
  <c r="GK182" i="6"/>
  <c r="GJ182" i="6"/>
  <c r="GI182" i="6"/>
  <c r="GH182" i="6"/>
  <c r="GG182" i="6"/>
  <c r="GF182" i="6"/>
  <c r="GE182" i="6"/>
  <c r="GD182" i="6"/>
  <c r="GC182" i="6"/>
  <c r="GB182" i="6"/>
  <c r="GA182" i="6"/>
  <c r="FZ182" i="6"/>
  <c r="FY182" i="6"/>
  <c r="FX182" i="6"/>
  <c r="FW182" i="6"/>
  <c r="FV182" i="6"/>
  <c r="FU182" i="6"/>
  <c r="FT182" i="6"/>
  <c r="FS182" i="6"/>
  <c r="FR182" i="6"/>
  <c r="FQ182" i="6"/>
  <c r="FP182" i="6"/>
  <c r="FO182" i="6"/>
  <c r="FN182" i="6"/>
  <c r="FM182" i="6"/>
  <c r="FL182" i="6"/>
  <c r="FK182" i="6"/>
  <c r="FJ182" i="6"/>
  <c r="FI182" i="6"/>
  <c r="FH182" i="6"/>
  <c r="FG182" i="6"/>
  <c r="FF182" i="6"/>
  <c r="FE182" i="6"/>
  <c r="FD182" i="6"/>
  <c r="FC182" i="6"/>
  <c r="FB182" i="6"/>
  <c r="FA182" i="6"/>
  <c r="EZ182" i="6"/>
  <c r="EY182" i="6"/>
  <c r="EX182" i="6"/>
  <c r="EW182" i="6"/>
  <c r="EV182" i="6"/>
  <c r="EU182" i="6"/>
  <c r="ET182" i="6"/>
  <c r="ES182" i="6"/>
  <c r="ER182" i="6"/>
  <c r="EQ182" i="6"/>
  <c r="EP182" i="6"/>
  <c r="EO182" i="6"/>
  <c r="EN182" i="6"/>
  <c r="EM182" i="6"/>
  <c r="EL182" i="6"/>
  <c r="EK182" i="6"/>
  <c r="EJ182" i="6"/>
  <c r="EI182" i="6"/>
  <c r="EH182" i="6"/>
  <c r="EG182" i="6"/>
  <c r="EF182" i="6"/>
  <c r="EE182" i="6"/>
  <c r="ED182" i="6"/>
  <c r="EC182" i="6"/>
  <c r="EB182" i="6"/>
  <c r="EA182" i="6"/>
  <c r="DZ182" i="6"/>
  <c r="DY182" i="6"/>
  <c r="DX182" i="6"/>
  <c r="DW182" i="6"/>
  <c r="DV182" i="6"/>
  <c r="DU182" i="6"/>
  <c r="DT182" i="6"/>
  <c r="DS182" i="6"/>
  <c r="DR182" i="6"/>
  <c r="DQ182" i="6"/>
  <c r="DP182" i="6"/>
  <c r="DO182" i="6"/>
  <c r="DN182" i="6"/>
  <c r="DM182" i="6"/>
  <c r="DL182" i="6"/>
  <c r="DK182" i="6"/>
  <c r="DJ182" i="6"/>
  <c r="DI182" i="6"/>
  <c r="DH182" i="6"/>
  <c r="DG182" i="6"/>
  <c r="DF182" i="6"/>
  <c r="DE182" i="6"/>
  <c r="DD182" i="6"/>
  <c r="DC182" i="6"/>
  <c r="DB182" i="6"/>
  <c r="DA182" i="6"/>
  <c r="CZ182" i="6"/>
  <c r="CY182" i="6"/>
  <c r="CX182" i="6"/>
  <c r="CW182" i="6"/>
  <c r="CV182" i="6"/>
  <c r="CU182" i="6"/>
  <c r="CT182" i="6"/>
  <c r="CS182" i="6"/>
  <c r="CR182" i="6"/>
  <c r="CQ182" i="6"/>
  <c r="CP182" i="6"/>
  <c r="CO182" i="6"/>
  <c r="CN182" i="6"/>
  <c r="CL182" i="6"/>
  <c r="CK182" i="6"/>
  <c r="BZ182" i="6"/>
  <c r="BW182" i="6"/>
  <c r="BV182" i="6"/>
  <c r="BU182" i="6"/>
  <c r="BT182" i="6"/>
  <c r="BS182" i="6"/>
  <c r="BR182" i="6"/>
  <c r="BQ182" i="6"/>
  <c r="BP182" i="6"/>
  <c r="BO182" i="6"/>
  <c r="BN182" i="6"/>
  <c r="BM182" i="6"/>
  <c r="BL182" i="6"/>
  <c r="BK182" i="6"/>
  <c r="BJ182" i="6"/>
  <c r="BI182" i="6"/>
  <c r="BH182" i="6"/>
  <c r="BG182" i="6"/>
  <c r="BF182" i="6"/>
  <c r="BE182" i="6"/>
  <c r="AN182" i="6"/>
  <c r="AM182" i="6"/>
  <c r="AA182" i="6"/>
  <c r="Z182" i="6"/>
  <c r="G182" i="6"/>
  <c r="E182" i="6"/>
  <c r="C182" i="6"/>
  <c r="B182" i="6"/>
  <c r="D180" i="6"/>
  <c r="CM140" i="6"/>
  <c r="BD140" i="6" s="1"/>
  <c r="CL140" i="6"/>
  <c r="BC140" i="6" s="1"/>
  <c r="CK140" i="6"/>
  <c r="CK135" i="6" s="1"/>
  <c r="BX140" i="6"/>
  <c r="AO140" i="6" s="1"/>
  <c r="G140" i="6"/>
  <c r="G135" i="6" s="1"/>
  <c r="A45" i="5" s="1"/>
  <c r="F140" i="6"/>
  <c r="D140" i="6"/>
  <c r="D135" i="6" s="1"/>
  <c r="C140" i="6"/>
  <c r="B140" i="6"/>
  <c r="GV138" i="6"/>
  <c r="HC138" i="6" s="1"/>
  <c r="GX138" i="6" s="1"/>
  <c r="GO138" i="6"/>
  <c r="GN138" i="6"/>
  <c r="GL138" i="6"/>
  <c r="FR138" i="6"/>
  <c r="AJ138" i="6"/>
  <c r="CX138" i="6" s="1"/>
  <c r="W138" i="6" s="1"/>
  <c r="AI138" i="6"/>
  <c r="CW138" i="6" s="1"/>
  <c r="V138" i="6" s="1"/>
  <c r="AH138" i="6"/>
  <c r="CV138" i="6" s="1"/>
  <c r="U138" i="6" s="1"/>
  <c r="AH140" i="6" s="1"/>
  <c r="AG138" i="6"/>
  <c r="CU138" i="6" s="1"/>
  <c r="T138" i="6" s="1"/>
  <c r="AF138" i="6"/>
  <c r="CT138" i="6" s="1"/>
  <c r="S138" i="6" s="1"/>
  <c r="CY138" i="6" s="1"/>
  <c r="X138" i="6" s="1"/>
  <c r="AE138" i="6"/>
  <c r="AD138" i="6" s="1"/>
  <c r="AC138" i="6"/>
  <c r="CQ138" i="6" s="1"/>
  <c r="P138" i="6" s="1"/>
  <c r="GV137" i="6"/>
  <c r="HC137" i="6" s="1"/>
  <c r="GX137" i="6" s="1"/>
  <c r="GO137" i="6"/>
  <c r="GN137" i="6"/>
  <c r="CB140" i="6" s="1"/>
  <c r="AS140" i="6" s="1"/>
  <c r="F157" i="6" s="1"/>
  <c r="GL137" i="6"/>
  <c r="FR137" i="6"/>
  <c r="BY140" i="6" s="1"/>
  <c r="AP140" i="6" s="1"/>
  <c r="F149" i="6" s="1"/>
  <c r="CT137" i="6"/>
  <c r="S137" i="6" s="1"/>
  <c r="CS137" i="6"/>
  <c r="AJ137" i="6"/>
  <c r="CX137" i="6" s="1"/>
  <c r="AI137" i="6"/>
  <c r="CW137" i="6" s="1"/>
  <c r="V137" i="6" s="1"/>
  <c r="AI140" i="6" s="1"/>
  <c r="AH137" i="6"/>
  <c r="CV137" i="6" s="1"/>
  <c r="U137" i="6" s="1"/>
  <c r="AG137" i="6"/>
  <c r="CU137" i="6" s="1"/>
  <c r="T137" i="6" s="1"/>
  <c r="AF137" i="6"/>
  <c r="AE137" i="6"/>
  <c r="AD137" i="6" s="1"/>
  <c r="AC137" i="6"/>
  <c r="CQ137" i="6" s="1"/>
  <c r="P137" i="6" s="1"/>
  <c r="W137" i="6"/>
  <c r="R137" i="6"/>
  <c r="GX135" i="6"/>
  <c r="GW135" i="6"/>
  <c r="GV135" i="6"/>
  <c r="GU135" i="6"/>
  <c r="GT135" i="6"/>
  <c r="GS135" i="6"/>
  <c r="GR135" i="6"/>
  <c r="GQ135" i="6"/>
  <c r="GP135" i="6"/>
  <c r="GO135" i="6"/>
  <c r="GN135" i="6"/>
  <c r="GM135" i="6"/>
  <c r="GL135" i="6"/>
  <c r="GK135" i="6"/>
  <c r="GJ135" i="6"/>
  <c r="GI135" i="6"/>
  <c r="GH135" i="6"/>
  <c r="GG135" i="6"/>
  <c r="GF135" i="6"/>
  <c r="GE135" i="6"/>
  <c r="GD135" i="6"/>
  <c r="GC135" i="6"/>
  <c r="GB135" i="6"/>
  <c r="GA135" i="6"/>
  <c r="FZ135" i="6"/>
  <c r="FY135" i="6"/>
  <c r="FX135" i="6"/>
  <c r="FW135" i="6"/>
  <c r="FV135" i="6"/>
  <c r="FU135" i="6"/>
  <c r="FT135" i="6"/>
  <c r="FS135" i="6"/>
  <c r="FR135" i="6"/>
  <c r="FQ135" i="6"/>
  <c r="FP135" i="6"/>
  <c r="FO135" i="6"/>
  <c r="FN135" i="6"/>
  <c r="FM135" i="6"/>
  <c r="FL135" i="6"/>
  <c r="FK135" i="6"/>
  <c r="FJ135" i="6"/>
  <c r="FI135" i="6"/>
  <c r="FH135" i="6"/>
  <c r="FG135" i="6"/>
  <c r="FF135" i="6"/>
  <c r="FE135" i="6"/>
  <c r="FD135" i="6"/>
  <c r="FC135" i="6"/>
  <c r="FB135" i="6"/>
  <c r="FA135" i="6"/>
  <c r="EZ135" i="6"/>
  <c r="EY135" i="6"/>
  <c r="EX135" i="6"/>
  <c r="EW135" i="6"/>
  <c r="EV135" i="6"/>
  <c r="EU135" i="6"/>
  <c r="ET135" i="6"/>
  <c r="ES135" i="6"/>
  <c r="ER135" i="6"/>
  <c r="EQ135" i="6"/>
  <c r="EP135" i="6"/>
  <c r="EO135" i="6"/>
  <c r="EN135" i="6"/>
  <c r="EM135" i="6"/>
  <c r="EL135" i="6"/>
  <c r="EK135" i="6"/>
  <c r="EJ135" i="6"/>
  <c r="EI135" i="6"/>
  <c r="EH135" i="6"/>
  <c r="EG135" i="6"/>
  <c r="EF135" i="6"/>
  <c r="EE135" i="6"/>
  <c r="ED135" i="6"/>
  <c r="EC135" i="6"/>
  <c r="EB135" i="6"/>
  <c r="EA135" i="6"/>
  <c r="DZ135" i="6"/>
  <c r="DY135" i="6"/>
  <c r="DX135" i="6"/>
  <c r="DW135" i="6"/>
  <c r="DV135" i="6"/>
  <c r="DU135" i="6"/>
  <c r="DT135" i="6"/>
  <c r="DS135" i="6"/>
  <c r="DR135" i="6"/>
  <c r="DQ135" i="6"/>
  <c r="DP135" i="6"/>
  <c r="DO135" i="6"/>
  <c r="DN135" i="6"/>
  <c r="DM135" i="6"/>
  <c r="DL135" i="6"/>
  <c r="DK135" i="6"/>
  <c r="DJ135" i="6"/>
  <c r="DI135" i="6"/>
  <c r="DH135" i="6"/>
  <c r="DG135" i="6"/>
  <c r="DF135" i="6"/>
  <c r="DE135" i="6"/>
  <c r="DD135" i="6"/>
  <c r="DC135" i="6"/>
  <c r="DB135" i="6"/>
  <c r="DA135" i="6"/>
  <c r="CZ135" i="6"/>
  <c r="CY135" i="6"/>
  <c r="CX135" i="6"/>
  <c r="CW135" i="6"/>
  <c r="CV135" i="6"/>
  <c r="CU135" i="6"/>
  <c r="CT135" i="6"/>
  <c r="CS135" i="6"/>
  <c r="CR135" i="6"/>
  <c r="CQ135" i="6"/>
  <c r="CP135" i="6"/>
  <c r="CO135" i="6"/>
  <c r="CN135" i="6"/>
  <c r="CL135" i="6"/>
  <c r="BY135" i="6"/>
  <c r="BX135" i="6"/>
  <c r="BW135" i="6"/>
  <c r="BV135" i="6"/>
  <c r="BU135" i="6"/>
  <c r="BT135" i="6"/>
  <c r="BS135" i="6"/>
  <c r="BR135" i="6"/>
  <c r="BQ135" i="6"/>
  <c r="BP135" i="6"/>
  <c r="BO135" i="6"/>
  <c r="BN135" i="6"/>
  <c r="BM135" i="6"/>
  <c r="BL135" i="6"/>
  <c r="BK135" i="6"/>
  <c r="BJ135" i="6"/>
  <c r="BI135" i="6"/>
  <c r="BH135" i="6"/>
  <c r="BG135" i="6"/>
  <c r="BF135" i="6"/>
  <c r="BE135" i="6"/>
  <c r="AS135" i="6"/>
  <c r="AP135" i="6"/>
  <c r="AN135" i="6"/>
  <c r="AM135" i="6"/>
  <c r="AA135" i="6"/>
  <c r="Z135" i="6"/>
  <c r="F135" i="6"/>
  <c r="E135" i="6"/>
  <c r="C135" i="6"/>
  <c r="B135" i="6"/>
  <c r="D133" i="6"/>
  <c r="CM93" i="6"/>
  <c r="CM82" i="6" s="1"/>
  <c r="CL93" i="6"/>
  <c r="CK93" i="6"/>
  <c r="CK82" i="6" s="1"/>
  <c r="BX93" i="6"/>
  <c r="AO93" i="6" s="1"/>
  <c r="BC93" i="6"/>
  <c r="F109" i="6" s="1"/>
  <c r="G93" i="6"/>
  <c r="F93" i="6"/>
  <c r="D93" i="6"/>
  <c r="C93" i="6"/>
  <c r="B93" i="6"/>
  <c r="B82" i="6" s="1"/>
  <c r="GV91" i="6"/>
  <c r="HC91" i="6" s="1"/>
  <c r="GO91" i="6"/>
  <c r="GN91" i="6"/>
  <c r="GL91" i="6"/>
  <c r="FR91" i="6"/>
  <c r="CX91" i="6"/>
  <c r="W91" i="6" s="1"/>
  <c r="AJ91" i="6"/>
  <c r="AI91" i="6"/>
  <c r="CW91" i="6" s="1"/>
  <c r="V91" i="6" s="1"/>
  <c r="AH91" i="6"/>
  <c r="CV91" i="6" s="1"/>
  <c r="U91" i="6" s="1"/>
  <c r="AG91" i="6"/>
  <c r="CU91" i="6" s="1"/>
  <c r="T91" i="6" s="1"/>
  <c r="AF91" i="6"/>
  <c r="CT91" i="6" s="1"/>
  <c r="S91" i="6" s="1"/>
  <c r="AE91" i="6"/>
  <c r="CR91" i="6" s="1"/>
  <c r="Q91" i="6" s="1"/>
  <c r="AC91" i="6"/>
  <c r="CQ91" i="6" s="1"/>
  <c r="P91" i="6" s="1"/>
  <c r="K91" i="6"/>
  <c r="I91" i="6"/>
  <c r="D91" i="6"/>
  <c r="C91" i="6"/>
  <c r="GV90" i="6"/>
  <c r="HC90" i="6" s="1"/>
  <c r="GX90" i="6" s="1"/>
  <c r="GO90" i="6"/>
  <c r="GN90" i="6"/>
  <c r="GL90" i="6"/>
  <c r="FR90" i="6"/>
  <c r="CW90" i="6"/>
  <c r="AJ90" i="6"/>
  <c r="CX90" i="6" s="1"/>
  <c r="AI90" i="6"/>
  <c r="AH90" i="6"/>
  <c r="CV90" i="6" s="1"/>
  <c r="AG90" i="6"/>
  <c r="CU90" i="6" s="1"/>
  <c r="T90" i="6" s="1"/>
  <c r="AF90" i="6"/>
  <c r="CT90" i="6" s="1"/>
  <c r="AE90" i="6"/>
  <c r="CR90" i="6" s="1"/>
  <c r="Q90" i="6" s="1"/>
  <c r="AC90" i="6"/>
  <c r="CQ90" i="6" s="1"/>
  <c r="U90" i="6"/>
  <c r="GV89" i="6"/>
  <c r="HC89" i="6" s="1"/>
  <c r="GX89" i="6" s="1"/>
  <c r="GO89" i="6"/>
  <c r="GN89" i="6"/>
  <c r="GL89" i="6"/>
  <c r="FR89" i="6"/>
  <c r="AJ89" i="6"/>
  <c r="CX89" i="6" s="1"/>
  <c r="AI89" i="6"/>
  <c r="CW89" i="6" s="1"/>
  <c r="V89" i="6" s="1"/>
  <c r="AH89" i="6"/>
  <c r="CV89" i="6" s="1"/>
  <c r="AG89" i="6"/>
  <c r="CU89" i="6" s="1"/>
  <c r="AF89" i="6"/>
  <c r="CT89" i="6" s="1"/>
  <c r="S89" i="6" s="1"/>
  <c r="J109" i="2" s="1"/>
  <c r="AE89" i="6"/>
  <c r="CS89" i="6" s="1"/>
  <c r="AC89" i="6"/>
  <c r="CQ89" i="6" s="1"/>
  <c r="K89" i="6"/>
  <c r="I89" i="6"/>
  <c r="I90" i="6" s="1"/>
  <c r="D89" i="6"/>
  <c r="C89" i="6"/>
  <c r="GV88" i="6"/>
  <c r="HC88" i="6" s="1"/>
  <c r="GX88" i="6" s="1"/>
  <c r="GO88" i="6"/>
  <c r="GN88" i="6"/>
  <c r="GL88" i="6"/>
  <c r="FR88" i="6"/>
  <c r="CS88" i="6"/>
  <c r="R88" i="6" s="1"/>
  <c r="J105" i="2" s="1"/>
  <c r="AJ88" i="6"/>
  <c r="CX88" i="6" s="1"/>
  <c r="W88" i="6" s="1"/>
  <c r="AI88" i="6"/>
  <c r="CW88" i="6" s="1"/>
  <c r="V88" i="6" s="1"/>
  <c r="AH88" i="6"/>
  <c r="CV88" i="6" s="1"/>
  <c r="U88" i="6" s="1"/>
  <c r="AG88" i="6"/>
  <c r="CU88" i="6" s="1"/>
  <c r="T88" i="6" s="1"/>
  <c r="AF88" i="6"/>
  <c r="CT88" i="6" s="1"/>
  <c r="S88" i="6" s="1"/>
  <c r="AE88" i="6"/>
  <c r="CR88" i="6" s="1"/>
  <c r="Q88" i="6" s="1"/>
  <c r="AC88" i="6"/>
  <c r="D88" i="6"/>
  <c r="C88" i="6"/>
  <c r="HC87" i="6"/>
  <c r="GX87" i="6" s="1"/>
  <c r="GV87" i="6"/>
  <c r="GO87" i="6"/>
  <c r="GN87" i="6"/>
  <c r="GL87" i="6"/>
  <c r="FR87" i="6"/>
  <c r="CX87" i="6"/>
  <c r="W87" i="6" s="1"/>
  <c r="AJ87" i="6"/>
  <c r="AI87" i="6"/>
  <c r="CW87" i="6" s="1"/>
  <c r="V87" i="6" s="1"/>
  <c r="AH87" i="6"/>
  <c r="CV87" i="6" s="1"/>
  <c r="U87" i="6" s="1"/>
  <c r="AG87" i="6"/>
  <c r="CU87" i="6" s="1"/>
  <c r="T87" i="6" s="1"/>
  <c r="AF87" i="6"/>
  <c r="CT87" i="6" s="1"/>
  <c r="S87" i="6" s="1"/>
  <c r="CY87" i="6" s="1"/>
  <c r="X87" i="6" s="1"/>
  <c r="AE87" i="6"/>
  <c r="CR87" i="6" s="1"/>
  <c r="Q87" i="6" s="1"/>
  <c r="AC87" i="6"/>
  <c r="CQ87" i="6" s="1"/>
  <c r="P87" i="6" s="1"/>
  <c r="D87" i="6"/>
  <c r="C87" i="6"/>
  <c r="GV86" i="6"/>
  <c r="HC86" i="6" s="1"/>
  <c r="GO86" i="6"/>
  <c r="GN86" i="6"/>
  <c r="GL86" i="6"/>
  <c r="FR86" i="6"/>
  <c r="CX86" i="6"/>
  <c r="W86" i="6" s="1"/>
  <c r="CS86" i="6"/>
  <c r="R86" i="6" s="1"/>
  <c r="GK86" i="6" s="1"/>
  <c r="AJ86" i="6"/>
  <c r="AI86" i="6"/>
  <c r="CW86" i="6" s="1"/>
  <c r="V86" i="6" s="1"/>
  <c r="AH86" i="6"/>
  <c r="CV86" i="6" s="1"/>
  <c r="U86" i="6" s="1"/>
  <c r="AG86" i="6"/>
  <c r="CU86" i="6" s="1"/>
  <c r="T86" i="6" s="1"/>
  <c r="AF86" i="6"/>
  <c r="CT86" i="6" s="1"/>
  <c r="S86" i="6" s="1"/>
  <c r="AE86" i="6"/>
  <c r="CR86" i="6" s="1"/>
  <c r="Q86" i="6" s="1"/>
  <c r="AC86" i="6"/>
  <c r="CQ86" i="6" s="1"/>
  <c r="P86" i="6"/>
  <c r="CP86" i="6" s="1"/>
  <c r="O86" i="6" s="1"/>
  <c r="J93" i="2" s="1"/>
  <c r="I86" i="6"/>
  <c r="GV85" i="6"/>
  <c r="HC85" i="6" s="1"/>
  <c r="GX85" i="6" s="1"/>
  <c r="GO85" i="6"/>
  <c r="GN85" i="6"/>
  <c r="GL85" i="6"/>
  <c r="FR85" i="6"/>
  <c r="CW85" i="6"/>
  <c r="V85" i="6" s="1"/>
  <c r="CT85" i="6"/>
  <c r="AJ85" i="6"/>
  <c r="CX85" i="6" s="1"/>
  <c r="AI85" i="6"/>
  <c r="AH85" i="6"/>
  <c r="CV85" i="6" s="1"/>
  <c r="AG85" i="6"/>
  <c r="CU85" i="6" s="1"/>
  <c r="T85" i="6" s="1"/>
  <c r="AF85" i="6"/>
  <c r="AE85" i="6"/>
  <c r="CS85" i="6" s="1"/>
  <c r="R85" i="6" s="1"/>
  <c r="GK85" i="6" s="1"/>
  <c r="AC85" i="6"/>
  <c r="CQ85" i="6" s="1"/>
  <c r="S85" i="6"/>
  <c r="CY85" i="6" s="1"/>
  <c r="X85" i="6" s="1"/>
  <c r="I85" i="6"/>
  <c r="HC84" i="6"/>
  <c r="GX84" i="6" s="1"/>
  <c r="GV84" i="6"/>
  <c r="GO84" i="6"/>
  <c r="CC93" i="6" s="1"/>
  <c r="GN84" i="6"/>
  <c r="GL84" i="6"/>
  <c r="BZ93" i="6" s="1"/>
  <c r="AQ93" i="6" s="1"/>
  <c r="FR84" i="6"/>
  <c r="CW84" i="6"/>
  <c r="V84" i="6" s="1"/>
  <c r="AJ84" i="6"/>
  <c r="CX84" i="6" s="1"/>
  <c r="W84" i="6" s="1"/>
  <c r="AI84" i="6"/>
  <c r="AH84" i="6"/>
  <c r="CV84" i="6" s="1"/>
  <c r="U84" i="6" s="1"/>
  <c r="AG84" i="6"/>
  <c r="CU84" i="6" s="1"/>
  <c r="T84" i="6" s="1"/>
  <c r="AF84" i="6"/>
  <c r="CT84" i="6" s="1"/>
  <c r="S84" i="6" s="1"/>
  <c r="J88" i="2" s="1"/>
  <c r="AE84" i="6"/>
  <c r="CS84" i="6" s="1"/>
  <c r="R84" i="6" s="1"/>
  <c r="AC84" i="6"/>
  <c r="CQ84" i="6" s="1"/>
  <c r="P84" i="6" s="1"/>
  <c r="J91" i="2" s="1"/>
  <c r="D84" i="6"/>
  <c r="C84" i="6"/>
  <c r="GX82" i="6"/>
  <c r="GW82" i="6"/>
  <c r="GV82" i="6"/>
  <c r="GU82" i="6"/>
  <c r="GT82" i="6"/>
  <c r="GS82" i="6"/>
  <c r="GR82" i="6"/>
  <c r="GQ82" i="6"/>
  <c r="GP82" i="6"/>
  <c r="GO82" i="6"/>
  <c r="GN82" i="6"/>
  <c r="GM82" i="6"/>
  <c r="GL82" i="6"/>
  <c r="GK82" i="6"/>
  <c r="GJ82" i="6"/>
  <c r="GI82" i="6"/>
  <c r="GH82" i="6"/>
  <c r="GG82" i="6"/>
  <c r="GF82" i="6"/>
  <c r="GE82" i="6"/>
  <c r="GD82" i="6"/>
  <c r="GC82" i="6"/>
  <c r="GB82" i="6"/>
  <c r="GA82" i="6"/>
  <c r="FZ82" i="6"/>
  <c r="FY82" i="6"/>
  <c r="FX82" i="6"/>
  <c r="FW82" i="6"/>
  <c r="FV82" i="6"/>
  <c r="FU82" i="6"/>
  <c r="FT82" i="6"/>
  <c r="FS82" i="6"/>
  <c r="FR82" i="6"/>
  <c r="FQ82" i="6"/>
  <c r="FP82" i="6"/>
  <c r="FO82" i="6"/>
  <c r="FN82" i="6"/>
  <c r="FM82" i="6"/>
  <c r="FL82" i="6"/>
  <c r="FK82" i="6"/>
  <c r="FJ82" i="6"/>
  <c r="FI82" i="6"/>
  <c r="FH82" i="6"/>
  <c r="FG82" i="6"/>
  <c r="FF82" i="6"/>
  <c r="FE82" i="6"/>
  <c r="FD82" i="6"/>
  <c r="FC82" i="6"/>
  <c r="FB82" i="6"/>
  <c r="FA82" i="6"/>
  <c r="EZ82" i="6"/>
  <c r="EY82" i="6"/>
  <c r="EX82" i="6"/>
  <c r="EW82" i="6"/>
  <c r="EV82" i="6"/>
  <c r="EU82" i="6"/>
  <c r="ET82" i="6"/>
  <c r="ES82" i="6"/>
  <c r="ER82" i="6"/>
  <c r="EQ82" i="6"/>
  <c r="EP82" i="6"/>
  <c r="EO82" i="6"/>
  <c r="EN82" i="6"/>
  <c r="EM82" i="6"/>
  <c r="EL82" i="6"/>
  <c r="EK82" i="6"/>
  <c r="EJ82" i="6"/>
  <c r="EI82" i="6"/>
  <c r="EH82" i="6"/>
  <c r="EG82" i="6"/>
  <c r="EF82" i="6"/>
  <c r="EE82" i="6"/>
  <c r="ED82" i="6"/>
  <c r="EC82" i="6"/>
  <c r="EB82" i="6"/>
  <c r="EA82" i="6"/>
  <c r="DZ82" i="6"/>
  <c r="DY82" i="6"/>
  <c r="DX82" i="6"/>
  <c r="DW82" i="6"/>
  <c r="DV82" i="6"/>
  <c r="DU82" i="6"/>
  <c r="DT82" i="6"/>
  <c r="DS82" i="6"/>
  <c r="DR82" i="6"/>
  <c r="DQ82" i="6"/>
  <c r="DP82" i="6"/>
  <c r="DO82" i="6"/>
  <c r="DN82" i="6"/>
  <c r="DM82" i="6"/>
  <c r="DL82" i="6"/>
  <c r="DK82" i="6"/>
  <c r="DJ82" i="6"/>
  <c r="DI82" i="6"/>
  <c r="DH82" i="6"/>
  <c r="DG82" i="6"/>
  <c r="DF82" i="6"/>
  <c r="DE82" i="6"/>
  <c r="DD82" i="6"/>
  <c r="DC82" i="6"/>
  <c r="DB82" i="6"/>
  <c r="DA82" i="6"/>
  <c r="CZ82" i="6"/>
  <c r="CY82" i="6"/>
  <c r="CX82" i="6"/>
  <c r="CW82" i="6"/>
  <c r="CV82" i="6"/>
  <c r="CU82" i="6"/>
  <c r="CT82" i="6"/>
  <c r="CS82" i="6"/>
  <c r="CR82" i="6"/>
  <c r="CQ82" i="6"/>
  <c r="CP82" i="6"/>
  <c r="CO82" i="6"/>
  <c r="CN82" i="6"/>
  <c r="CL82" i="6"/>
  <c r="BX82" i="6"/>
  <c r="BW82" i="6"/>
  <c r="BV82" i="6"/>
  <c r="BU82" i="6"/>
  <c r="BT82" i="6"/>
  <c r="BS82" i="6"/>
  <c r="BR82" i="6"/>
  <c r="BQ82" i="6"/>
  <c r="BP82" i="6"/>
  <c r="BO82" i="6"/>
  <c r="BN82" i="6"/>
  <c r="BM82" i="6"/>
  <c r="BL82" i="6"/>
  <c r="BK82" i="6"/>
  <c r="BJ82" i="6"/>
  <c r="BI82" i="6"/>
  <c r="BH82" i="6"/>
  <c r="BG82" i="6"/>
  <c r="BF82" i="6"/>
  <c r="BE82" i="6"/>
  <c r="BC82" i="6"/>
  <c r="AN82" i="6"/>
  <c r="AM82" i="6"/>
  <c r="AA82" i="6"/>
  <c r="Z82" i="6"/>
  <c r="G82" i="6"/>
  <c r="F82" i="6"/>
  <c r="E82" i="6"/>
  <c r="D82" i="6"/>
  <c r="C82" i="6"/>
  <c r="D80" i="6"/>
  <c r="CM40" i="6"/>
  <c r="BD40" i="6" s="1"/>
  <c r="CL40" i="6"/>
  <c r="BC40" i="6" s="1"/>
  <c r="CK40" i="6"/>
  <c r="BB40" i="6" s="1"/>
  <c r="BX40" i="6"/>
  <c r="AO40" i="6"/>
  <c r="AO26" i="6" s="1"/>
  <c r="G40" i="6"/>
  <c r="F40" i="6"/>
  <c r="D40" i="6"/>
  <c r="C40" i="6"/>
  <c r="B40" i="6"/>
  <c r="HC38" i="6"/>
  <c r="GV38" i="6"/>
  <c r="GO38" i="6"/>
  <c r="GN38" i="6"/>
  <c r="GL38" i="6"/>
  <c r="FR38" i="6"/>
  <c r="CV38" i="6"/>
  <c r="AJ38" i="6"/>
  <c r="CX38" i="6" s="1"/>
  <c r="AI38" i="6"/>
  <c r="CW38" i="6" s="1"/>
  <c r="AH38" i="6"/>
  <c r="AG38" i="6"/>
  <c r="CU38" i="6" s="1"/>
  <c r="AF38" i="6"/>
  <c r="CT38" i="6" s="1"/>
  <c r="AE38" i="6"/>
  <c r="CR38" i="6" s="1"/>
  <c r="Q38" i="6" s="1"/>
  <c r="AC38" i="6"/>
  <c r="CQ38" i="6" s="1"/>
  <c r="I38" i="6"/>
  <c r="GX38" i="6" s="1"/>
  <c r="GV37" i="6"/>
  <c r="HC37" i="6" s="1"/>
  <c r="GO37" i="6"/>
  <c r="GN37" i="6"/>
  <c r="GL37" i="6"/>
  <c r="FR37" i="6"/>
  <c r="CS37" i="6"/>
  <c r="AJ37" i="6"/>
  <c r="CX37" i="6" s="1"/>
  <c r="AI37" i="6"/>
  <c r="CW37" i="6" s="1"/>
  <c r="AH37" i="6"/>
  <c r="CV37" i="6" s="1"/>
  <c r="AG37" i="6"/>
  <c r="CU37" i="6" s="1"/>
  <c r="AF37" i="6"/>
  <c r="CT37" i="6" s="1"/>
  <c r="AE37" i="6"/>
  <c r="CR37" i="6" s="1"/>
  <c r="AC37" i="6"/>
  <c r="GV36" i="6"/>
  <c r="HC36" i="6" s="1"/>
  <c r="GO36" i="6"/>
  <c r="GN36" i="6"/>
  <c r="GL36" i="6"/>
  <c r="FR36" i="6"/>
  <c r="CR36" i="6"/>
  <c r="Q36" i="6" s="1"/>
  <c r="J72" i="2" s="1"/>
  <c r="AJ36" i="6"/>
  <c r="CX36" i="6" s="1"/>
  <c r="AI36" i="6"/>
  <c r="CW36" i="6" s="1"/>
  <c r="AH36" i="6"/>
  <c r="CV36" i="6" s="1"/>
  <c r="AG36" i="6"/>
  <c r="CU36" i="6" s="1"/>
  <c r="AF36" i="6"/>
  <c r="CT36" i="6" s="1"/>
  <c r="AE36" i="6"/>
  <c r="AC36" i="6"/>
  <c r="CQ36" i="6" s="1"/>
  <c r="U36" i="6"/>
  <c r="K80" i="2" s="1"/>
  <c r="K36" i="6"/>
  <c r="I36" i="6"/>
  <c r="P36" i="6" s="1"/>
  <c r="J74" i="2" s="1"/>
  <c r="D36" i="6"/>
  <c r="C36" i="6"/>
  <c r="GV35" i="6"/>
  <c r="HC35" i="6" s="1"/>
  <c r="GX35" i="6" s="1"/>
  <c r="GO35" i="6"/>
  <c r="GN35" i="6"/>
  <c r="GL35" i="6"/>
  <c r="FR35" i="6"/>
  <c r="CS35" i="6"/>
  <c r="AJ35" i="6"/>
  <c r="CX35" i="6" s="1"/>
  <c r="W35" i="6" s="1"/>
  <c r="AI35" i="6"/>
  <c r="CW35" i="6" s="1"/>
  <c r="AH35" i="6"/>
  <c r="CV35" i="6" s="1"/>
  <c r="U35" i="6" s="1"/>
  <c r="AG35" i="6"/>
  <c r="CU35" i="6" s="1"/>
  <c r="T35" i="6" s="1"/>
  <c r="AF35" i="6"/>
  <c r="CT35" i="6" s="1"/>
  <c r="S35" i="6" s="1"/>
  <c r="CZ35" i="6" s="1"/>
  <c r="Y35" i="6" s="1"/>
  <c r="T65" i="2" s="1"/>
  <c r="AE35" i="6"/>
  <c r="CR35" i="6" s="1"/>
  <c r="Q35" i="6" s="1"/>
  <c r="AD35" i="6"/>
  <c r="AC35" i="6"/>
  <c r="CQ35" i="6" s="1"/>
  <c r="P35" i="6" s="1"/>
  <c r="V35" i="6"/>
  <c r="R35" i="6"/>
  <c r="J67" i="2" s="1"/>
  <c r="D35" i="6"/>
  <c r="C35" i="6"/>
  <c r="GV34" i="6"/>
  <c r="HC34" i="6" s="1"/>
  <c r="GX34" i="6" s="1"/>
  <c r="GO34" i="6"/>
  <c r="GN34" i="6"/>
  <c r="GL34" i="6"/>
  <c r="FR34" i="6"/>
  <c r="CX34" i="6"/>
  <c r="W34" i="6" s="1"/>
  <c r="AJ34" i="6"/>
  <c r="AI34" i="6"/>
  <c r="CW34" i="6" s="1"/>
  <c r="V34" i="6" s="1"/>
  <c r="AH34" i="6"/>
  <c r="CV34" i="6" s="1"/>
  <c r="U34" i="6" s="1"/>
  <c r="AG34" i="6"/>
  <c r="CU34" i="6" s="1"/>
  <c r="T34" i="6" s="1"/>
  <c r="AF34" i="6"/>
  <c r="CT34" i="6" s="1"/>
  <c r="AE34" i="6"/>
  <c r="CR34" i="6" s="1"/>
  <c r="Q34" i="6" s="1"/>
  <c r="J62" i="2" s="1"/>
  <c r="I64" i="2" s="1"/>
  <c r="AC34" i="6"/>
  <c r="S34" i="6"/>
  <c r="CZ34" i="6" s="1"/>
  <c r="Y34" i="6" s="1"/>
  <c r="D34" i="6"/>
  <c r="C34" i="6"/>
  <c r="HC33" i="6"/>
  <c r="GV33" i="6"/>
  <c r="GO33" i="6"/>
  <c r="GN33" i="6"/>
  <c r="GL33" i="6"/>
  <c r="FR33" i="6"/>
  <c r="CX33" i="6"/>
  <c r="AJ33" i="6"/>
  <c r="AI33" i="6"/>
  <c r="CW33" i="6" s="1"/>
  <c r="AH33" i="6"/>
  <c r="CV33" i="6" s="1"/>
  <c r="AG33" i="6"/>
  <c r="CU33" i="6" s="1"/>
  <c r="AF33" i="6"/>
  <c r="CT33" i="6" s="1"/>
  <c r="AE33" i="6"/>
  <c r="AC33" i="6"/>
  <c r="CQ33" i="6" s="1"/>
  <c r="GV32" i="6"/>
  <c r="HC32" i="6" s="1"/>
  <c r="GO32" i="6"/>
  <c r="GN32" i="6"/>
  <c r="GL32" i="6"/>
  <c r="FR32" i="6"/>
  <c r="CX32" i="6"/>
  <c r="AJ32" i="6"/>
  <c r="AI32" i="6"/>
  <c r="CW32" i="6" s="1"/>
  <c r="AH32" i="6"/>
  <c r="CV32" i="6" s="1"/>
  <c r="AG32" i="6"/>
  <c r="CU32" i="6" s="1"/>
  <c r="AF32" i="6"/>
  <c r="CT32" i="6" s="1"/>
  <c r="AE32" i="6"/>
  <c r="AD32" i="6" s="1"/>
  <c r="AC32" i="6"/>
  <c r="CQ32" i="6" s="1"/>
  <c r="GV31" i="6"/>
  <c r="HC31" i="6" s="1"/>
  <c r="GO31" i="6"/>
  <c r="GN31" i="6"/>
  <c r="GL31" i="6"/>
  <c r="FR31" i="6"/>
  <c r="AJ31" i="6"/>
  <c r="CX31" i="6" s="1"/>
  <c r="AI31" i="6"/>
  <c r="CW31" i="6" s="1"/>
  <c r="AH31" i="6"/>
  <c r="CV31" i="6" s="1"/>
  <c r="AG31" i="6"/>
  <c r="CU31" i="6" s="1"/>
  <c r="AF31" i="6"/>
  <c r="CT31" i="6" s="1"/>
  <c r="AE31" i="6"/>
  <c r="CS31" i="6" s="1"/>
  <c r="AD31" i="6"/>
  <c r="AC31" i="6"/>
  <c r="CQ31" i="6" s="1"/>
  <c r="AB31" i="6"/>
  <c r="GV30" i="6"/>
  <c r="HC30" i="6" s="1"/>
  <c r="GX30" i="6" s="1"/>
  <c r="GO30" i="6"/>
  <c r="GN30" i="6"/>
  <c r="GL30" i="6"/>
  <c r="FR30" i="6"/>
  <c r="CT30" i="6"/>
  <c r="S30" i="6" s="1"/>
  <c r="J49" i="2" s="1"/>
  <c r="AJ30" i="6"/>
  <c r="CX30" i="6" s="1"/>
  <c r="W30" i="6" s="1"/>
  <c r="AI30" i="6"/>
  <c r="CW30" i="6" s="1"/>
  <c r="V30" i="6" s="1"/>
  <c r="AH30" i="6"/>
  <c r="CV30" i="6" s="1"/>
  <c r="AG30" i="6"/>
  <c r="CU30" i="6" s="1"/>
  <c r="AF30" i="6"/>
  <c r="AE30" i="6"/>
  <c r="CR30" i="6" s="1"/>
  <c r="AC30" i="6"/>
  <c r="CQ30" i="6" s="1"/>
  <c r="P30" i="6" s="1"/>
  <c r="K30" i="6"/>
  <c r="I30" i="6"/>
  <c r="D30" i="6"/>
  <c r="C30" i="6"/>
  <c r="GV29" i="6"/>
  <c r="HC29" i="6" s="1"/>
  <c r="GX29" i="6" s="1"/>
  <c r="GO29" i="6"/>
  <c r="GN29" i="6"/>
  <c r="GL29" i="6"/>
  <c r="FR29" i="6"/>
  <c r="CU29" i="6"/>
  <c r="CS29" i="6"/>
  <c r="R29" i="6" s="1"/>
  <c r="AJ29" i="6"/>
  <c r="CX29" i="6" s="1"/>
  <c r="W29" i="6" s="1"/>
  <c r="AI29" i="6"/>
  <c r="CW29" i="6" s="1"/>
  <c r="V29" i="6" s="1"/>
  <c r="AH29" i="6"/>
  <c r="CV29" i="6" s="1"/>
  <c r="U29" i="6" s="1"/>
  <c r="K45" i="2" s="1"/>
  <c r="AG29" i="6"/>
  <c r="AF29" i="6"/>
  <c r="CT29" i="6" s="1"/>
  <c r="AE29" i="6"/>
  <c r="CR29" i="6" s="1"/>
  <c r="AD29" i="6"/>
  <c r="AB29" i="6" s="1"/>
  <c r="AC29" i="6"/>
  <c r="CQ29" i="6" s="1"/>
  <c r="P29" i="6" s="1"/>
  <c r="J41" i="2" s="1"/>
  <c r="K29" i="6"/>
  <c r="I29" i="6"/>
  <c r="D29" i="6"/>
  <c r="C29" i="6"/>
  <c r="GV28" i="6"/>
  <c r="HC28" i="6" s="1"/>
  <c r="GX28" i="6" s="1"/>
  <c r="GO28" i="6"/>
  <c r="GN28" i="6"/>
  <c r="GL28" i="6"/>
  <c r="FR28" i="6"/>
  <c r="CX28" i="6"/>
  <c r="CV28" i="6"/>
  <c r="AJ28" i="6"/>
  <c r="AI28" i="6"/>
  <c r="CW28" i="6" s="1"/>
  <c r="AH28" i="6"/>
  <c r="AG28" i="6"/>
  <c r="CU28" i="6" s="1"/>
  <c r="T28" i="6" s="1"/>
  <c r="AF28" i="6"/>
  <c r="CT28" i="6" s="1"/>
  <c r="S28" i="6" s="1"/>
  <c r="J27" i="2" s="1"/>
  <c r="AE28" i="6"/>
  <c r="CR28" i="6" s="1"/>
  <c r="Q28" i="6" s="1"/>
  <c r="J28" i="2" s="1"/>
  <c r="AC28" i="6"/>
  <c r="CQ28" i="6" s="1"/>
  <c r="W28" i="6"/>
  <c r="K28" i="6"/>
  <c r="I28" i="6"/>
  <c r="D28" i="6"/>
  <c r="C28" i="6"/>
  <c r="GX26" i="6"/>
  <c r="GW26" i="6"/>
  <c r="GV26" i="6"/>
  <c r="GU26" i="6"/>
  <c r="GT26" i="6"/>
  <c r="GS26" i="6"/>
  <c r="GR26" i="6"/>
  <c r="GQ26" i="6"/>
  <c r="GP26" i="6"/>
  <c r="GO26" i="6"/>
  <c r="GN26" i="6"/>
  <c r="GM26" i="6"/>
  <c r="GL26" i="6"/>
  <c r="GK26" i="6"/>
  <c r="GJ26" i="6"/>
  <c r="GI26" i="6"/>
  <c r="GH26" i="6"/>
  <c r="GG26" i="6"/>
  <c r="GF26" i="6"/>
  <c r="GE26" i="6"/>
  <c r="GD26" i="6"/>
  <c r="GC26" i="6"/>
  <c r="GB26" i="6"/>
  <c r="GA26" i="6"/>
  <c r="FZ26" i="6"/>
  <c r="FY26" i="6"/>
  <c r="FX26" i="6"/>
  <c r="FW26" i="6"/>
  <c r="FV26" i="6"/>
  <c r="FU26" i="6"/>
  <c r="FT26" i="6"/>
  <c r="FS26" i="6"/>
  <c r="FR26" i="6"/>
  <c r="FQ26" i="6"/>
  <c r="FP26" i="6"/>
  <c r="FO26" i="6"/>
  <c r="FN26" i="6"/>
  <c r="FM26" i="6"/>
  <c r="FL26" i="6"/>
  <c r="FK26" i="6"/>
  <c r="FJ26" i="6"/>
  <c r="FI26" i="6"/>
  <c r="FH26" i="6"/>
  <c r="FG26" i="6"/>
  <c r="FF26" i="6"/>
  <c r="FE26" i="6"/>
  <c r="FD26" i="6"/>
  <c r="FC26" i="6"/>
  <c r="FB26" i="6"/>
  <c r="FA26" i="6"/>
  <c r="EZ26" i="6"/>
  <c r="EY26" i="6"/>
  <c r="EX26" i="6"/>
  <c r="EW26" i="6"/>
  <c r="EV26" i="6"/>
  <c r="EU26" i="6"/>
  <c r="ET26" i="6"/>
  <c r="ES26" i="6"/>
  <c r="ER26" i="6"/>
  <c r="EQ26" i="6"/>
  <c r="EP26" i="6"/>
  <c r="EO26" i="6"/>
  <c r="EN26" i="6"/>
  <c r="EM26" i="6"/>
  <c r="EL26" i="6"/>
  <c r="EK26" i="6"/>
  <c r="EJ26" i="6"/>
  <c r="EI26" i="6"/>
  <c r="EH26" i="6"/>
  <c r="EG26" i="6"/>
  <c r="EF26" i="6"/>
  <c r="EE26" i="6"/>
  <c r="ED26" i="6"/>
  <c r="EC26" i="6"/>
  <c r="EB26" i="6"/>
  <c r="EA26" i="6"/>
  <c r="DZ26" i="6"/>
  <c r="DY26" i="6"/>
  <c r="DX26" i="6"/>
  <c r="DW26" i="6"/>
  <c r="DV26" i="6"/>
  <c r="DU26" i="6"/>
  <c r="DT26" i="6"/>
  <c r="DS26" i="6"/>
  <c r="DR26" i="6"/>
  <c r="DQ26" i="6"/>
  <c r="DP26" i="6"/>
  <c r="DO26" i="6"/>
  <c r="DN26" i="6"/>
  <c r="DM26" i="6"/>
  <c r="DL26" i="6"/>
  <c r="DK26" i="6"/>
  <c r="DJ26" i="6"/>
  <c r="DI26" i="6"/>
  <c r="DH26" i="6"/>
  <c r="DG26" i="6"/>
  <c r="DF26" i="6"/>
  <c r="DE26" i="6"/>
  <c r="DD26" i="6"/>
  <c r="DC26" i="6"/>
  <c r="DB26" i="6"/>
  <c r="DA26" i="6"/>
  <c r="CZ26" i="6"/>
  <c r="CY26" i="6"/>
  <c r="CX26" i="6"/>
  <c r="CW26" i="6"/>
  <c r="CV26" i="6"/>
  <c r="CU26" i="6"/>
  <c r="CT26" i="6"/>
  <c r="CS26" i="6"/>
  <c r="CR26" i="6"/>
  <c r="CQ26" i="6"/>
  <c r="CP26" i="6"/>
  <c r="CO26" i="6"/>
  <c r="CN26" i="6"/>
  <c r="CM26" i="6"/>
  <c r="CL26" i="6"/>
  <c r="CK26" i="6"/>
  <c r="BX26" i="6"/>
  <c r="BW26" i="6"/>
  <c r="BV26" i="6"/>
  <c r="BU26" i="6"/>
  <c r="BT26" i="6"/>
  <c r="BS26" i="6"/>
  <c r="BR26" i="6"/>
  <c r="BQ26" i="6"/>
  <c r="BP26" i="6"/>
  <c r="BO26" i="6"/>
  <c r="BN26" i="6"/>
  <c r="BM26" i="6"/>
  <c r="BL26" i="6"/>
  <c r="BK26" i="6"/>
  <c r="BJ26" i="6"/>
  <c r="BI26" i="6"/>
  <c r="BH26" i="6"/>
  <c r="BG26" i="6"/>
  <c r="BF26" i="6"/>
  <c r="BE26" i="6"/>
  <c r="AN26" i="6"/>
  <c r="AM26" i="6"/>
  <c r="AA26" i="6"/>
  <c r="Z26" i="6"/>
  <c r="G26" i="6"/>
  <c r="F26" i="6"/>
  <c r="E26" i="6"/>
  <c r="D26" i="6"/>
  <c r="C26" i="6"/>
  <c r="B26" i="6"/>
  <c r="D24" i="6"/>
  <c r="GX22" i="6"/>
  <c r="GW22" i="6"/>
  <c r="GV22" i="6"/>
  <c r="GU22" i="6"/>
  <c r="GT22" i="6"/>
  <c r="GS22" i="6"/>
  <c r="GR22" i="6"/>
  <c r="GQ22" i="6"/>
  <c r="GP22" i="6"/>
  <c r="GO22" i="6"/>
  <c r="GN22" i="6"/>
  <c r="GM22" i="6"/>
  <c r="GL22" i="6"/>
  <c r="GK22" i="6"/>
  <c r="GJ22" i="6"/>
  <c r="GI22" i="6"/>
  <c r="GH22" i="6"/>
  <c r="GG22" i="6"/>
  <c r="GF22" i="6"/>
  <c r="GE22" i="6"/>
  <c r="GD22" i="6"/>
  <c r="GC22" i="6"/>
  <c r="GB22" i="6"/>
  <c r="GA22" i="6"/>
  <c r="FZ22" i="6"/>
  <c r="FY22" i="6"/>
  <c r="FX22" i="6"/>
  <c r="FW22" i="6"/>
  <c r="FV22" i="6"/>
  <c r="FU22" i="6"/>
  <c r="FT22" i="6"/>
  <c r="FS22" i="6"/>
  <c r="FR22" i="6"/>
  <c r="FQ22" i="6"/>
  <c r="FP22" i="6"/>
  <c r="FO22" i="6"/>
  <c r="FN22" i="6"/>
  <c r="FM22" i="6"/>
  <c r="FL22" i="6"/>
  <c r="FK22" i="6"/>
  <c r="FJ22" i="6"/>
  <c r="FI22" i="6"/>
  <c r="FH22" i="6"/>
  <c r="FG22" i="6"/>
  <c r="FF22" i="6"/>
  <c r="FE22" i="6"/>
  <c r="FD22" i="6"/>
  <c r="FC22" i="6"/>
  <c r="FB22" i="6"/>
  <c r="FA22" i="6"/>
  <c r="EZ22" i="6"/>
  <c r="EY22" i="6"/>
  <c r="EX22" i="6"/>
  <c r="EW22" i="6"/>
  <c r="EV22" i="6"/>
  <c r="EU22" i="6"/>
  <c r="ET22" i="6"/>
  <c r="ES22" i="6"/>
  <c r="ER22" i="6"/>
  <c r="EQ22" i="6"/>
  <c r="EP22" i="6"/>
  <c r="EO22" i="6"/>
  <c r="EN22" i="6"/>
  <c r="EM22" i="6"/>
  <c r="EL22" i="6"/>
  <c r="EK22" i="6"/>
  <c r="EJ22" i="6"/>
  <c r="EI22" i="6"/>
  <c r="EH22" i="6"/>
  <c r="EG22" i="6"/>
  <c r="EF22" i="6"/>
  <c r="EE22" i="6"/>
  <c r="ED22" i="6"/>
  <c r="EC22" i="6"/>
  <c r="EB22" i="6"/>
  <c r="EA22" i="6"/>
  <c r="DZ22" i="6"/>
  <c r="DY22" i="6"/>
  <c r="DX22" i="6"/>
  <c r="DW22" i="6"/>
  <c r="DV22" i="6"/>
  <c r="DU22" i="6"/>
  <c r="DT22" i="6"/>
  <c r="DS22" i="6"/>
  <c r="DR22" i="6"/>
  <c r="DQ22" i="6"/>
  <c r="DP22" i="6"/>
  <c r="DO22" i="6"/>
  <c r="DN22" i="6"/>
  <c r="DM22" i="6"/>
  <c r="DL22" i="6"/>
  <c r="DK22" i="6"/>
  <c r="DJ22" i="6"/>
  <c r="DI22" i="6"/>
  <c r="DH22" i="6"/>
  <c r="DG22" i="6"/>
  <c r="DF22" i="6"/>
  <c r="DE22" i="6"/>
  <c r="DD22" i="6"/>
  <c r="DC22" i="6"/>
  <c r="DB22" i="6"/>
  <c r="DA22" i="6"/>
  <c r="CZ22" i="6"/>
  <c r="CY22" i="6"/>
  <c r="CX22" i="6"/>
  <c r="CW22" i="6"/>
  <c r="CV22" i="6"/>
  <c r="CU22" i="6"/>
  <c r="CT22" i="6"/>
  <c r="CS22" i="6"/>
  <c r="CR22" i="6"/>
  <c r="CQ22" i="6"/>
  <c r="CP22" i="6"/>
  <c r="CO22" i="6"/>
  <c r="CN22" i="6"/>
  <c r="CM22" i="6"/>
  <c r="CL22" i="6"/>
  <c r="CK22" i="6"/>
  <c r="CJ22" i="6"/>
  <c r="CI22" i="6"/>
  <c r="CH22" i="6"/>
  <c r="CG22" i="6"/>
  <c r="CF22" i="6"/>
  <c r="CE22" i="6"/>
  <c r="CD22" i="6"/>
  <c r="CC22" i="6"/>
  <c r="CB22" i="6"/>
  <c r="CA22" i="6"/>
  <c r="BZ22" i="6"/>
  <c r="BY22" i="6"/>
  <c r="BX22" i="6"/>
  <c r="BW22" i="6"/>
  <c r="BV22" i="6"/>
  <c r="BU22" i="6"/>
  <c r="BT22" i="6"/>
  <c r="BS22" i="6"/>
  <c r="BR22" i="6"/>
  <c r="BQ22" i="6"/>
  <c r="BP22" i="6"/>
  <c r="BO22" i="6"/>
  <c r="BN22" i="6"/>
  <c r="BM22" i="6"/>
  <c r="BL22" i="6"/>
  <c r="BK22" i="6"/>
  <c r="BJ22" i="6"/>
  <c r="BI22" i="6"/>
  <c r="BH22" i="6"/>
  <c r="BG22" i="6"/>
  <c r="BF22" i="6"/>
  <c r="BE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G22" i="6"/>
  <c r="A8" i="5" s="1"/>
  <c r="F22" i="6"/>
  <c r="E22" i="6"/>
  <c r="D22" i="6"/>
  <c r="C22" i="6"/>
  <c r="D20" i="6"/>
  <c r="GX18" i="6"/>
  <c r="GW18" i="6"/>
  <c r="GV18" i="6"/>
  <c r="GU18" i="6"/>
  <c r="GT18" i="6"/>
  <c r="GS18" i="6"/>
  <c r="GR18" i="6"/>
  <c r="GQ18" i="6"/>
  <c r="GP18" i="6"/>
  <c r="GO18" i="6"/>
  <c r="GN18" i="6"/>
  <c r="GM18" i="6"/>
  <c r="GL18" i="6"/>
  <c r="GK18" i="6"/>
  <c r="GJ18" i="6"/>
  <c r="GI18" i="6"/>
  <c r="GH18" i="6"/>
  <c r="GG18" i="6"/>
  <c r="GF18" i="6"/>
  <c r="GE18" i="6"/>
  <c r="GD18" i="6"/>
  <c r="GC18" i="6"/>
  <c r="GB18" i="6"/>
  <c r="GA18" i="6"/>
  <c r="FZ18" i="6"/>
  <c r="FY18" i="6"/>
  <c r="FX18" i="6"/>
  <c r="FW18" i="6"/>
  <c r="FV18" i="6"/>
  <c r="FU18" i="6"/>
  <c r="FT18" i="6"/>
  <c r="FS18" i="6"/>
  <c r="FR18" i="6"/>
  <c r="FQ18" i="6"/>
  <c r="FP18" i="6"/>
  <c r="FO18" i="6"/>
  <c r="FN18" i="6"/>
  <c r="FM18" i="6"/>
  <c r="FL18" i="6"/>
  <c r="FK18" i="6"/>
  <c r="FJ18" i="6"/>
  <c r="FI18" i="6"/>
  <c r="FH18" i="6"/>
  <c r="FG18" i="6"/>
  <c r="FF18" i="6"/>
  <c r="FE18" i="6"/>
  <c r="FD18" i="6"/>
  <c r="FC18" i="6"/>
  <c r="FB18" i="6"/>
  <c r="FA18" i="6"/>
  <c r="EZ18" i="6"/>
  <c r="EY18" i="6"/>
  <c r="EX18" i="6"/>
  <c r="EW18" i="6"/>
  <c r="EV18" i="6"/>
  <c r="EU18" i="6"/>
  <c r="ET18" i="6"/>
  <c r="ES18" i="6"/>
  <c r="ER18" i="6"/>
  <c r="EQ18" i="6"/>
  <c r="EP18" i="6"/>
  <c r="EO18" i="6"/>
  <c r="EN18" i="6"/>
  <c r="EM18" i="6"/>
  <c r="EL18" i="6"/>
  <c r="EK18" i="6"/>
  <c r="EJ18" i="6"/>
  <c r="EI18" i="6"/>
  <c r="EH18" i="6"/>
  <c r="EG18" i="6"/>
  <c r="EF18" i="6"/>
  <c r="EE18" i="6"/>
  <c r="ED18" i="6"/>
  <c r="EC18" i="6"/>
  <c r="EB18" i="6"/>
  <c r="EA18" i="6"/>
  <c r="DZ18" i="6"/>
  <c r="DY18" i="6"/>
  <c r="DX18" i="6"/>
  <c r="DW18" i="6"/>
  <c r="DV18" i="6"/>
  <c r="DU18" i="6"/>
  <c r="DT18" i="6"/>
  <c r="DS18" i="6"/>
  <c r="DR18" i="6"/>
  <c r="DQ18" i="6"/>
  <c r="DP18" i="6"/>
  <c r="DO18" i="6"/>
  <c r="DN18" i="6"/>
  <c r="DM18" i="6"/>
  <c r="DL18" i="6"/>
  <c r="DK18" i="6"/>
  <c r="DJ18" i="6"/>
  <c r="DI18" i="6"/>
  <c r="DH18" i="6"/>
  <c r="DG18" i="6"/>
  <c r="DF18" i="6"/>
  <c r="DE18" i="6"/>
  <c r="DD18" i="6"/>
  <c r="DC18" i="6"/>
  <c r="DB18" i="6"/>
  <c r="DA18" i="6"/>
  <c r="CZ18" i="6"/>
  <c r="CY18" i="6"/>
  <c r="CX18" i="6"/>
  <c r="CW18" i="6"/>
  <c r="CV18" i="6"/>
  <c r="CU18" i="6"/>
  <c r="CT18" i="6"/>
  <c r="CS18" i="6"/>
  <c r="CR18" i="6"/>
  <c r="CQ18" i="6"/>
  <c r="CP18" i="6"/>
  <c r="CO18" i="6"/>
  <c r="CN18" i="6"/>
  <c r="CM18" i="6"/>
  <c r="CL18" i="6"/>
  <c r="CK18" i="6"/>
  <c r="CJ18" i="6"/>
  <c r="CI18" i="6"/>
  <c r="CH18" i="6"/>
  <c r="CG18" i="6"/>
  <c r="CF18" i="6"/>
  <c r="CE18" i="6"/>
  <c r="CD18" i="6"/>
  <c r="CC18" i="6"/>
  <c r="CB18" i="6"/>
  <c r="CA18" i="6"/>
  <c r="BZ18" i="6"/>
  <c r="BY18" i="6"/>
  <c r="BX18" i="6"/>
  <c r="BW18" i="6"/>
  <c r="BV18" i="6"/>
  <c r="BU18" i="6"/>
  <c r="BT18" i="6"/>
  <c r="BS18" i="6"/>
  <c r="BR18" i="6"/>
  <c r="BQ18" i="6"/>
  <c r="BP18" i="6"/>
  <c r="BO18" i="6"/>
  <c r="BN18" i="6"/>
  <c r="BM18" i="6"/>
  <c r="BL18" i="6"/>
  <c r="BK18" i="6"/>
  <c r="BJ18" i="6"/>
  <c r="BI18" i="6"/>
  <c r="BH18" i="6"/>
  <c r="BG18" i="6"/>
  <c r="BF18" i="6"/>
  <c r="BE18" i="6"/>
  <c r="AN18" i="6"/>
  <c r="AM18" i="6"/>
  <c r="AL18" i="6"/>
  <c r="AK18" i="6"/>
  <c r="AJ18" i="6"/>
  <c r="AI18" i="6"/>
  <c r="AH18" i="6"/>
  <c r="AG18" i="6"/>
  <c r="AF18" i="6"/>
  <c r="AE18" i="6"/>
  <c r="AD18" i="6"/>
  <c r="AC18" i="6"/>
  <c r="AB18" i="6"/>
  <c r="AA18" i="6"/>
  <c r="Z18" i="6"/>
  <c r="G18" i="6"/>
  <c r="E18" i="6"/>
  <c r="D18" i="6"/>
  <c r="C18" i="6"/>
  <c r="B18" i="6"/>
  <c r="D12" i="6"/>
  <c r="F79" i="5"/>
  <c r="E79" i="5"/>
  <c r="D79" i="5"/>
  <c r="F78" i="5"/>
  <c r="E78" i="5"/>
  <c r="D78" i="5"/>
  <c r="F77" i="5"/>
  <c r="E77" i="5"/>
  <c r="D77" i="5"/>
  <c r="F76" i="5"/>
  <c r="E76" i="5"/>
  <c r="D76" i="5"/>
  <c r="F75" i="5"/>
  <c r="E80" i="5" s="1"/>
  <c r="E75" i="5"/>
  <c r="D75" i="5"/>
  <c r="F72" i="5"/>
  <c r="E72" i="5"/>
  <c r="D72" i="5"/>
  <c r="F71" i="5"/>
  <c r="E71" i="5"/>
  <c r="D71" i="5"/>
  <c r="F70" i="5"/>
  <c r="E70" i="5"/>
  <c r="D70" i="5"/>
  <c r="F69" i="5"/>
  <c r="E69" i="5"/>
  <c r="D69" i="5"/>
  <c r="F68" i="5"/>
  <c r="E68" i="5"/>
  <c r="D68" i="5"/>
  <c r="F67" i="5"/>
  <c r="E67" i="5"/>
  <c r="D67" i="5"/>
  <c r="F66" i="5"/>
  <c r="E66" i="5"/>
  <c r="D66" i="5"/>
  <c r="F65" i="5"/>
  <c r="E65" i="5"/>
  <c r="D65" i="5"/>
  <c r="F64" i="5"/>
  <c r="E64" i="5"/>
  <c r="D64" i="5"/>
  <c r="F63" i="5"/>
  <c r="E63" i="5"/>
  <c r="D63" i="5"/>
  <c r="F62" i="5"/>
  <c r="E73" i="5" s="1"/>
  <c r="E62" i="5"/>
  <c r="D62" i="5"/>
  <c r="A60" i="5"/>
  <c r="F58" i="5"/>
  <c r="E58" i="5"/>
  <c r="D58" i="5"/>
  <c r="F57" i="5"/>
  <c r="E57" i="5"/>
  <c r="D57" i="5"/>
  <c r="F56" i="5"/>
  <c r="E56" i="5"/>
  <c r="D56" i="5"/>
  <c r="F53" i="5"/>
  <c r="E53" i="5"/>
  <c r="D53" i="5"/>
  <c r="F52" i="5"/>
  <c r="E54" i="5" s="1"/>
  <c r="E52" i="5"/>
  <c r="D52" i="5"/>
  <c r="A50" i="5"/>
  <c r="F48" i="5"/>
  <c r="E48" i="5"/>
  <c r="D48" i="5"/>
  <c r="F47" i="5"/>
  <c r="E47" i="5"/>
  <c r="D47" i="5"/>
  <c r="F43" i="5"/>
  <c r="E43" i="5"/>
  <c r="D43" i="5"/>
  <c r="F42" i="5"/>
  <c r="E42" i="5"/>
  <c r="D42" i="5"/>
  <c r="F41" i="5"/>
  <c r="E41" i="5"/>
  <c r="D41" i="5"/>
  <c r="F40" i="5"/>
  <c r="E44" i="5" s="1"/>
  <c r="E40" i="5"/>
  <c r="D40" i="5"/>
  <c r="F37" i="5"/>
  <c r="E37" i="5"/>
  <c r="D37" i="5"/>
  <c r="F36" i="5"/>
  <c r="E36" i="5"/>
  <c r="D36" i="5"/>
  <c r="F35" i="5"/>
  <c r="E35" i="5"/>
  <c r="D35" i="5"/>
  <c r="F34" i="5"/>
  <c r="E34" i="5"/>
  <c r="D34" i="5"/>
  <c r="F33" i="5"/>
  <c r="E33" i="5"/>
  <c r="D33" i="5"/>
  <c r="F32" i="5"/>
  <c r="E32" i="5"/>
  <c r="D32" i="5"/>
  <c r="A30" i="5"/>
  <c r="F28" i="5"/>
  <c r="E29" i="5" s="1"/>
  <c r="E28" i="5"/>
  <c r="D28" i="5"/>
  <c r="F27" i="5"/>
  <c r="E27" i="5"/>
  <c r="D27" i="5"/>
  <c r="F26" i="5"/>
  <c r="E26" i="5"/>
  <c r="D26" i="5"/>
  <c r="F25" i="5"/>
  <c r="E25" i="5"/>
  <c r="D25" i="5"/>
  <c r="F22" i="5"/>
  <c r="E22" i="5"/>
  <c r="D22" i="5"/>
  <c r="F21" i="5"/>
  <c r="E21" i="5"/>
  <c r="D21" i="5"/>
  <c r="F20" i="5"/>
  <c r="E20" i="5"/>
  <c r="D20" i="5"/>
  <c r="F19" i="5"/>
  <c r="E19" i="5"/>
  <c r="D19" i="5"/>
  <c r="F18" i="5"/>
  <c r="E18" i="5"/>
  <c r="D18" i="5"/>
  <c r="F17" i="5"/>
  <c r="E17" i="5"/>
  <c r="D17" i="5"/>
  <c r="F16" i="5"/>
  <c r="E16" i="5"/>
  <c r="D16" i="5"/>
  <c r="F15" i="5"/>
  <c r="E15" i="5"/>
  <c r="D15" i="5"/>
  <c r="F14" i="5"/>
  <c r="E14" i="5"/>
  <c r="D14" i="5"/>
  <c r="F13" i="5"/>
  <c r="E13" i="5"/>
  <c r="D13" i="5"/>
  <c r="F12" i="5"/>
  <c r="E12" i="5"/>
  <c r="D12" i="5"/>
  <c r="F11" i="5"/>
  <c r="E23" i="5" s="1"/>
  <c r="E11" i="5"/>
  <c r="D11" i="5"/>
  <c r="A9" i="5"/>
  <c r="A3" i="5"/>
  <c r="F61" i="4"/>
  <c r="C61" i="4"/>
  <c r="B61" i="4"/>
  <c r="F60" i="4"/>
  <c r="C60" i="4"/>
  <c r="B60" i="4"/>
  <c r="G59" i="4"/>
  <c r="F59" i="4"/>
  <c r="E59" i="4"/>
  <c r="C59" i="4"/>
  <c r="B59" i="4"/>
  <c r="F58" i="4"/>
  <c r="C58" i="4"/>
  <c r="B58" i="4"/>
  <c r="F57" i="4"/>
  <c r="C57" i="4"/>
  <c r="B57" i="4"/>
  <c r="G56" i="4"/>
  <c r="F56" i="4"/>
  <c r="C56" i="4"/>
  <c r="B56" i="4"/>
  <c r="G55" i="4"/>
  <c r="F55" i="4"/>
  <c r="C55" i="4"/>
  <c r="B55" i="4"/>
  <c r="G54" i="4"/>
  <c r="F54" i="4"/>
  <c r="E54" i="4"/>
  <c r="C54" i="4"/>
  <c r="B54" i="4"/>
  <c r="G53" i="4"/>
  <c r="F53" i="4"/>
  <c r="E53" i="4"/>
  <c r="C53" i="4"/>
  <c r="B53" i="4"/>
  <c r="G52" i="4"/>
  <c r="F52" i="4"/>
  <c r="C52" i="4"/>
  <c r="B52" i="4"/>
  <c r="G51" i="4"/>
  <c r="F51" i="4"/>
  <c r="E51" i="4"/>
  <c r="C51" i="4"/>
  <c r="B51" i="4"/>
  <c r="G50" i="4"/>
  <c r="F50" i="4"/>
  <c r="E50" i="4"/>
  <c r="C50" i="4"/>
  <c r="B50" i="4"/>
  <c r="G49" i="4"/>
  <c r="F49" i="4"/>
  <c r="E49" i="4"/>
  <c r="C49" i="4"/>
  <c r="B49" i="4"/>
  <c r="A48" i="4"/>
  <c r="G47" i="4"/>
  <c r="F47" i="4"/>
  <c r="E47" i="4"/>
  <c r="C47" i="4"/>
  <c r="B47" i="4"/>
  <c r="G46" i="4"/>
  <c r="F46" i="4"/>
  <c r="E46" i="4"/>
  <c r="C46" i="4"/>
  <c r="B46" i="4"/>
  <c r="G45" i="4"/>
  <c r="F45" i="4"/>
  <c r="E45" i="4"/>
  <c r="C45" i="4"/>
  <c r="B45" i="4"/>
  <c r="G44" i="4"/>
  <c r="F44" i="4"/>
  <c r="E44" i="4"/>
  <c r="C44" i="4"/>
  <c r="B44" i="4"/>
  <c r="A43" i="4"/>
  <c r="G42" i="4"/>
  <c r="F42" i="4"/>
  <c r="E42" i="4"/>
  <c r="C42" i="4"/>
  <c r="B42" i="4"/>
  <c r="G41" i="4"/>
  <c r="F41" i="4"/>
  <c r="E41" i="4"/>
  <c r="C41" i="4"/>
  <c r="B41" i="4"/>
  <c r="A40" i="4"/>
  <c r="G39" i="4"/>
  <c r="F39" i="4"/>
  <c r="E39" i="4"/>
  <c r="C39" i="4"/>
  <c r="B39" i="4"/>
  <c r="F38" i="4"/>
  <c r="E38" i="4"/>
  <c r="C38" i="4"/>
  <c r="B38" i="4"/>
  <c r="G37" i="4"/>
  <c r="F37" i="4"/>
  <c r="E37" i="4"/>
  <c r="C37" i="4"/>
  <c r="B37" i="4"/>
  <c r="G36" i="4"/>
  <c r="F36" i="4"/>
  <c r="E36" i="4"/>
  <c r="C36" i="4"/>
  <c r="B36" i="4"/>
  <c r="G35" i="4"/>
  <c r="F35" i="4"/>
  <c r="E35" i="4"/>
  <c r="C35" i="4"/>
  <c r="B35" i="4"/>
  <c r="F34" i="4"/>
  <c r="E34" i="4"/>
  <c r="C34" i="4"/>
  <c r="B34" i="4"/>
  <c r="F33" i="4"/>
  <c r="E33" i="4"/>
  <c r="C33" i="4"/>
  <c r="B33" i="4"/>
  <c r="G32" i="4"/>
  <c r="F32" i="4"/>
  <c r="E32" i="4"/>
  <c r="C32" i="4"/>
  <c r="B32" i="4"/>
  <c r="A31" i="4"/>
  <c r="F30" i="4"/>
  <c r="E30" i="4"/>
  <c r="C30" i="4"/>
  <c r="B30" i="4"/>
  <c r="F29" i="4"/>
  <c r="C29" i="4"/>
  <c r="B29" i="4"/>
  <c r="G28" i="4"/>
  <c r="F28" i="4"/>
  <c r="E28" i="4"/>
  <c r="C28" i="4"/>
  <c r="B28" i="4"/>
  <c r="G27" i="4"/>
  <c r="F27" i="4"/>
  <c r="E27" i="4"/>
  <c r="C27" i="4"/>
  <c r="B27" i="4"/>
  <c r="G26" i="4"/>
  <c r="F26" i="4"/>
  <c r="E26" i="4"/>
  <c r="C26" i="4"/>
  <c r="B26" i="4"/>
  <c r="F25" i="4"/>
  <c r="C25" i="4"/>
  <c r="B25" i="4"/>
  <c r="F24" i="4"/>
  <c r="C24" i="4"/>
  <c r="B24" i="4"/>
  <c r="F23" i="4"/>
  <c r="C23" i="4"/>
  <c r="B23" i="4"/>
  <c r="G22" i="4"/>
  <c r="F22" i="4"/>
  <c r="C22" i="4"/>
  <c r="B22" i="4"/>
  <c r="G21" i="4"/>
  <c r="F21" i="4"/>
  <c r="E21" i="4"/>
  <c r="C21" i="4"/>
  <c r="B21" i="4"/>
  <c r="G20" i="4"/>
  <c r="F20" i="4"/>
  <c r="E20" i="4"/>
  <c r="C20" i="4"/>
  <c r="B20" i="4"/>
  <c r="A19" i="4"/>
  <c r="A18" i="4"/>
  <c r="B13" i="4"/>
  <c r="B12" i="4"/>
  <c r="A1" i="4"/>
  <c r="C62" i="3"/>
  <c r="B62" i="3"/>
  <c r="C61" i="3"/>
  <c r="B61" i="3"/>
  <c r="D60" i="3"/>
  <c r="C60" i="3"/>
  <c r="B60" i="3"/>
  <c r="C59" i="3"/>
  <c r="B59" i="3"/>
  <c r="C58" i="3"/>
  <c r="B58" i="3"/>
  <c r="C57" i="3"/>
  <c r="B57" i="3"/>
  <c r="C56" i="3"/>
  <c r="B56" i="3"/>
  <c r="D55" i="3"/>
  <c r="C55" i="3"/>
  <c r="B55" i="3"/>
  <c r="D54" i="3"/>
  <c r="C54" i="3"/>
  <c r="B54" i="3"/>
  <c r="C53" i="3"/>
  <c r="B53" i="3"/>
  <c r="D52" i="3"/>
  <c r="C52" i="3"/>
  <c r="B52" i="3"/>
  <c r="D51" i="3"/>
  <c r="C51" i="3"/>
  <c r="B51" i="3"/>
  <c r="D50" i="3"/>
  <c r="C50" i="3"/>
  <c r="B50" i="3"/>
  <c r="A49" i="3"/>
  <c r="D48" i="3"/>
  <c r="C48" i="3"/>
  <c r="B48" i="3"/>
  <c r="C47" i="3"/>
  <c r="B47" i="3"/>
  <c r="D46" i="3"/>
  <c r="C46" i="3"/>
  <c r="B46" i="3"/>
  <c r="D45" i="3"/>
  <c r="C45" i="3"/>
  <c r="B45" i="3"/>
  <c r="A44" i="3"/>
  <c r="D43" i="3"/>
  <c r="C43" i="3"/>
  <c r="B43" i="3"/>
  <c r="D42" i="3"/>
  <c r="C42" i="3"/>
  <c r="B42" i="3"/>
  <c r="A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A32" i="3"/>
  <c r="C31" i="3"/>
  <c r="B31" i="3"/>
  <c r="C30" i="3"/>
  <c r="B30" i="3"/>
  <c r="D29" i="3"/>
  <c r="C29" i="3"/>
  <c r="B29" i="3"/>
  <c r="D28" i="3"/>
  <c r="C28" i="3"/>
  <c r="B28" i="3"/>
  <c r="D27" i="3"/>
  <c r="C27" i="3"/>
  <c r="B27" i="3"/>
  <c r="C26" i="3"/>
  <c r="B26" i="3"/>
  <c r="C25" i="3"/>
  <c r="B25" i="3"/>
  <c r="C24" i="3"/>
  <c r="B24" i="3"/>
  <c r="C23" i="3"/>
  <c r="B23" i="3"/>
  <c r="D22" i="3"/>
  <c r="C22" i="3"/>
  <c r="B22" i="3"/>
  <c r="D21" i="3"/>
  <c r="C21" i="3"/>
  <c r="B21" i="3"/>
  <c r="A20" i="3"/>
  <c r="A19" i="3"/>
  <c r="A12" i="3"/>
  <c r="A11" i="3"/>
  <c r="A1" i="3"/>
  <c r="J258" i="2"/>
  <c r="J257" i="2"/>
  <c r="A253" i="2"/>
  <c r="AF250" i="2"/>
  <c r="A250" i="2"/>
  <c r="K247" i="2"/>
  <c r="H247" i="2"/>
  <c r="G247" i="2"/>
  <c r="E247" i="2"/>
  <c r="E246" i="2"/>
  <c r="E245" i="2"/>
  <c r="E244" i="2"/>
  <c r="I243" i="2"/>
  <c r="H243" i="2"/>
  <c r="F243" i="2"/>
  <c r="D243" i="2"/>
  <c r="C243" i="2"/>
  <c r="B243" i="2"/>
  <c r="I242" i="2"/>
  <c r="H242" i="2"/>
  <c r="F242" i="2"/>
  <c r="D242" i="2"/>
  <c r="C242" i="2"/>
  <c r="B242" i="2"/>
  <c r="I241" i="2"/>
  <c r="H241" i="2"/>
  <c r="G241" i="2"/>
  <c r="F241" i="2"/>
  <c r="J240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C237" i="2"/>
  <c r="V236" i="2"/>
  <c r="U236" i="2"/>
  <c r="S236" i="2"/>
  <c r="Q236" i="2"/>
  <c r="E236" i="2"/>
  <c r="D236" i="2"/>
  <c r="C236" i="2"/>
  <c r="B236" i="2"/>
  <c r="H234" i="2"/>
  <c r="G234" i="2"/>
  <c r="E234" i="2"/>
  <c r="E233" i="2"/>
  <c r="E232" i="2"/>
  <c r="E231" i="2"/>
  <c r="I230" i="2"/>
  <c r="H230" i="2"/>
  <c r="F230" i="2"/>
  <c r="D230" i="2"/>
  <c r="C230" i="2"/>
  <c r="B230" i="2"/>
  <c r="I229" i="2"/>
  <c r="H229" i="2"/>
  <c r="F229" i="2"/>
  <c r="D229" i="2"/>
  <c r="C229" i="2"/>
  <c r="B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D223" i="2"/>
  <c r="C223" i="2"/>
  <c r="B223" i="2"/>
  <c r="H221" i="2"/>
  <c r="G221" i="2"/>
  <c r="E221" i="2"/>
  <c r="E220" i="2"/>
  <c r="E219" i="2"/>
  <c r="E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S212" i="2"/>
  <c r="D212" i="2"/>
  <c r="C212" i="2"/>
  <c r="B212" i="2"/>
  <c r="I210" i="2"/>
  <c r="H210" i="2"/>
  <c r="G210" i="2"/>
  <c r="F210" i="2"/>
  <c r="J209" i="2"/>
  <c r="I211" i="2" s="1"/>
  <c r="P211" i="2" s="1"/>
  <c r="I209" i="2"/>
  <c r="H209" i="2"/>
  <c r="G209" i="2"/>
  <c r="F209" i="2"/>
  <c r="U208" i="2"/>
  <c r="T208" i="2"/>
  <c r="S208" i="2"/>
  <c r="Q208" i="2"/>
  <c r="E208" i="2"/>
  <c r="D208" i="2"/>
  <c r="C208" i="2"/>
  <c r="B208" i="2"/>
  <c r="I206" i="2"/>
  <c r="H206" i="2"/>
  <c r="G206" i="2"/>
  <c r="F206" i="2"/>
  <c r="J205" i="2"/>
  <c r="I207" i="2" s="1"/>
  <c r="P207" i="2" s="1"/>
  <c r="I205" i="2"/>
  <c r="H205" i="2"/>
  <c r="G205" i="2"/>
  <c r="F205" i="2"/>
  <c r="V204" i="2"/>
  <c r="U204" i="2"/>
  <c r="E204" i="2"/>
  <c r="D204" i="2"/>
  <c r="C204" i="2"/>
  <c r="B204" i="2"/>
  <c r="H202" i="2"/>
  <c r="G202" i="2"/>
  <c r="E202" i="2"/>
  <c r="E201" i="2"/>
  <c r="E200" i="2"/>
  <c r="I199" i="2"/>
  <c r="H199" i="2"/>
  <c r="G199" i="2"/>
  <c r="F199" i="2"/>
  <c r="V197" i="2"/>
  <c r="D197" i="2"/>
  <c r="C197" i="2"/>
  <c r="B197" i="2"/>
  <c r="H195" i="2"/>
  <c r="G195" i="2"/>
  <c r="E195" i="2"/>
  <c r="E194" i="2"/>
  <c r="E193" i="2"/>
  <c r="E192" i="2"/>
  <c r="I191" i="2"/>
  <c r="H191" i="2"/>
  <c r="G191" i="2"/>
  <c r="F191" i="2"/>
  <c r="I190" i="2"/>
  <c r="H190" i="2"/>
  <c r="G190" i="2"/>
  <c r="F190" i="2"/>
  <c r="J189" i="2"/>
  <c r="I189" i="2"/>
  <c r="H189" i="2"/>
  <c r="G189" i="2"/>
  <c r="F189" i="2"/>
  <c r="C188" i="2"/>
  <c r="U187" i="2"/>
  <c r="S187" i="2"/>
  <c r="E187" i="2"/>
  <c r="D187" i="2"/>
  <c r="C187" i="2"/>
  <c r="B187" i="2"/>
  <c r="K185" i="2"/>
  <c r="H185" i="2"/>
  <c r="G185" i="2"/>
  <c r="E185" i="2"/>
  <c r="E184" i="2"/>
  <c r="E183" i="2"/>
  <c r="I182" i="2"/>
  <c r="H182" i="2"/>
  <c r="G182" i="2"/>
  <c r="F182" i="2"/>
  <c r="C181" i="2"/>
  <c r="V180" i="2"/>
  <c r="U180" i="2"/>
  <c r="S180" i="2"/>
  <c r="Q180" i="2"/>
  <c r="E180" i="2"/>
  <c r="D180" i="2"/>
  <c r="C180" i="2"/>
  <c r="B180" i="2"/>
  <c r="K178" i="2"/>
  <c r="H178" i="2"/>
  <c r="G178" i="2"/>
  <c r="E178" i="2"/>
  <c r="E177" i="2"/>
  <c r="E176" i="2"/>
  <c r="E175" i="2"/>
  <c r="J174" i="2"/>
  <c r="I174" i="2"/>
  <c r="H174" i="2"/>
  <c r="G174" i="2"/>
  <c r="F174" i="2"/>
  <c r="I173" i="2"/>
  <c r="H173" i="2"/>
  <c r="G173" i="2"/>
  <c r="F173" i="2"/>
  <c r="J172" i="2"/>
  <c r="I172" i="2"/>
  <c r="H172" i="2"/>
  <c r="G172" i="2"/>
  <c r="F172" i="2"/>
  <c r="C171" i="2"/>
  <c r="V170" i="2"/>
  <c r="J177" i="2" s="1"/>
  <c r="U170" i="2"/>
  <c r="S170" i="2"/>
  <c r="Q170" i="2"/>
  <c r="E170" i="2"/>
  <c r="D170" i="2"/>
  <c r="C170" i="2"/>
  <c r="B170" i="2"/>
  <c r="A169" i="2"/>
  <c r="A166" i="2"/>
  <c r="H163" i="2"/>
  <c r="G163" i="2"/>
  <c r="E163" i="2"/>
  <c r="E162" i="2"/>
  <c r="E161" i="2"/>
  <c r="I160" i="2"/>
  <c r="H160" i="2"/>
  <c r="G160" i="2"/>
  <c r="F160" i="2"/>
  <c r="I159" i="2"/>
  <c r="H159" i="2"/>
  <c r="G159" i="2"/>
  <c r="F159" i="2"/>
  <c r="C158" i="2"/>
  <c r="U157" i="2"/>
  <c r="S157" i="2"/>
  <c r="Q157" i="2"/>
  <c r="E157" i="2"/>
  <c r="D157" i="2"/>
  <c r="C157" i="2"/>
  <c r="B157" i="2"/>
  <c r="H155" i="2"/>
  <c r="G155" i="2"/>
  <c r="E155" i="2"/>
  <c r="E154" i="2"/>
  <c r="E153" i="2"/>
  <c r="I152" i="2"/>
  <c r="H152" i="2"/>
  <c r="G152" i="2"/>
  <c r="F152" i="2"/>
  <c r="I151" i="2"/>
  <c r="H151" i="2"/>
  <c r="G151" i="2"/>
  <c r="F151" i="2"/>
  <c r="D149" i="2"/>
  <c r="C149" i="2"/>
  <c r="B149" i="2"/>
  <c r="H147" i="2"/>
  <c r="G147" i="2"/>
  <c r="E147" i="2"/>
  <c r="E146" i="2"/>
  <c r="E145" i="2"/>
  <c r="I144" i="2"/>
  <c r="H144" i="2"/>
  <c r="G144" i="2"/>
  <c r="F144" i="2"/>
  <c r="I143" i="2"/>
  <c r="H143" i="2"/>
  <c r="G143" i="2"/>
  <c r="F143" i="2"/>
  <c r="C142" i="2"/>
  <c r="U141" i="2"/>
  <c r="S141" i="2"/>
  <c r="Q141" i="2"/>
  <c r="E141" i="2"/>
  <c r="D141" i="2"/>
  <c r="C141" i="2"/>
  <c r="B141" i="2"/>
  <c r="H139" i="2"/>
  <c r="G139" i="2"/>
  <c r="E139" i="2"/>
  <c r="E138" i="2"/>
  <c r="E137" i="2"/>
  <c r="E136" i="2"/>
  <c r="J135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J132" i="2"/>
  <c r="I132" i="2"/>
  <c r="H132" i="2"/>
  <c r="G132" i="2"/>
  <c r="F132" i="2"/>
  <c r="C131" i="2"/>
  <c r="V130" i="2"/>
  <c r="J138" i="2" s="1"/>
  <c r="U130" i="2"/>
  <c r="S130" i="2"/>
  <c r="Q130" i="2"/>
  <c r="E130" i="2"/>
  <c r="D130" i="2"/>
  <c r="C130" i="2"/>
  <c r="B130" i="2"/>
  <c r="A129" i="2"/>
  <c r="K122" i="2"/>
  <c r="H122" i="2"/>
  <c r="G122" i="2"/>
  <c r="E122" i="2"/>
  <c r="E121" i="2"/>
  <c r="E120" i="2"/>
  <c r="I119" i="2"/>
  <c r="H119" i="2"/>
  <c r="G119" i="2"/>
  <c r="F119" i="2"/>
  <c r="J118" i="2"/>
  <c r="I118" i="2"/>
  <c r="H118" i="2"/>
  <c r="G118" i="2"/>
  <c r="F118" i="2"/>
  <c r="C117" i="2"/>
  <c r="U116" i="2"/>
  <c r="S116" i="2"/>
  <c r="Q116" i="2"/>
  <c r="E116" i="2"/>
  <c r="D116" i="2"/>
  <c r="C116" i="2"/>
  <c r="B116" i="2"/>
  <c r="H114" i="2"/>
  <c r="G114" i="2"/>
  <c r="E114" i="2"/>
  <c r="E113" i="2"/>
  <c r="E112" i="2"/>
  <c r="S111" i="2"/>
  <c r="Q111" i="2"/>
  <c r="I111" i="2"/>
  <c r="H111" i="2"/>
  <c r="F111" i="2"/>
  <c r="E111" i="2"/>
  <c r="D111" i="2"/>
  <c r="C111" i="2"/>
  <c r="B111" i="2"/>
  <c r="I110" i="2"/>
  <c r="H110" i="2"/>
  <c r="G110" i="2"/>
  <c r="F110" i="2"/>
  <c r="I109" i="2"/>
  <c r="H109" i="2"/>
  <c r="G109" i="2"/>
  <c r="F109" i="2"/>
  <c r="C108" i="2"/>
  <c r="V107" i="2"/>
  <c r="U107" i="2"/>
  <c r="E107" i="2"/>
  <c r="D107" i="2"/>
  <c r="C107" i="2"/>
  <c r="B107" i="2"/>
  <c r="I105" i="2"/>
  <c r="H105" i="2"/>
  <c r="G105" i="2"/>
  <c r="F105" i="2"/>
  <c r="J104" i="2"/>
  <c r="I106" i="2" s="1"/>
  <c r="I104" i="2"/>
  <c r="H104" i="2"/>
  <c r="G104" i="2"/>
  <c r="F104" i="2"/>
  <c r="U103" i="2"/>
  <c r="S103" i="2"/>
  <c r="Q103" i="2"/>
  <c r="E103" i="2"/>
  <c r="D103" i="2"/>
  <c r="C103" i="2"/>
  <c r="B103" i="2"/>
  <c r="I101" i="2"/>
  <c r="H101" i="2"/>
  <c r="G101" i="2"/>
  <c r="F101" i="2"/>
  <c r="J100" i="2"/>
  <c r="I102" i="2" s="1"/>
  <c r="I100" i="2"/>
  <c r="H100" i="2"/>
  <c r="G100" i="2"/>
  <c r="F100" i="2"/>
  <c r="U99" i="2"/>
  <c r="S99" i="2"/>
  <c r="R99" i="2"/>
  <c r="Q99" i="2"/>
  <c r="E99" i="2"/>
  <c r="D99" i="2"/>
  <c r="C99" i="2"/>
  <c r="B99" i="2"/>
  <c r="K97" i="2"/>
  <c r="H97" i="2"/>
  <c r="G97" i="2"/>
  <c r="E97" i="2"/>
  <c r="E96" i="2"/>
  <c r="E95" i="2"/>
  <c r="E94" i="2"/>
  <c r="U93" i="2"/>
  <c r="S93" i="2"/>
  <c r="Q93" i="2"/>
  <c r="I93" i="2"/>
  <c r="H93" i="2"/>
  <c r="F93" i="2"/>
  <c r="E93" i="2"/>
  <c r="D93" i="2"/>
  <c r="C93" i="2"/>
  <c r="B93" i="2"/>
  <c r="S92" i="2"/>
  <c r="R92" i="2"/>
  <c r="Q92" i="2"/>
  <c r="I92" i="2"/>
  <c r="H92" i="2"/>
  <c r="F92" i="2"/>
  <c r="E92" i="2"/>
  <c r="D92" i="2"/>
  <c r="C92" i="2"/>
  <c r="B92" i="2"/>
  <c r="I91" i="2"/>
  <c r="H91" i="2"/>
  <c r="G91" i="2"/>
  <c r="F91" i="2"/>
  <c r="J90" i="2"/>
  <c r="I90" i="2"/>
  <c r="H90" i="2"/>
  <c r="G90" i="2"/>
  <c r="F90" i="2"/>
  <c r="I89" i="2"/>
  <c r="H89" i="2"/>
  <c r="G89" i="2"/>
  <c r="F89" i="2"/>
  <c r="I88" i="2"/>
  <c r="H88" i="2"/>
  <c r="G88" i="2"/>
  <c r="F88" i="2"/>
  <c r="V87" i="2"/>
  <c r="U87" i="2"/>
  <c r="S87" i="2"/>
  <c r="Q87" i="2"/>
  <c r="E87" i="2"/>
  <c r="D87" i="2"/>
  <c r="C87" i="2"/>
  <c r="B87" i="2"/>
  <c r="AF83" i="2"/>
  <c r="A83" i="2"/>
  <c r="H80" i="2"/>
  <c r="G80" i="2"/>
  <c r="E80" i="2"/>
  <c r="E79" i="2"/>
  <c r="E78" i="2"/>
  <c r="E77" i="2"/>
  <c r="I76" i="2"/>
  <c r="H76" i="2"/>
  <c r="F76" i="2"/>
  <c r="D76" i="2"/>
  <c r="C76" i="2"/>
  <c r="B76" i="2"/>
  <c r="I75" i="2"/>
  <c r="H75" i="2"/>
  <c r="F75" i="2"/>
  <c r="D75" i="2"/>
  <c r="C75" i="2"/>
  <c r="B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C70" i="2"/>
  <c r="U69" i="2"/>
  <c r="S69" i="2"/>
  <c r="Q69" i="2"/>
  <c r="E69" i="2"/>
  <c r="D69" i="2"/>
  <c r="C69" i="2"/>
  <c r="B69" i="2"/>
  <c r="I67" i="2"/>
  <c r="H67" i="2"/>
  <c r="G67" i="2"/>
  <c r="F67" i="2"/>
  <c r="J66" i="2"/>
  <c r="I68" i="2" s="1"/>
  <c r="P68" i="2" s="1"/>
  <c r="I66" i="2"/>
  <c r="H66" i="2"/>
  <c r="G66" i="2"/>
  <c r="F66" i="2"/>
  <c r="V65" i="2"/>
  <c r="U65" i="2"/>
  <c r="S65" i="2"/>
  <c r="Q65" i="2"/>
  <c r="E65" i="2"/>
  <c r="D65" i="2"/>
  <c r="C65" i="2"/>
  <c r="B65" i="2"/>
  <c r="I63" i="2"/>
  <c r="H63" i="2"/>
  <c r="G63" i="2"/>
  <c r="F63" i="2"/>
  <c r="I62" i="2"/>
  <c r="H62" i="2"/>
  <c r="G62" i="2"/>
  <c r="F62" i="2"/>
  <c r="U61" i="2"/>
  <c r="T61" i="2"/>
  <c r="S61" i="2"/>
  <c r="Q61" i="2"/>
  <c r="E61" i="2"/>
  <c r="D61" i="2"/>
  <c r="C61" i="2"/>
  <c r="B61" i="2"/>
  <c r="H59" i="2"/>
  <c r="G59" i="2"/>
  <c r="E59" i="2"/>
  <c r="E58" i="2"/>
  <c r="E57" i="2"/>
  <c r="E56" i="2"/>
  <c r="I55" i="2"/>
  <c r="H55" i="2"/>
  <c r="F55" i="2"/>
  <c r="D55" i="2"/>
  <c r="C55" i="2"/>
  <c r="B55" i="2"/>
  <c r="I54" i="2"/>
  <c r="H54" i="2"/>
  <c r="F54" i="2"/>
  <c r="D54" i="2"/>
  <c r="C54" i="2"/>
  <c r="B54" i="2"/>
  <c r="I53" i="2"/>
  <c r="H53" i="2"/>
  <c r="F53" i="2"/>
  <c r="D53" i="2"/>
  <c r="C53" i="2"/>
  <c r="B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C48" i="2"/>
  <c r="U47" i="2"/>
  <c r="S47" i="2"/>
  <c r="Q47" i="2"/>
  <c r="E47" i="2"/>
  <c r="D47" i="2"/>
  <c r="C47" i="2"/>
  <c r="B47" i="2"/>
  <c r="H45" i="2"/>
  <c r="G45" i="2"/>
  <c r="E45" i="2"/>
  <c r="E44" i="2"/>
  <c r="E43" i="2"/>
  <c r="E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C37" i="2"/>
  <c r="U36" i="2"/>
  <c r="S36" i="2"/>
  <c r="Q36" i="2"/>
  <c r="E36" i="2"/>
  <c r="D36" i="2"/>
  <c r="C36" i="2"/>
  <c r="B36" i="2"/>
  <c r="H34" i="2"/>
  <c r="G34" i="2"/>
  <c r="E34" i="2"/>
  <c r="E33" i="2"/>
  <c r="E32" i="2"/>
  <c r="E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C26" i="2"/>
  <c r="U25" i="2"/>
  <c r="S25" i="2"/>
  <c r="Q25" i="2"/>
  <c r="E25" i="2"/>
  <c r="D25" i="2"/>
  <c r="C25" i="2"/>
  <c r="B25" i="2"/>
  <c r="A24" i="2"/>
  <c r="A22" i="2"/>
  <c r="F205" i="6" l="1"/>
  <c r="BC182" i="6"/>
  <c r="GK29" i="6"/>
  <c r="J40" i="2"/>
  <c r="BB26" i="6"/>
  <c r="F53" i="6"/>
  <c r="F253" i="6"/>
  <c r="BC221" i="6"/>
  <c r="BC267" i="6"/>
  <c r="BC22" i="6" s="1"/>
  <c r="BC26" i="6"/>
  <c r="CZ224" i="6"/>
  <c r="Y224" i="6" s="1"/>
  <c r="T180" i="2" s="1"/>
  <c r="J184" i="2" s="1"/>
  <c r="J182" i="2"/>
  <c r="F262" i="6"/>
  <c r="BD221" i="6"/>
  <c r="BD26" i="6"/>
  <c r="F97" i="6"/>
  <c r="AO82" i="6"/>
  <c r="J217" i="2"/>
  <c r="CC82" i="6"/>
  <c r="AT93" i="6"/>
  <c r="AO135" i="6"/>
  <c r="F144" i="6"/>
  <c r="F156" i="6"/>
  <c r="BC135" i="6"/>
  <c r="J241" i="2"/>
  <c r="F165" i="6"/>
  <c r="BD135" i="6"/>
  <c r="GK184" i="6"/>
  <c r="J134" i="2"/>
  <c r="U186" i="6"/>
  <c r="K155" i="2" s="1"/>
  <c r="E149" i="2"/>
  <c r="C198" i="2"/>
  <c r="Q204" i="2"/>
  <c r="E55" i="4"/>
  <c r="Q29" i="6"/>
  <c r="J39" i="2" s="1"/>
  <c r="T29" i="6"/>
  <c r="Q30" i="6"/>
  <c r="J50" i="2" s="1"/>
  <c r="AD37" i="6"/>
  <c r="CB93" i="6"/>
  <c r="CZ85" i="6"/>
  <c r="Y85" i="6" s="1"/>
  <c r="T92" i="2" s="1"/>
  <c r="AD88" i="6"/>
  <c r="T89" i="6"/>
  <c r="GX91" i="6"/>
  <c r="BB93" i="6"/>
  <c r="CM135" i="6"/>
  <c r="CC189" i="6"/>
  <c r="Q185" i="6"/>
  <c r="V186" i="6"/>
  <c r="CS187" i="6"/>
  <c r="T225" i="6"/>
  <c r="U229" i="6"/>
  <c r="K221" i="2" s="1"/>
  <c r="V230" i="6"/>
  <c r="U111" i="2"/>
  <c r="Q149" i="2"/>
  <c r="S204" i="2"/>
  <c r="U212" i="2"/>
  <c r="D57" i="3"/>
  <c r="E52" i="4"/>
  <c r="BY40" i="6"/>
  <c r="AP40" i="6" s="1"/>
  <c r="AP26" i="6" s="1"/>
  <c r="S29" i="6"/>
  <c r="J38" i="2" s="1"/>
  <c r="U89" i="6"/>
  <c r="K114" i="2" s="1"/>
  <c r="CS91" i="6"/>
  <c r="BB140" i="6"/>
  <c r="W184" i="6"/>
  <c r="GX184" i="6"/>
  <c r="S185" i="6"/>
  <c r="AD187" i="6"/>
  <c r="BD189" i="6"/>
  <c r="BD182" i="6" s="1"/>
  <c r="U225" i="6"/>
  <c r="K195" i="2" s="1"/>
  <c r="GX230" i="6"/>
  <c r="AB233" i="6"/>
  <c r="I235" i="6"/>
  <c r="W235" i="6" s="1"/>
  <c r="GX235" i="6"/>
  <c r="Q76" i="2"/>
  <c r="V93" i="2"/>
  <c r="Q107" i="2"/>
  <c r="S149" i="2"/>
  <c r="E223" i="2"/>
  <c r="T30" i="6"/>
  <c r="AD38" i="6"/>
  <c r="CS38" i="6"/>
  <c r="V76" i="2" s="1"/>
  <c r="BZ82" i="6"/>
  <c r="U85" i="6"/>
  <c r="BD93" i="6"/>
  <c r="BD267" i="6" s="1"/>
  <c r="AG140" i="6"/>
  <c r="BZ140" i="6"/>
  <c r="T184" i="6"/>
  <c r="P186" i="6"/>
  <c r="GX186" i="6"/>
  <c r="Q187" i="6"/>
  <c r="AO221" i="6"/>
  <c r="T224" i="6"/>
  <c r="W229" i="6"/>
  <c r="Q233" i="6"/>
  <c r="J239" i="2" s="1"/>
  <c r="Q234" i="6"/>
  <c r="CS235" i="6"/>
  <c r="V243" i="2" s="1"/>
  <c r="V36" i="2"/>
  <c r="J44" i="2" s="1"/>
  <c r="S76" i="2"/>
  <c r="V103" i="2"/>
  <c r="S107" i="2"/>
  <c r="U149" i="2"/>
  <c r="E197" i="2"/>
  <c r="C213" i="2"/>
  <c r="Q223" i="2"/>
  <c r="D31" i="3"/>
  <c r="V28" i="6"/>
  <c r="AB34" i="6"/>
  <c r="CS34" i="6"/>
  <c r="AB35" i="6"/>
  <c r="V90" i="6"/>
  <c r="W89" i="6"/>
  <c r="CZ138" i="6"/>
  <c r="Y138" i="6" s="1"/>
  <c r="BB182" i="6"/>
  <c r="T186" i="6"/>
  <c r="S187" i="6"/>
  <c r="J159" i="2" s="1"/>
  <c r="W225" i="6"/>
  <c r="P230" i="6"/>
  <c r="J228" i="2" s="1"/>
  <c r="S233" i="6"/>
  <c r="J238" i="2" s="1"/>
  <c r="I234" i="6"/>
  <c r="V234" i="6" s="1"/>
  <c r="S234" i="6"/>
  <c r="CP30" i="6"/>
  <c r="O30" i="6" s="1"/>
  <c r="J52" i="2"/>
  <c r="U76" i="2"/>
  <c r="C150" i="2"/>
  <c r="Q197" i="2"/>
  <c r="S223" i="2"/>
  <c r="AD34" i="6"/>
  <c r="AD84" i="6"/>
  <c r="AB84" i="6" s="1"/>
  <c r="W85" i="6"/>
  <c r="CZ87" i="6"/>
  <c r="Y87" i="6" s="1"/>
  <c r="T99" i="2" s="1"/>
  <c r="CC140" i="6"/>
  <c r="GX185" i="6"/>
  <c r="Q186" i="6"/>
  <c r="T187" i="6"/>
  <c r="BZ237" i="6"/>
  <c r="CS225" i="6"/>
  <c r="T226" i="6"/>
  <c r="AD228" i="6"/>
  <c r="AB228" i="6" s="1"/>
  <c r="CS228" i="6"/>
  <c r="AD229" i="6"/>
  <c r="AB229" i="6" s="1"/>
  <c r="CS229" i="6"/>
  <c r="Q235" i="6"/>
  <c r="U92" i="2"/>
  <c r="S197" i="2"/>
  <c r="E212" i="2"/>
  <c r="U223" i="2"/>
  <c r="D53" i="3"/>
  <c r="E56" i="4"/>
  <c r="CS28" i="6"/>
  <c r="AJ140" i="6"/>
  <c r="U187" i="6"/>
  <c r="K163" i="2" s="1"/>
  <c r="CB237" i="6"/>
  <c r="U226" i="6"/>
  <c r="K202" i="2" s="1"/>
  <c r="Q229" i="6"/>
  <c r="J215" i="2" s="1"/>
  <c r="U234" i="6"/>
  <c r="S235" i="6"/>
  <c r="E76" i="2"/>
  <c r="V92" i="2"/>
  <c r="Q187" i="2"/>
  <c r="U197" i="2"/>
  <c r="Q212" i="2"/>
  <c r="D56" i="3"/>
  <c r="P28" i="6"/>
  <c r="J30" i="2" s="1"/>
  <c r="CS30" i="6"/>
  <c r="CR32" i="6"/>
  <c r="CY34" i="6"/>
  <c r="X34" i="6" s="1"/>
  <c r="R61" i="2" s="1"/>
  <c r="BY93" i="6"/>
  <c r="P85" i="6"/>
  <c r="GX86" i="6"/>
  <c r="R89" i="6"/>
  <c r="GK89" i="6" s="1"/>
  <c r="P90" i="6"/>
  <c r="AB137" i="6"/>
  <c r="AB225" i="6"/>
  <c r="GX226" i="6"/>
  <c r="S229" i="6"/>
  <c r="J96" i="2"/>
  <c r="P64" i="2"/>
  <c r="K64" i="2"/>
  <c r="K102" i="2"/>
  <c r="P102" i="2"/>
  <c r="CZ28" i="6"/>
  <c r="Y28" i="6" s="1"/>
  <c r="CY28" i="6"/>
  <c r="X28" i="6" s="1"/>
  <c r="AD33" i="6"/>
  <c r="AB33" i="6" s="1"/>
  <c r="CS33" i="6"/>
  <c r="F106" i="6"/>
  <c r="BB82" i="6"/>
  <c r="CY225" i="6"/>
  <c r="X225" i="6" s="1"/>
  <c r="R187" i="2" s="1"/>
  <c r="J192" i="2" s="1"/>
  <c r="CZ225" i="6"/>
  <c r="Y225" i="6" s="1"/>
  <c r="T187" i="2" s="1"/>
  <c r="J193" i="2" s="1"/>
  <c r="P106" i="2"/>
  <c r="K106" i="2"/>
  <c r="K68" i="2"/>
  <c r="K211" i="2"/>
  <c r="E59" i="5"/>
  <c r="CZ30" i="6"/>
  <c r="Y30" i="6" s="1"/>
  <c r="T47" i="2" s="1"/>
  <c r="CY30" i="6"/>
  <c r="X30" i="6" s="1"/>
  <c r="R47" i="2" s="1"/>
  <c r="CZ88" i="6"/>
  <c r="Y88" i="6" s="1"/>
  <c r="T103" i="2" s="1"/>
  <c r="CY88" i="6"/>
  <c r="X88" i="6" s="1"/>
  <c r="R103" i="2" s="1"/>
  <c r="CP91" i="6"/>
  <c r="O91" i="6" s="1"/>
  <c r="J119" i="2"/>
  <c r="CZ29" i="6"/>
  <c r="Y29" i="6" s="1"/>
  <c r="T36" i="2" s="1"/>
  <c r="J43" i="2" s="1"/>
  <c r="CY29" i="6"/>
  <c r="X29" i="6" s="1"/>
  <c r="R36" i="2" s="1"/>
  <c r="J42" i="2" s="1"/>
  <c r="K207" i="2"/>
  <c r="E49" i="5"/>
  <c r="E38" i="5"/>
  <c r="CP29" i="6"/>
  <c r="O29" i="6" s="1"/>
  <c r="CX23" i="8"/>
  <c r="CX15" i="8"/>
  <c r="CX16" i="8"/>
  <c r="CX17" i="8"/>
  <c r="CX18" i="8"/>
  <c r="CX19" i="8"/>
  <c r="CX20" i="8"/>
  <c r="CX21" i="8"/>
  <c r="CX22" i="8"/>
  <c r="CX14" i="8"/>
  <c r="I31" i="6"/>
  <c r="T31" i="6" s="1"/>
  <c r="U30" i="6"/>
  <c r="K59" i="2" s="1"/>
  <c r="I32" i="6"/>
  <c r="W32" i="6" s="1"/>
  <c r="I33" i="6"/>
  <c r="T33" i="6" s="1"/>
  <c r="D23" i="3"/>
  <c r="E22" i="4"/>
  <c r="CR33" i="6"/>
  <c r="CP35" i="6"/>
  <c r="O35" i="6" s="1"/>
  <c r="BZ40" i="6"/>
  <c r="AB32" i="6"/>
  <c r="W36" i="6"/>
  <c r="V38" i="6"/>
  <c r="AF93" i="6"/>
  <c r="CZ84" i="6"/>
  <c r="Y84" i="6" s="1"/>
  <c r="AD90" i="6"/>
  <c r="CS90" i="6"/>
  <c r="CZ91" i="6"/>
  <c r="Y91" i="6" s="1"/>
  <c r="T116" i="2" s="1"/>
  <c r="J121" i="2" s="1"/>
  <c r="CY91" i="6"/>
  <c r="X91" i="6" s="1"/>
  <c r="R116" i="2" s="1"/>
  <c r="J120" i="2" s="1"/>
  <c r="T140" i="6"/>
  <c r="AG135" i="6"/>
  <c r="CG140" i="6"/>
  <c r="BZ135" i="6"/>
  <c r="AQ140" i="6"/>
  <c r="BY26" i="6"/>
  <c r="GX36" i="6"/>
  <c r="W38" i="6"/>
  <c r="GK84" i="6"/>
  <c r="AI93" i="6"/>
  <c r="CJ93" i="6"/>
  <c r="S90" i="6"/>
  <c r="W90" i="6"/>
  <c r="AJ93" i="6" s="1"/>
  <c r="CZ186" i="6"/>
  <c r="Y186" i="6" s="1"/>
  <c r="T149" i="2" s="1"/>
  <c r="J154" i="2" s="1"/>
  <c r="CY186" i="6"/>
  <c r="X186" i="6" s="1"/>
  <c r="R149" i="2" s="1"/>
  <c r="J153" i="2" s="1"/>
  <c r="CB40" i="6"/>
  <c r="CX9" i="8"/>
  <c r="CX10" i="8"/>
  <c r="CX11" i="8"/>
  <c r="CX12" i="8"/>
  <c r="CX13" i="8"/>
  <c r="CS32" i="6"/>
  <c r="CQ34" i="6"/>
  <c r="P34" i="6" s="1"/>
  <c r="CP34" i="6" s="1"/>
  <c r="O34" i="6" s="1"/>
  <c r="CY35" i="6"/>
  <c r="X35" i="6" s="1"/>
  <c r="R65" i="2" s="1"/>
  <c r="T36" i="6"/>
  <c r="U37" i="6"/>
  <c r="P38" i="6"/>
  <c r="CY84" i="6"/>
  <c r="X84" i="6" s="1"/>
  <c r="CG93" i="6"/>
  <c r="CZ187" i="6"/>
  <c r="Y187" i="6" s="1"/>
  <c r="T157" i="2" s="1"/>
  <c r="J162" i="2" s="1"/>
  <c r="CY187" i="6"/>
  <c r="X187" i="6" s="1"/>
  <c r="R157" i="2" s="1"/>
  <c r="J161" i="2" s="1"/>
  <c r="AO182" i="6"/>
  <c r="F193" i="6"/>
  <c r="CC40" i="6"/>
  <c r="CX31" i="8"/>
  <c r="CX32" i="8"/>
  <c r="CX28" i="8"/>
  <c r="CX29" i="8"/>
  <c r="CX30" i="8"/>
  <c r="I37" i="6"/>
  <c r="T37" i="6" s="1"/>
  <c r="CS36" i="6"/>
  <c r="AD36" i="6"/>
  <c r="AB36" i="6" s="1"/>
  <c r="V36" i="6"/>
  <c r="AB38" i="6"/>
  <c r="R38" i="6"/>
  <c r="GK38" i="6" s="1"/>
  <c r="BY82" i="6"/>
  <c r="CI93" i="6"/>
  <c r="AP93" i="6"/>
  <c r="CZ86" i="6"/>
  <c r="Y86" i="6" s="1"/>
  <c r="T93" i="2" s="1"/>
  <c r="CY86" i="6"/>
  <c r="X86" i="6" s="1"/>
  <c r="R93" i="2" s="1"/>
  <c r="AB88" i="6"/>
  <c r="CQ88" i="6"/>
  <c r="P88" i="6" s="1"/>
  <c r="CP88" i="6" s="1"/>
  <c r="O88" i="6" s="1"/>
  <c r="AJ135" i="6"/>
  <c r="W140" i="6"/>
  <c r="AD28" i="6"/>
  <c r="AB28" i="6" s="1"/>
  <c r="AD30" i="6"/>
  <c r="AB30" i="6" s="1"/>
  <c r="CR31" i="6"/>
  <c r="Q31" i="6" s="1"/>
  <c r="S36" i="6"/>
  <c r="CP36" i="6" s="1"/>
  <c r="O36" i="6" s="1"/>
  <c r="U38" i="6"/>
  <c r="AH93" i="6"/>
  <c r="AQ82" i="6"/>
  <c r="F103" i="6"/>
  <c r="CP87" i="6"/>
  <c r="O87" i="6" s="1"/>
  <c r="CJ140" i="6"/>
  <c r="CX7" i="8"/>
  <c r="CX8" i="8"/>
  <c r="CX1" i="8"/>
  <c r="CX2" i="8"/>
  <c r="CX3" i="8"/>
  <c r="CX4" i="8"/>
  <c r="CX5" i="8"/>
  <c r="CX6" i="8"/>
  <c r="U28" i="6"/>
  <c r="CQ37" i="6"/>
  <c r="P37" i="6" s="1"/>
  <c r="AB37" i="6"/>
  <c r="GX37" i="6"/>
  <c r="S38" i="6"/>
  <c r="AS93" i="6"/>
  <c r="CB82" i="6"/>
  <c r="AD87" i="6"/>
  <c r="CS87" i="6"/>
  <c r="CZ89" i="6"/>
  <c r="Y89" i="6" s="1"/>
  <c r="T107" i="2" s="1"/>
  <c r="CY89" i="6"/>
  <c r="X89" i="6" s="1"/>
  <c r="R107" i="2" s="1"/>
  <c r="AC140" i="6"/>
  <c r="U140" i="6"/>
  <c r="AH135" i="6"/>
  <c r="AQ182" i="6"/>
  <c r="F199" i="6"/>
  <c r="CP185" i="6"/>
  <c r="O185" i="6" s="1"/>
  <c r="F49" i="6"/>
  <c r="R37" i="6"/>
  <c r="GK37" i="6" s="1"/>
  <c r="T38" i="6"/>
  <c r="CI40" i="6"/>
  <c r="AG93" i="6"/>
  <c r="V140" i="6"/>
  <c r="AI135" i="6"/>
  <c r="CR84" i="6"/>
  <c r="Q84" i="6" s="1"/>
  <c r="P89" i="6"/>
  <c r="AS189" i="6"/>
  <c r="CB182" i="6"/>
  <c r="CZ226" i="6"/>
  <c r="Y226" i="6" s="1"/>
  <c r="T197" i="2" s="1"/>
  <c r="J201" i="2" s="1"/>
  <c r="CY226" i="6"/>
  <c r="X226" i="6" s="1"/>
  <c r="R197" i="2" s="1"/>
  <c r="J200" i="2" s="1"/>
  <c r="BB267" i="6"/>
  <c r="AD85" i="6"/>
  <c r="AB85" i="6" s="1"/>
  <c r="AT140" i="6"/>
  <c r="CC135" i="6"/>
  <c r="AT189" i="6"/>
  <c r="CC182" i="6"/>
  <c r="CS185" i="6"/>
  <c r="AD185" i="6"/>
  <c r="AB185" i="6" s="1"/>
  <c r="F283" i="6"/>
  <c r="BC307" i="6"/>
  <c r="F56" i="6"/>
  <c r="CR85" i="6"/>
  <c r="Q85" i="6" s="1"/>
  <c r="CP85" i="6" s="1"/>
  <c r="O85" i="6" s="1"/>
  <c r="CY137" i="6"/>
  <c r="X137" i="6" s="1"/>
  <c r="AK140" i="6" s="1"/>
  <c r="AF140" i="6"/>
  <c r="CZ137" i="6"/>
  <c r="Y137" i="6" s="1"/>
  <c r="AL140" i="6" s="1"/>
  <c r="CJ189" i="6"/>
  <c r="CZ185" i="6"/>
  <c r="Y185" i="6" s="1"/>
  <c r="T141" i="2" s="1"/>
  <c r="J146" i="2" s="1"/>
  <c r="GK223" i="6"/>
  <c r="F65" i="6"/>
  <c r="AD86" i="6"/>
  <c r="AB86" i="6" s="1"/>
  <c r="AD91" i="6"/>
  <c r="AB91" i="6" s="1"/>
  <c r="CR138" i="6"/>
  <c r="Q138" i="6" s="1"/>
  <c r="CP138" i="6" s="1"/>
  <c r="O138" i="6" s="1"/>
  <c r="CI140" i="6"/>
  <c r="CZ223" i="6"/>
  <c r="Y223" i="6" s="1"/>
  <c r="CY223" i="6"/>
  <c r="X223" i="6" s="1"/>
  <c r="GP228" i="6"/>
  <c r="GM228" i="6"/>
  <c r="AO267" i="6"/>
  <c r="AB87" i="6"/>
  <c r="AD89" i="6"/>
  <c r="AB89" i="6" s="1"/>
  <c r="AB90" i="6"/>
  <c r="CX50" i="8"/>
  <c r="CX51" i="8"/>
  <c r="AB138" i="6"/>
  <c r="CS138" i="6"/>
  <c r="R138" i="6" s="1"/>
  <c r="GK138" i="6" s="1"/>
  <c r="AH189" i="6"/>
  <c r="CX47" i="8"/>
  <c r="CX48" i="8"/>
  <c r="CX49" i="8"/>
  <c r="CX46" i="8"/>
  <c r="CR89" i="6"/>
  <c r="Q89" i="6" s="1"/>
  <c r="CX56" i="8"/>
  <c r="CX57" i="8"/>
  <c r="T185" i="6"/>
  <c r="AG189" i="6" s="1"/>
  <c r="V185" i="6"/>
  <c r="AI189" i="6" s="1"/>
  <c r="CG189" i="6"/>
  <c r="BX182" i="6"/>
  <c r="F44" i="6"/>
  <c r="CB135" i="6"/>
  <c r="GK137" i="6"/>
  <c r="CZ184" i="6"/>
  <c r="Y184" i="6" s="1"/>
  <c r="CY184" i="6"/>
  <c r="X184" i="6" s="1"/>
  <c r="AF189" i="6"/>
  <c r="CI189" i="6"/>
  <c r="AP189" i="6"/>
  <c r="BY182" i="6"/>
  <c r="W185" i="6"/>
  <c r="AJ189" i="6" s="1"/>
  <c r="CQ187" i="6"/>
  <c r="P187" i="6" s="1"/>
  <c r="AB187" i="6"/>
  <c r="CR137" i="6"/>
  <c r="Q137" i="6" s="1"/>
  <c r="AD140" i="6" s="1"/>
  <c r="CS186" i="6"/>
  <c r="AB224" i="6"/>
  <c r="CX67" i="8"/>
  <c r="CX68" i="8"/>
  <c r="CX69" i="8"/>
  <c r="CR225" i="6"/>
  <c r="Q225" i="6" s="1"/>
  <c r="J190" i="2" s="1"/>
  <c r="F214" i="6"/>
  <c r="CY224" i="6"/>
  <c r="X224" i="6" s="1"/>
  <c r="R180" i="2" s="1"/>
  <c r="J183" i="2" s="1"/>
  <c r="I186" i="2" s="1"/>
  <c r="R226" i="6"/>
  <c r="GK226" i="6" s="1"/>
  <c r="CR224" i="6"/>
  <c r="Q224" i="6" s="1"/>
  <c r="CP224" i="6" s="1"/>
  <c r="O224" i="6" s="1"/>
  <c r="AD226" i="6"/>
  <c r="AB226" i="6" s="1"/>
  <c r="CQ226" i="6"/>
  <c r="P226" i="6" s="1"/>
  <c r="CY230" i="6"/>
  <c r="X230" i="6" s="1"/>
  <c r="R223" i="2" s="1"/>
  <c r="CZ230" i="6"/>
  <c r="Y230" i="6" s="1"/>
  <c r="T223" i="2" s="1"/>
  <c r="AD184" i="6"/>
  <c r="AB184" i="6" s="1"/>
  <c r="AB186" i="6"/>
  <c r="CX60" i="8"/>
  <c r="CX61" i="8"/>
  <c r="CX62" i="8"/>
  <c r="CC237" i="6"/>
  <c r="V224" i="6"/>
  <c r="CR226" i="6"/>
  <c r="Q226" i="6" s="1"/>
  <c r="CZ233" i="6"/>
  <c r="Y233" i="6" s="1"/>
  <c r="T236" i="2" s="1"/>
  <c r="CY233" i="6"/>
  <c r="X233" i="6" s="1"/>
  <c r="R236" i="2" s="1"/>
  <c r="CZ234" i="6"/>
  <c r="Y234" i="6" s="1"/>
  <c r="T242" i="2" s="1"/>
  <c r="CY234" i="6"/>
  <c r="X234" i="6" s="1"/>
  <c r="R242" i="2" s="1"/>
  <c r="CG237" i="6"/>
  <c r="CX55" i="8"/>
  <c r="CX52" i="8"/>
  <c r="CX53" i="8"/>
  <c r="CX54" i="8"/>
  <c r="CR184" i="6"/>
  <c r="Q184" i="6" s="1"/>
  <c r="CY229" i="6"/>
  <c r="X229" i="6" s="1"/>
  <c r="R212" i="2" s="1"/>
  <c r="J218" i="2" s="1"/>
  <c r="CX63" i="8"/>
  <c r="CX64" i="8"/>
  <c r="CX65" i="8"/>
  <c r="CR223" i="6"/>
  <c r="Q223" i="6" s="1"/>
  <c r="V226" i="6"/>
  <c r="CZ227" i="6"/>
  <c r="Y227" i="6" s="1"/>
  <c r="T204" i="2" s="1"/>
  <c r="CY227" i="6"/>
  <c r="X227" i="6" s="1"/>
  <c r="GP227" i="6" s="1"/>
  <c r="CZ235" i="6"/>
  <c r="Y235" i="6" s="1"/>
  <c r="T243" i="2" s="1"/>
  <c r="CY235" i="6"/>
  <c r="X235" i="6" s="1"/>
  <c r="R243" i="2" s="1"/>
  <c r="CX58" i="8"/>
  <c r="CX59" i="8"/>
  <c r="BY237" i="6"/>
  <c r="CX87" i="8"/>
  <c r="CX88" i="8"/>
  <c r="CX89" i="8"/>
  <c r="CX81" i="8"/>
  <c r="I232" i="6"/>
  <c r="P232" i="6" s="1"/>
  <c r="CX90" i="8"/>
  <c r="CX82" i="8"/>
  <c r="CX83" i="8"/>
  <c r="I231" i="6"/>
  <c r="CX84" i="8"/>
  <c r="CX85" i="8"/>
  <c r="CX86" i="8"/>
  <c r="T230" i="6"/>
  <c r="CR230" i="6"/>
  <c r="Q230" i="6" s="1"/>
  <c r="J226" i="2" s="1"/>
  <c r="CX78" i="8"/>
  <c r="CX94" i="8"/>
  <c r="CS230" i="6"/>
  <c r="AD231" i="6"/>
  <c r="AB231" i="6" s="1"/>
  <c r="CQ231" i="6"/>
  <c r="P231" i="6" s="1"/>
  <c r="CX77" i="8"/>
  <c r="CX93" i="8"/>
  <c r="CR231" i="6"/>
  <c r="R235" i="6"/>
  <c r="GK235" i="6" s="1"/>
  <c r="AB235" i="6"/>
  <c r="CX76" i="8"/>
  <c r="CX92" i="8"/>
  <c r="AD232" i="6"/>
  <c r="AB232" i="6" s="1"/>
  <c r="CX75" i="8"/>
  <c r="CX91" i="8"/>
  <c r="GX229" i="6"/>
  <c r="CR232" i="6"/>
  <c r="Q232" i="6" s="1"/>
  <c r="CX74" i="8"/>
  <c r="AB230" i="6"/>
  <c r="CX73" i="8"/>
  <c r="CX80" i="8"/>
  <c r="BD22" i="6" l="1"/>
  <c r="F292" i="6"/>
  <c r="BD307" i="6"/>
  <c r="BD18" i="6" s="1"/>
  <c r="R30" i="6"/>
  <c r="V47" i="2"/>
  <c r="R34" i="6"/>
  <c r="J63" i="2" s="1"/>
  <c r="V61" i="2"/>
  <c r="R91" i="6"/>
  <c r="GK91" i="6" s="1"/>
  <c r="V116" i="2"/>
  <c r="F111" i="6"/>
  <c r="AT82" i="6"/>
  <c r="CP225" i="6"/>
  <c r="O225" i="6" s="1"/>
  <c r="R228" i="6"/>
  <c r="J210" i="2" s="1"/>
  <c r="V208" i="2"/>
  <c r="F118" i="6"/>
  <c r="BD82" i="6"/>
  <c r="U235" i="6"/>
  <c r="T234" i="6"/>
  <c r="V232" i="6"/>
  <c r="GX234" i="6"/>
  <c r="W234" i="6"/>
  <c r="CP233" i="6"/>
  <c r="O233" i="6" s="1"/>
  <c r="GM233" i="6" s="1"/>
  <c r="I148" i="2"/>
  <c r="K148" i="2" s="1"/>
  <c r="GX31" i="6"/>
  <c r="AS237" i="6"/>
  <c r="CB221" i="6"/>
  <c r="R225" i="6"/>
  <c r="V187" i="2"/>
  <c r="J194" i="2" s="1"/>
  <c r="CY185" i="6"/>
  <c r="X185" i="6" s="1"/>
  <c r="R141" i="2" s="1"/>
  <c r="J145" i="2" s="1"/>
  <c r="J143" i="2"/>
  <c r="T235" i="6"/>
  <c r="CP229" i="6"/>
  <c r="O229" i="6" s="1"/>
  <c r="I196" i="2"/>
  <c r="P196" i="2" s="1"/>
  <c r="W33" i="6"/>
  <c r="CZ229" i="6"/>
  <c r="Y229" i="6" s="1"/>
  <c r="T212" i="2" s="1"/>
  <c r="J219" i="2" s="1"/>
  <c r="J214" i="2"/>
  <c r="I222" i="2" s="1"/>
  <c r="AQ237" i="6"/>
  <c r="BZ221" i="6"/>
  <c r="R234" i="6"/>
  <c r="GK234" i="6" s="1"/>
  <c r="E60" i="4"/>
  <c r="E242" i="2"/>
  <c r="D61" i="3"/>
  <c r="V242" i="2"/>
  <c r="J246" i="2" s="1"/>
  <c r="U242" i="2"/>
  <c r="S242" i="2"/>
  <c r="Q242" i="2"/>
  <c r="P235" i="6"/>
  <c r="CP235" i="6" s="1"/>
  <c r="O235" i="6" s="1"/>
  <c r="CP186" i="6"/>
  <c r="O186" i="6" s="1"/>
  <c r="J152" i="2"/>
  <c r="I156" i="2" s="1"/>
  <c r="P234" i="6"/>
  <c r="CP234" i="6" s="1"/>
  <c r="O234" i="6" s="1"/>
  <c r="GP234" i="6" s="1"/>
  <c r="Q33" i="6"/>
  <c r="V33" i="6"/>
  <c r="CP28" i="6"/>
  <c r="O28" i="6" s="1"/>
  <c r="V235" i="6"/>
  <c r="AI237" i="6" s="1"/>
  <c r="D62" i="3"/>
  <c r="E243" i="2"/>
  <c r="U243" i="2"/>
  <c r="S243" i="2"/>
  <c r="Q243" i="2"/>
  <c r="E61" i="4"/>
  <c r="V157" i="2"/>
  <c r="R187" i="6"/>
  <c r="GK187" i="6" s="1"/>
  <c r="P33" i="6"/>
  <c r="R28" i="6"/>
  <c r="V25" i="2"/>
  <c r="J33" i="2" s="1"/>
  <c r="V212" i="2"/>
  <c r="J220" i="2" s="1"/>
  <c r="R229" i="6"/>
  <c r="BB135" i="6"/>
  <c r="F153" i="6"/>
  <c r="I46" i="2"/>
  <c r="K46" i="2" s="1"/>
  <c r="I203" i="2"/>
  <c r="I123" i="2"/>
  <c r="P123" i="2" s="1"/>
  <c r="P186" i="2"/>
  <c r="K186" i="2"/>
  <c r="P148" i="2"/>
  <c r="GP138" i="6"/>
  <c r="GM138" i="6"/>
  <c r="K196" i="2"/>
  <c r="AG182" i="6"/>
  <c r="T189" i="6"/>
  <c r="GM224" i="6"/>
  <c r="GP224" i="6"/>
  <c r="W189" i="6"/>
  <c r="AJ182" i="6"/>
  <c r="GM85" i="6"/>
  <c r="GP85" i="6"/>
  <c r="J92" i="2"/>
  <c r="U231" i="6"/>
  <c r="S231" i="6"/>
  <c r="S229" i="2"/>
  <c r="D58" i="3"/>
  <c r="Q229" i="2"/>
  <c r="E57" i="4"/>
  <c r="V229" i="2"/>
  <c r="E229" i="2"/>
  <c r="U229" i="2"/>
  <c r="F158" i="6"/>
  <c r="AT135" i="6"/>
  <c r="Q231" i="6"/>
  <c r="AD237" i="6" s="1"/>
  <c r="CI237" i="6"/>
  <c r="AP237" i="6"/>
  <c r="BY221" i="6"/>
  <c r="AT237" i="6"/>
  <c r="CC221" i="6"/>
  <c r="W232" i="6"/>
  <c r="U232" i="6"/>
  <c r="GX232" i="6"/>
  <c r="CJ237" i="6" s="1"/>
  <c r="R170" i="2"/>
  <c r="J175" i="2" s="1"/>
  <c r="F206" i="6"/>
  <c r="AS182" i="6"/>
  <c r="F162" i="6"/>
  <c r="U135" i="6"/>
  <c r="F110" i="6"/>
  <c r="AS82" i="6"/>
  <c r="BA140" i="6"/>
  <c r="CJ135" i="6"/>
  <c r="AP82" i="6"/>
  <c r="F102" i="6"/>
  <c r="R36" i="6"/>
  <c r="V69" i="2"/>
  <c r="R90" i="6"/>
  <c r="GK90" i="6" s="1"/>
  <c r="V111" i="2"/>
  <c r="AQ40" i="6"/>
  <c r="CG40" i="6"/>
  <c r="BZ26" i="6"/>
  <c r="P31" i="6"/>
  <c r="GX33" i="6"/>
  <c r="CP187" i="6"/>
  <c r="O187" i="6" s="1"/>
  <c r="J160" i="2"/>
  <c r="I164" i="2" s="1"/>
  <c r="J173" i="2"/>
  <c r="AD189" i="6"/>
  <c r="J133" i="2"/>
  <c r="J244" i="2"/>
  <c r="CP223" i="6"/>
  <c r="O223" i="6" s="1"/>
  <c r="R232" i="6"/>
  <c r="GK232" i="6" s="1"/>
  <c r="GX231" i="6"/>
  <c r="AH182" i="6"/>
  <c r="U189" i="6"/>
  <c r="T170" i="2"/>
  <c r="J176" i="2" s="1"/>
  <c r="CP89" i="6"/>
  <c r="O89" i="6" s="1"/>
  <c r="J110" i="2"/>
  <c r="CF140" i="6"/>
  <c r="CE140" i="6"/>
  <c r="CH140" i="6"/>
  <c r="AC135" i="6"/>
  <c r="P140" i="6"/>
  <c r="CZ38" i="6"/>
  <c r="Y38" i="6" s="1"/>
  <c r="T76" i="2" s="1"/>
  <c r="CY38" i="6"/>
  <c r="X38" i="6" s="1"/>
  <c r="R76" i="2" s="1"/>
  <c r="GP87" i="6"/>
  <c r="GM87" i="6"/>
  <c r="AZ93" i="6"/>
  <c r="CI82" i="6"/>
  <c r="S37" i="6"/>
  <c r="E29" i="4"/>
  <c r="U75" i="2"/>
  <c r="V75" i="2"/>
  <c r="E75" i="2"/>
  <c r="S75" i="2"/>
  <c r="Q75" i="2"/>
  <c r="D30" i="3"/>
  <c r="CY90" i="6"/>
  <c r="X90" i="6" s="1"/>
  <c r="R111" i="2" s="1"/>
  <c r="J112" i="2" s="1"/>
  <c r="CZ90" i="6"/>
  <c r="Y90" i="6" s="1"/>
  <c r="T111" i="2" s="1"/>
  <c r="J113" i="2" s="1"/>
  <c r="F150" i="6"/>
  <c r="AQ135" i="6"/>
  <c r="GM86" i="6"/>
  <c r="S33" i="6"/>
  <c r="D26" i="3"/>
  <c r="E55" i="2"/>
  <c r="S55" i="2"/>
  <c r="Q55" i="2"/>
  <c r="E25" i="4"/>
  <c r="U55" i="2"/>
  <c r="U33" i="6"/>
  <c r="R25" i="2"/>
  <c r="J31" i="2" s="1"/>
  <c r="U31" i="6"/>
  <c r="AH40" i="6" s="1"/>
  <c r="F323" i="6"/>
  <c r="BC18" i="6"/>
  <c r="AJ82" i="6"/>
  <c r="W93" i="6"/>
  <c r="J245" i="2"/>
  <c r="AP182" i="6"/>
  <c r="F198" i="6"/>
  <c r="AI182" i="6"/>
  <c r="V189" i="6"/>
  <c r="AC189" i="6"/>
  <c r="Y140" i="6"/>
  <c r="AL135" i="6"/>
  <c r="AD93" i="6"/>
  <c r="J89" i="2"/>
  <c r="CP137" i="6"/>
  <c r="O137" i="6" s="1"/>
  <c r="F164" i="6"/>
  <c r="W135" i="6"/>
  <c r="GP34" i="6"/>
  <c r="GM34" i="6"/>
  <c r="AS40" i="6"/>
  <c r="CB26" i="6"/>
  <c r="BA93" i="6"/>
  <c r="CJ82" i="6"/>
  <c r="AL93" i="6"/>
  <c r="T87" i="2"/>
  <c r="J95" i="2" s="1"/>
  <c r="GP86" i="6"/>
  <c r="E24" i="4"/>
  <c r="D25" i="3"/>
  <c r="P32" i="6"/>
  <c r="Q54" i="2"/>
  <c r="U54" i="2"/>
  <c r="S54" i="2"/>
  <c r="E54" i="2"/>
  <c r="CP90" i="6"/>
  <c r="O90" i="6" s="1"/>
  <c r="AC93" i="6"/>
  <c r="T25" i="2"/>
  <c r="J32" i="2" s="1"/>
  <c r="GP235" i="6"/>
  <c r="GM235" i="6"/>
  <c r="J243" i="2"/>
  <c r="BA189" i="6"/>
  <c r="CJ182" i="6"/>
  <c r="CI26" i="6"/>
  <c r="AZ40" i="6"/>
  <c r="K34" i="2"/>
  <c r="AT40" i="6"/>
  <c r="CC26" i="6"/>
  <c r="GP91" i="6"/>
  <c r="GM91" i="6"/>
  <c r="S232" i="6"/>
  <c r="U230" i="2"/>
  <c r="E58" i="4"/>
  <c r="E230" i="2"/>
  <c r="S230" i="2"/>
  <c r="Q230" i="2"/>
  <c r="D59" i="3"/>
  <c r="V230" i="2"/>
  <c r="W231" i="6"/>
  <c r="R186" i="6"/>
  <c r="GK186" i="6" s="1"/>
  <c r="GP186" i="6" s="1"/>
  <c r="V149" i="2"/>
  <c r="AZ189" i="6"/>
  <c r="CI182" i="6"/>
  <c r="AE140" i="6"/>
  <c r="CP184" i="6"/>
  <c r="O184" i="6" s="1"/>
  <c r="AO307" i="6"/>
  <c r="F271" i="6"/>
  <c r="AO22" i="6"/>
  <c r="S140" i="6"/>
  <c r="AF135" i="6"/>
  <c r="R185" i="6"/>
  <c r="V141" i="2"/>
  <c r="F280" i="6"/>
  <c r="BB307" i="6"/>
  <c r="BB22" i="6"/>
  <c r="AP267" i="6"/>
  <c r="R32" i="6"/>
  <c r="GK32" i="6" s="1"/>
  <c r="V54" i="2"/>
  <c r="AI82" i="6"/>
  <c r="V93" i="6"/>
  <c r="AX140" i="6"/>
  <c r="CG135" i="6"/>
  <c r="AF82" i="6"/>
  <c r="S93" i="6"/>
  <c r="GP35" i="6"/>
  <c r="GM35" i="6"/>
  <c r="Q37" i="6"/>
  <c r="CP37" i="6" s="1"/>
  <c r="O37" i="6" s="1"/>
  <c r="T32" i="6"/>
  <c r="AG40" i="6" s="1"/>
  <c r="CP84" i="6"/>
  <c r="O84" i="6" s="1"/>
  <c r="AF182" i="6"/>
  <c r="S189" i="6"/>
  <c r="P203" i="2"/>
  <c r="K203" i="2"/>
  <c r="F163" i="6"/>
  <c r="V135" i="6"/>
  <c r="D24" i="3"/>
  <c r="E23" i="4"/>
  <c r="V53" i="2"/>
  <c r="U53" i="2"/>
  <c r="E53" i="2"/>
  <c r="Q53" i="2"/>
  <c r="S53" i="2"/>
  <c r="CP33" i="6"/>
  <c r="O33" i="6" s="1"/>
  <c r="V31" i="6"/>
  <c r="AD135" i="6"/>
  <c r="Q140" i="6"/>
  <c r="AZ140" i="6"/>
  <c r="CI135" i="6"/>
  <c r="GM88" i="6"/>
  <c r="GP88" i="6"/>
  <c r="CG82" i="6"/>
  <c r="AX93" i="6"/>
  <c r="T231" i="6"/>
  <c r="AG237" i="6" s="1"/>
  <c r="CP230" i="6"/>
  <c r="O230" i="6" s="1"/>
  <c r="CP226" i="6"/>
  <c r="O226" i="6" s="1"/>
  <c r="AK189" i="6"/>
  <c r="R130" i="2"/>
  <c r="J136" i="2" s="1"/>
  <c r="AX189" i="6"/>
  <c r="CG182" i="6"/>
  <c r="F207" i="6"/>
  <c r="AT182" i="6"/>
  <c r="R87" i="6"/>
  <c r="V99" i="2"/>
  <c r="V37" i="6"/>
  <c r="R87" i="2"/>
  <c r="J94" i="2" s="1"/>
  <c r="T135" i="6"/>
  <c r="F161" i="6"/>
  <c r="W37" i="6"/>
  <c r="Q32" i="6"/>
  <c r="AD40" i="6" s="1"/>
  <c r="S31" i="6"/>
  <c r="GX32" i="6"/>
  <c r="CJ40" i="6" s="1"/>
  <c r="U32" i="6"/>
  <c r="S32" i="6"/>
  <c r="R231" i="6"/>
  <c r="GK231" i="6" s="1"/>
  <c r="V231" i="6"/>
  <c r="AK135" i="6"/>
  <c r="X140" i="6"/>
  <c r="AH82" i="6"/>
  <c r="U93" i="6"/>
  <c r="R230" i="6"/>
  <c r="V223" i="2"/>
  <c r="GM227" i="6"/>
  <c r="R204" i="2"/>
  <c r="T232" i="6"/>
  <c r="AX237" i="6"/>
  <c r="CG221" i="6"/>
  <c r="AL189" i="6"/>
  <c r="T130" i="2"/>
  <c r="J137" i="2" s="1"/>
  <c r="AG82" i="6"/>
  <c r="T93" i="6"/>
  <c r="CY36" i="6"/>
  <c r="X36" i="6" s="1"/>
  <c r="R69" i="2" s="1"/>
  <c r="CZ36" i="6"/>
  <c r="Y36" i="6" s="1"/>
  <c r="T69" i="2" s="1"/>
  <c r="J71" i="2"/>
  <c r="CP38" i="6"/>
  <c r="O38" i="6" s="1"/>
  <c r="R31" i="6"/>
  <c r="GM29" i="6"/>
  <c r="GP29" i="6"/>
  <c r="V32" i="6"/>
  <c r="W31" i="6"/>
  <c r="R33" i="6"/>
  <c r="GK33" i="6" s="1"/>
  <c r="V55" i="2"/>
  <c r="P222" i="2" l="1"/>
  <c r="K222" i="2"/>
  <c r="K156" i="2"/>
  <c r="P156" i="2"/>
  <c r="P46" i="2"/>
  <c r="GK225" i="6"/>
  <c r="J191" i="2"/>
  <c r="J242" i="2"/>
  <c r="GM234" i="6"/>
  <c r="F247" i="6"/>
  <c r="AQ221" i="6"/>
  <c r="GP233" i="6"/>
  <c r="F332" i="6"/>
  <c r="GM186" i="6"/>
  <c r="AC237" i="6"/>
  <c r="GK229" i="6"/>
  <c r="J216" i="2"/>
  <c r="GK30" i="6"/>
  <c r="J51" i="2"/>
  <c r="GK28" i="6"/>
  <c r="GP28" i="6" s="1"/>
  <c r="J29" i="2"/>
  <c r="F254" i="6"/>
  <c r="AS221" i="6"/>
  <c r="K123" i="2"/>
  <c r="J75" i="2"/>
  <c r="U40" i="6"/>
  <c r="AH26" i="6"/>
  <c r="Q237" i="6"/>
  <c r="AD221" i="6"/>
  <c r="T237" i="6"/>
  <c r="AG221" i="6"/>
  <c r="T40" i="6"/>
  <c r="AG26" i="6"/>
  <c r="P237" i="6"/>
  <c r="CH237" i="6"/>
  <c r="CF237" i="6"/>
  <c r="CE237" i="6"/>
  <c r="AC221" i="6"/>
  <c r="GK31" i="6"/>
  <c r="AE40" i="6"/>
  <c r="J233" i="2"/>
  <c r="F200" i="6"/>
  <c r="AZ182" i="6"/>
  <c r="AT267" i="6"/>
  <c r="F58" i="6"/>
  <c r="AT26" i="6"/>
  <c r="GP137" i="6"/>
  <c r="CD140" i="6" s="1"/>
  <c r="AB140" i="6"/>
  <c r="GM137" i="6"/>
  <c r="CA140" i="6" s="1"/>
  <c r="F143" i="6"/>
  <c r="P135" i="6"/>
  <c r="I248" i="2"/>
  <c r="GK36" i="6"/>
  <c r="J73" i="2"/>
  <c r="CZ231" i="6"/>
  <c r="Y231" i="6" s="1"/>
  <c r="CY231" i="6"/>
  <c r="X231" i="6" s="1"/>
  <c r="AF237" i="6"/>
  <c r="V237" i="6"/>
  <c r="AI221" i="6"/>
  <c r="Q40" i="6"/>
  <c r="AD26" i="6"/>
  <c r="F166" i="6"/>
  <c r="X135" i="6"/>
  <c r="CZ31" i="6"/>
  <c r="Y31" i="6" s="1"/>
  <c r="CY31" i="6"/>
  <c r="X31" i="6" s="1"/>
  <c r="AF40" i="6"/>
  <c r="AX82" i="6"/>
  <c r="F100" i="6"/>
  <c r="F116" i="6"/>
  <c r="V82" i="6"/>
  <c r="AB189" i="6"/>
  <c r="GP184" i="6"/>
  <c r="GM184" i="6"/>
  <c r="GP90" i="6"/>
  <c r="GM90" i="6"/>
  <c r="J111" i="2"/>
  <c r="I115" i="2" s="1"/>
  <c r="P189" i="6"/>
  <c r="CH189" i="6"/>
  <c r="CE189" i="6"/>
  <c r="AC182" i="6"/>
  <c r="CF189" i="6"/>
  <c r="F117" i="6"/>
  <c r="W82" i="6"/>
  <c r="P164" i="2"/>
  <c r="K164" i="2"/>
  <c r="T82" i="6"/>
  <c r="F114" i="6"/>
  <c r="X189" i="6"/>
  <c r="AK182" i="6"/>
  <c r="Q135" i="6"/>
  <c r="F152" i="6"/>
  <c r="R140" i="6"/>
  <c r="AE135" i="6"/>
  <c r="F209" i="6"/>
  <c r="BA182" i="6"/>
  <c r="F212" i="6"/>
  <c r="V182" i="6"/>
  <c r="GP223" i="6"/>
  <c r="GM223" i="6"/>
  <c r="GK230" i="6"/>
  <c r="GP230" i="6" s="1"/>
  <c r="J227" i="2"/>
  <c r="CP231" i="6"/>
  <c r="O231" i="6" s="1"/>
  <c r="F204" i="6"/>
  <c r="S182" i="6"/>
  <c r="I98" i="2"/>
  <c r="CP31" i="6"/>
  <c r="O31" i="6" s="1"/>
  <c r="AC40" i="6"/>
  <c r="F255" i="6"/>
  <c r="AT221" i="6"/>
  <c r="AH237" i="6"/>
  <c r="CY32" i="6"/>
  <c r="X32" i="6" s="1"/>
  <c r="R54" i="2" s="1"/>
  <c r="CZ32" i="6"/>
  <c r="Y32" i="6" s="1"/>
  <c r="T54" i="2" s="1"/>
  <c r="CP32" i="6"/>
  <c r="O32" i="6" s="1"/>
  <c r="I35" i="2"/>
  <c r="AY140" i="6"/>
  <c r="CH135" i="6"/>
  <c r="Q189" i="6"/>
  <c r="AD182" i="6"/>
  <c r="AK93" i="6"/>
  <c r="AI40" i="6"/>
  <c r="F51" i="6"/>
  <c r="AZ26" i="6"/>
  <c r="AS267" i="6"/>
  <c r="F57" i="6"/>
  <c r="AS26" i="6"/>
  <c r="F104" i="6"/>
  <c r="AZ82" i="6"/>
  <c r="AV140" i="6"/>
  <c r="CE135" i="6"/>
  <c r="F211" i="6"/>
  <c r="U182" i="6"/>
  <c r="I179" i="2"/>
  <c r="AX40" i="6"/>
  <c r="CG26" i="6"/>
  <c r="F246" i="6"/>
  <c r="AP221" i="6"/>
  <c r="GM36" i="6"/>
  <c r="W182" i="6"/>
  <c r="F213" i="6"/>
  <c r="BA40" i="6"/>
  <c r="CJ26" i="6"/>
  <c r="J101" i="2"/>
  <c r="AE93" i="6"/>
  <c r="GP89" i="6"/>
  <c r="GM89" i="6"/>
  <c r="GP187" i="6"/>
  <c r="GM187" i="6"/>
  <c r="GP226" i="6"/>
  <c r="GM226" i="6"/>
  <c r="GK185" i="6"/>
  <c r="AE189" i="6"/>
  <c r="Y93" i="6"/>
  <c r="AL82" i="6"/>
  <c r="J79" i="2"/>
  <c r="Y189" i="6"/>
  <c r="AL182" i="6"/>
  <c r="AE237" i="6"/>
  <c r="J58" i="2"/>
  <c r="F108" i="6"/>
  <c r="F129" i="6" s="1"/>
  <c r="S82" i="6"/>
  <c r="F155" i="6"/>
  <c r="F176" i="6" s="1"/>
  <c r="S135" i="6"/>
  <c r="BA82" i="6"/>
  <c r="F113" i="6"/>
  <c r="CZ37" i="6"/>
  <c r="Y37" i="6" s="1"/>
  <c r="T75" i="2" s="1"/>
  <c r="J78" i="2" s="1"/>
  <c r="CY37" i="6"/>
  <c r="X37" i="6" s="1"/>
  <c r="R75" i="2" s="1"/>
  <c r="J77" i="2" s="1"/>
  <c r="I140" i="2"/>
  <c r="GP38" i="6"/>
  <c r="J76" i="2"/>
  <c r="GM38" i="6"/>
  <c r="U82" i="6"/>
  <c r="F115" i="6"/>
  <c r="F276" i="6"/>
  <c r="G16" i="7" s="1"/>
  <c r="G18" i="7" s="1"/>
  <c r="AP307" i="6"/>
  <c r="AP22" i="6"/>
  <c r="Q93" i="6"/>
  <c r="AD82" i="6"/>
  <c r="GP36" i="6"/>
  <c r="F210" i="6"/>
  <c r="T182" i="6"/>
  <c r="AJ40" i="6"/>
  <c r="F244" i="6"/>
  <c r="AX221" i="6"/>
  <c r="F196" i="6"/>
  <c r="AX182" i="6"/>
  <c r="AZ135" i="6"/>
  <c r="F151" i="6"/>
  <c r="J55" i="2"/>
  <c r="GM84" i="6"/>
  <c r="CA93" i="6" s="1"/>
  <c r="AB93" i="6"/>
  <c r="GP84" i="6"/>
  <c r="F147" i="6"/>
  <c r="AX135" i="6"/>
  <c r="F320" i="6"/>
  <c r="BB18" i="6"/>
  <c r="F311" i="6"/>
  <c r="AO18" i="6"/>
  <c r="AJ237" i="6"/>
  <c r="CZ232" i="6"/>
  <c r="Y232" i="6" s="1"/>
  <c r="T230" i="2" s="1"/>
  <c r="CY232" i="6"/>
  <c r="X232" i="6" s="1"/>
  <c r="R230" i="2" s="1"/>
  <c r="AC82" i="6"/>
  <c r="P93" i="6"/>
  <c r="CH93" i="6"/>
  <c r="CF93" i="6"/>
  <c r="CE93" i="6"/>
  <c r="Y135" i="6"/>
  <c r="F167" i="6"/>
  <c r="F171" i="6" s="1"/>
  <c r="CZ33" i="6"/>
  <c r="Y33" i="6" s="1"/>
  <c r="T55" i="2" s="1"/>
  <c r="CY33" i="6"/>
  <c r="X33" i="6" s="1"/>
  <c r="R55" i="2" s="1"/>
  <c r="AW140" i="6"/>
  <c r="CF135" i="6"/>
  <c r="AQ267" i="6"/>
  <c r="F50" i="6"/>
  <c r="AQ26" i="6"/>
  <c r="F160" i="6"/>
  <c r="BA135" i="6"/>
  <c r="AZ237" i="6"/>
  <c r="CI221" i="6"/>
  <c r="CP232" i="6"/>
  <c r="O232" i="6" s="1"/>
  <c r="BA237" i="6"/>
  <c r="CJ221" i="6"/>
  <c r="GP33" i="6" l="1"/>
  <c r="GM225" i="6"/>
  <c r="GP225" i="6"/>
  <c r="GM28" i="6"/>
  <c r="GM30" i="6"/>
  <c r="GP30" i="6"/>
  <c r="GM229" i="6"/>
  <c r="GP229" i="6"/>
  <c r="I81" i="2"/>
  <c r="X182" i="6"/>
  <c r="F215" i="6"/>
  <c r="CF182" i="6"/>
  <c r="AW189" i="6"/>
  <c r="R53" i="2"/>
  <c r="J56" i="2" s="1"/>
  <c r="AK40" i="6"/>
  <c r="F260" i="6"/>
  <c r="V221" i="6"/>
  <c r="AV237" i="6"/>
  <c r="CE221" i="6"/>
  <c r="AW135" i="6"/>
  <c r="F146" i="6"/>
  <c r="W40" i="6"/>
  <c r="AJ26" i="6"/>
  <c r="AF26" i="6"/>
  <c r="S40" i="6"/>
  <c r="Q182" i="6"/>
  <c r="F201" i="6"/>
  <c r="T53" i="2"/>
  <c r="J57" i="2" s="1"/>
  <c r="AL40" i="6"/>
  <c r="F249" i="6"/>
  <c r="Q221" i="6"/>
  <c r="CD93" i="6"/>
  <c r="CE182" i="6"/>
  <c r="AV189" i="6"/>
  <c r="O189" i="6"/>
  <c r="AB182" i="6"/>
  <c r="R229" i="2"/>
  <c r="J231" i="2" s="1"/>
  <c r="AK237" i="6"/>
  <c r="AB135" i="6"/>
  <c r="O140" i="6"/>
  <c r="GM230" i="6"/>
  <c r="AY237" i="6"/>
  <c r="CH221" i="6"/>
  <c r="F258" i="6"/>
  <c r="T221" i="6"/>
  <c r="U237" i="6"/>
  <c r="AH221" i="6"/>
  <c r="GM231" i="6"/>
  <c r="GP231" i="6"/>
  <c r="J229" i="2"/>
  <c r="AW237" i="6"/>
  <c r="CF221" i="6"/>
  <c r="W237" i="6"/>
  <c r="AJ221" i="6"/>
  <c r="AB82" i="6"/>
  <c r="O93" i="6"/>
  <c r="F148" i="6"/>
  <c r="AY135" i="6"/>
  <c r="CH40" i="6"/>
  <c r="CF40" i="6"/>
  <c r="CE40" i="6"/>
  <c r="P40" i="6"/>
  <c r="AC26" i="6"/>
  <c r="AY189" i="6"/>
  <c r="CH182" i="6"/>
  <c r="T229" i="2"/>
  <c r="J232" i="2" s="1"/>
  <c r="AL237" i="6"/>
  <c r="AU140" i="6"/>
  <c r="CD135" i="6"/>
  <c r="F240" i="6"/>
  <c r="P221" i="6"/>
  <c r="F62" i="6"/>
  <c r="U26" i="6"/>
  <c r="F248" i="6"/>
  <c r="AZ221" i="6"/>
  <c r="CA135" i="6"/>
  <c r="AR140" i="6"/>
  <c r="CE82" i="6"/>
  <c r="AV93" i="6"/>
  <c r="AR93" i="6"/>
  <c r="CA82" i="6"/>
  <c r="F105" i="6"/>
  <c r="Q82" i="6"/>
  <c r="F120" i="6"/>
  <c r="F124" i="6" s="1"/>
  <c r="Y82" i="6"/>
  <c r="F145" i="6"/>
  <c r="AV135" i="6"/>
  <c r="AZ267" i="6"/>
  <c r="P35" i="2"/>
  <c r="K35" i="2"/>
  <c r="GP31" i="6"/>
  <c r="J53" i="2"/>
  <c r="GM31" i="6"/>
  <c r="AB40" i="6"/>
  <c r="F154" i="6"/>
  <c r="F177" i="6" s="1"/>
  <c r="F172" i="6" s="1"/>
  <c r="R135" i="6"/>
  <c r="P182" i="6"/>
  <c r="F192" i="6"/>
  <c r="F96" i="6"/>
  <c r="P82" i="6"/>
  <c r="AX267" i="6"/>
  <c r="F47" i="6"/>
  <c r="AX26" i="6"/>
  <c r="P179" i="2"/>
  <c r="K179" i="2"/>
  <c r="Y182" i="6"/>
  <c r="F216" i="6"/>
  <c r="AS307" i="6"/>
  <c r="F284" i="6"/>
  <c r="E16" i="7" s="1"/>
  <c r="AS22" i="6"/>
  <c r="F257" i="6"/>
  <c r="BA221" i="6"/>
  <c r="F277" i="6"/>
  <c r="AQ307" i="6"/>
  <c r="AQ22" i="6"/>
  <c r="CF82" i="6"/>
  <c r="AW93" i="6"/>
  <c r="P140" i="2"/>
  <c r="I166" i="2" s="1"/>
  <c r="K140" i="2"/>
  <c r="R189" i="6"/>
  <c r="AE182" i="6"/>
  <c r="AE82" i="6"/>
  <c r="R93" i="6"/>
  <c r="V40" i="6"/>
  <c r="AI26" i="6"/>
  <c r="GP32" i="6"/>
  <c r="GM32" i="6"/>
  <c r="J54" i="2"/>
  <c r="P98" i="2"/>
  <c r="K98" i="2"/>
  <c r="K115" i="2"/>
  <c r="P115" i="2"/>
  <c r="R40" i="6"/>
  <c r="AE26" i="6"/>
  <c r="T267" i="6"/>
  <c r="F61" i="6"/>
  <c r="T26" i="6"/>
  <c r="GM37" i="6"/>
  <c r="R237" i="6"/>
  <c r="AE221" i="6"/>
  <c r="BA267" i="6"/>
  <c r="F60" i="6"/>
  <c r="BA26" i="6"/>
  <c r="S237" i="6"/>
  <c r="AF221" i="6"/>
  <c r="GP232" i="6"/>
  <c r="CD237" i="6" s="1"/>
  <c r="GM232" i="6"/>
  <c r="CA237" i="6" s="1"/>
  <c r="J230" i="2"/>
  <c r="AY93" i="6"/>
  <c r="CH82" i="6"/>
  <c r="GM33" i="6"/>
  <c r="F316" i="6"/>
  <c r="AP18" i="6"/>
  <c r="GP185" i="6"/>
  <c r="CD189" i="6" s="1"/>
  <c r="GM185" i="6"/>
  <c r="CA189" i="6" s="1"/>
  <c r="AK82" i="6"/>
  <c r="X93" i="6"/>
  <c r="AB237" i="6"/>
  <c r="Q267" i="6"/>
  <c r="F52" i="6"/>
  <c r="Q26" i="6"/>
  <c r="P248" i="2"/>
  <c r="K248" i="2"/>
  <c r="F285" i="6"/>
  <c r="F16" i="7" s="1"/>
  <c r="F18" i="7" s="1"/>
  <c r="AT307" i="6"/>
  <c r="AT22" i="6"/>
  <c r="GP37" i="6"/>
  <c r="CA40" i="6" l="1"/>
  <c r="CD40" i="6"/>
  <c r="I125" i="2"/>
  <c r="AR189" i="6"/>
  <c r="CA182" i="6"/>
  <c r="AR237" i="6"/>
  <c r="CA221" i="6"/>
  <c r="AU237" i="6"/>
  <c r="CD221" i="6"/>
  <c r="CD182" i="6"/>
  <c r="AU189" i="6"/>
  <c r="F107" i="6"/>
  <c r="F130" i="6" s="1"/>
  <c r="F125" i="6" s="1"/>
  <c r="R82" i="6"/>
  <c r="AV40" i="6"/>
  <c r="CE26" i="6"/>
  <c r="F261" i="6"/>
  <c r="W221" i="6"/>
  <c r="I235" i="2"/>
  <c r="Y40" i="6"/>
  <c r="AL26" i="6"/>
  <c r="W267" i="6"/>
  <c r="F64" i="6"/>
  <c r="W26" i="6"/>
  <c r="I60" i="2"/>
  <c r="CA26" i="6"/>
  <c r="AR40" i="6"/>
  <c r="F259" i="6"/>
  <c r="U221" i="6"/>
  <c r="F252" i="6"/>
  <c r="S221" i="6"/>
  <c r="Y237" i="6"/>
  <c r="AL221" i="6"/>
  <c r="AY40" i="6"/>
  <c r="CH26" i="6"/>
  <c r="F243" i="6"/>
  <c r="AW221" i="6"/>
  <c r="O182" i="6"/>
  <c r="F191" i="6"/>
  <c r="F195" i="6"/>
  <c r="AW182" i="6"/>
  <c r="F251" i="6"/>
  <c r="R221" i="6"/>
  <c r="AR135" i="6"/>
  <c r="F168" i="6"/>
  <c r="P267" i="6"/>
  <c r="F43" i="6"/>
  <c r="P26" i="6"/>
  <c r="F159" i="6"/>
  <c r="AU135" i="6"/>
  <c r="Q307" i="6"/>
  <c r="F279" i="6"/>
  <c r="Q22" i="6"/>
  <c r="T307" i="6"/>
  <c r="F288" i="6"/>
  <c r="T22" i="6"/>
  <c r="F203" i="6"/>
  <c r="R182" i="6"/>
  <c r="F245" i="6"/>
  <c r="AY221" i="6"/>
  <c r="F194" i="6"/>
  <c r="AV182" i="6"/>
  <c r="F324" i="6"/>
  <c r="AS18" i="6"/>
  <c r="X40" i="6"/>
  <c r="AK26" i="6"/>
  <c r="F317" i="6"/>
  <c r="AQ18" i="6"/>
  <c r="O237" i="6"/>
  <c r="AB221" i="6"/>
  <c r="F278" i="6"/>
  <c r="AZ307" i="6"/>
  <c r="AZ22" i="6"/>
  <c r="F121" i="6"/>
  <c r="AR82" i="6"/>
  <c r="F242" i="6"/>
  <c r="AV221" i="6"/>
  <c r="V267" i="6"/>
  <c r="F63" i="6"/>
  <c r="V26" i="6"/>
  <c r="X237" i="6"/>
  <c r="AK221" i="6"/>
  <c r="F325" i="6"/>
  <c r="AT18" i="6"/>
  <c r="F101" i="6"/>
  <c r="AY82" i="6"/>
  <c r="BA307" i="6"/>
  <c r="F287" i="6"/>
  <c r="BA22" i="6"/>
  <c r="R267" i="6"/>
  <c r="F54" i="6"/>
  <c r="F77" i="6" s="1"/>
  <c r="F72" i="6" s="1"/>
  <c r="R26" i="6"/>
  <c r="F98" i="6"/>
  <c r="AV82" i="6"/>
  <c r="U267" i="6"/>
  <c r="AY182" i="6"/>
  <c r="F197" i="6"/>
  <c r="F95" i="6"/>
  <c r="O82" i="6"/>
  <c r="F142" i="6"/>
  <c r="O135" i="6"/>
  <c r="CD82" i="6"/>
  <c r="AU93" i="6"/>
  <c r="S267" i="6"/>
  <c r="F55" i="6"/>
  <c r="F76" i="6" s="1"/>
  <c r="S26" i="6"/>
  <c r="AU40" i="6"/>
  <c r="CD26" i="6"/>
  <c r="AW40" i="6"/>
  <c r="CF26" i="6"/>
  <c r="F119" i="6"/>
  <c r="X82" i="6"/>
  <c r="F99" i="6"/>
  <c r="AW82" i="6"/>
  <c r="E18" i="7"/>
  <c r="AX307" i="6"/>
  <c r="F274" i="6"/>
  <c r="AX22" i="6"/>
  <c r="O40" i="6"/>
  <c r="AB26" i="6"/>
  <c r="K81" i="2"/>
  <c r="P81" i="2"/>
  <c r="F263" i="6" l="1"/>
  <c r="X221" i="6"/>
  <c r="F208" i="6"/>
  <c r="AU182" i="6"/>
  <c r="X267" i="6"/>
  <c r="F66" i="6"/>
  <c r="X26" i="6"/>
  <c r="Y267" i="6"/>
  <c r="F67" i="6"/>
  <c r="F71" i="6" s="1"/>
  <c r="Y26" i="6"/>
  <c r="O267" i="6"/>
  <c r="F42" i="6"/>
  <c r="O26" i="6"/>
  <c r="S307" i="6"/>
  <c r="F282" i="6"/>
  <c r="S22" i="6"/>
  <c r="F318" i="6"/>
  <c r="AZ18" i="6"/>
  <c r="F319" i="6"/>
  <c r="Q18" i="6"/>
  <c r="AR267" i="6"/>
  <c r="F68" i="6"/>
  <c r="AR26" i="6"/>
  <c r="P235" i="2"/>
  <c r="I250" i="2" s="1"/>
  <c r="K235" i="2"/>
  <c r="V307" i="6"/>
  <c r="F290" i="6"/>
  <c r="V22" i="6"/>
  <c r="P60" i="2"/>
  <c r="K60" i="2"/>
  <c r="F256" i="6"/>
  <c r="AU221" i="6"/>
  <c r="F327" i="6"/>
  <c r="BA18" i="6"/>
  <c r="AW267" i="6"/>
  <c r="F46" i="6"/>
  <c r="AW26" i="6"/>
  <c r="F239" i="6"/>
  <c r="O221" i="6"/>
  <c r="F264" i="6"/>
  <c r="Y221" i="6"/>
  <c r="F112" i="6"/>
  <c r="AU82" i="6"/>
  <c r="F314" i="6"/>
  <c r="AX18" i="6"/>
  <c r="AV267" i="6"/>
  <c r="AV26" i="6"/>
  <c r="F45" i="6"/>
  <c r="F265" i="6"/>
  <c r="AR221" i="6"/>
  <c r="U307" i="6"/>
  <c r="F289" i="6"/>
  <c r="U22" i="6"/>
  <c r="AY267" i="6"/>
  <c r="F48" i="6"/>
  <c r="AY26" i="6"/>
  <c r="AU267" i="6"/>
  <c r="F59" i="6"/>
  <c r="AU26" i="6"/>
  <c r="F328" i="6"/>
  <c r="T18" i="6"/>
  <c r="F270" i="6"/>
  <c r="P307" i="6"/>
  <c r="P22" i="6"/>
  <c r="F291" i="6"/>
  <c r="W307" i="6"/>
  <c r="W22" i="6"/>
  <c r="R307" i="6"/>
  <c r="F281" i="6"/>
  <c r="F304" i="6" s="1"/>
  <c r="F299" i="6" s="1"/>
  <c r="R22" i="6"/>
  <c r="F123" i="6"/>
  <c r="F126" i="6" s="1"/>
  <c r="F122" i="6"/>
  <c r="F170" i="6"/>
  <c r="F173" i="6" s="1"/>
  <c r="F169" i="6"/>
  <c r="F217" i="6"/>
  <c r="AR182" i="6"/>
  <c r="F127" i="6" l="1"/>
  <c r="F128" i="6" s="1"/>
  <c r="F131" i="6" s="1"/>
  <c r="F310" i="6"/>
  <c r="P18" i="6"/>
  <c r="J16" i="7"/>
  <c r="J18" i="7" s="1"/>
  <c r="F303" i="6"/>
  <c r="AV307" i="6"/>
  <c r="F272" i="6"/>
  <c r="AV22" i="6"/>
  <c r="F70" i="6"/>
  <c r="F73" i="6" s="1"/>
  <c r="F69" i="6"/>
  <c r="F322" i="6"/>
  <c r="F343" i="6" s="1"/>
  <c r="S18" i="6"/>
  <c r="I83" i="2"/>
  <c r="I253" i="2"/>
  <c r="AR307" i="6"/>
  <c r="F295" i="6"/>
  <c r="AR22" i="6"/>
  <c r="F293" i="6"/>
  <c r="X307" i="6"/>
  <c r="X22" i="6"/>
  <c r="AY307" i="6"/>
  <c r="F275" i="6"/>
  <c r="AY22" i="6"/>
  <c r="F321" i="6"/>
  <c r="F344" i="6" s="1"/>
  <c r="F339" i="6" s="1"/>
  <c r="R18" i="6"/>
  <c r="F294" i="6"/>
  <c r="F298" i="6" s="1"/>
  <c r="Y307" i="6"/>
  <c r="Y22" i="6"/>
  <c r="F329" i="6"/>
  <c r="U18" i="6"/>
  <c r="AW307" i="6"/>
  <c r="F273" i="6"/>
  <c r="AW22" i="6"/>
  <c r="F269" i="6"/>
  <c r="O307" i="6"/>
  <c r="O22" i="6"/>
  <c r="F331" i="6"/>
  <c r="W18" i="6"/>
  <c r="F330" i="6"/>
  <c r="V18" i="6"/>
  <c r="F174" i="6"/>
  <c r="F175" i="6"/>
  <c r="F178" i="6" s="1"/>
  <c r="F286" i="6"/>
  <c r="H16" i="7" s="1"/>
  <c r="AU307" i="6"/>
  <c r="AU22" i="6"/>
  <c r="F335" i="6" l="1"/>
  <c r="AR18" i="6"/>
  <c r="F312" i="6"/>
  <c r="AV18" i="6"/>
  <c r="F315" i="6"/>
  <c r="AY18" i="6"/>
  <c r="F326" i="6"/>
  <c r="AU18" i="6"/>
  <c r="H18" i="7"/>
  <c r="I16" i="7"/>
  <c r="I18" i="7" s="1"/>
  <c r="F309" i="6"/>
  <c r="O18" i="6"/>
  <c r="F334" i="6"/>
  <c r="F338" i="6" s="1"/>
  <c r="Y18" i="6"/>
  <c r="F333" i="6"/>
  <c r="X18" i="6"/>
  <c r="F313" i="6"/>
  <c r="AW18" i="6"/>
  <c r="F74" i="6"/>
  <c r="F75" i="6" s="1"/>
  <c r="F78" i="6" s="1"/>
  <c r="J255" i="2"/>
  <c r="J254" i="2"/>
  <c r="F297" i="6"/>
  <c r="F300" i="6" s="1"/>
  <c r="F296" i="6"/>
  <c r="F301" i="6" l="1"/>
  <c r="F302" i="6" s="1"/>
  <c r="F305" i="6" s="1"/>
  <c r="F337" i="6"/>
  <c r="F340" i="6" s="1"/>
  <c r="F336" i="6"/>
  <c r="F341" i="6" l="1"/>
  <c r="F342" i="6" s="1"/>
  <c r="F345" i="6" s="1"/>
</calcChain>
</file>

<file path=xl/sharedStrings.xml><?xml version="1.0" encoding="utf-8"?>
<sst xmlns="http://schemas.openxmlformats.org/spreadsheetml/2006/main" count="12719" uniqueCount="476">
  <si>
    <t>"УТВЕРЖДАЮ"</t>
  </si>
  <si>
    <t xml:space="preserve">ЛОКАЛЬНАЯ СМЕТА № </t>
  </si>
  <si>
    <t>(локальный сметный расчет)</t>
  </si>
  <si>
    <t>Благоустройство дворовой территории по адресу: ул.Гурьянова д.19 к.1</t>
  </si>
  <si>
    <t>(наименование работ и затрат, наименование объекта)</t>
  </si>
  <si>
    <t>Составлен(а) в уровне текущих (прогнозных) цен октябрь 2021 года</t>
  </si>
  <si>
    <t>№№ п/п</t>
  </si>
  <si>
    <t>Шифр расценки и коды ресурсов</t>
  </si>
  <si>
    <t>Наименование работ и затрат</t>
  </si>
  <si>
    <t>Единица измерения</t>
  </si>
  <si>
    <t>Кол-во единиц</t>
  </si>
  <si>
    <t>Цена на ед. изм. руб.</t>
  </si>
  <si>
    <t>Попра-вочные коэфф.</t>
  </si>
  <si>
    <t>Коэфф. зимних удоро-жаний</t>
  </si>
  <si>
    <t>Коэфф. пересчета</t>
  </si>
  <si>
    <t>ВСЕГО затрат, руб.</t>
  </si>
  <si>
    <t>Справочно</t>
  </si>
  <si>
    <t>ЗТР, всего чел.-час</t>
  </si>
  <si>
    <t>Ст-ть ед. с начислен.</t>
  </si>
  <si>
    <t>ЗП</t>
  </si>
  <si>
    <t>ЭМ</t>
  </si>
  <si>
    <t>в т.ч. ЗПМ</t>
  </si>
  <si>
    <t>МР</t>
  </si>
  <si>
    <t>НР от ЗП</t>
  </si>
  <si>
    <t>%</t>
  </si>
  <si>
    <t>СП от ЗП</t>
  </si>
  <si>
    <t>НР и СП от ЗПМ</t>
  </si>
  <si>
    <t>ЗТР</t>
  </si>
  <si>
    <t>чел-ч</t>
  </si>
  <si>
    <t>3,1</t>
  </si>
  <si>
    <t/>
  </si>
  <si>
    <t>3,2</t>
  </si>
  <si>
    <t>3,3</t>
  </si>
  <si>
    <t>6,1</t>
  </si>
  <si>
    <t>6,2</t>
  </si>
  <si>
    <t>7,1</t>
  </si>
  <si>
    <t>7,2</t>
  </si>
  <si>
    <t>10,1</t>
  </si>
  <si>
    <t>25,1</t>
  </si>
  <si>
    <t>25,2</t>
  </si>
  <si>
    <t>26,1</t>
  </si>
  <si>
    <t>26,2</t>
  </si>
  <si>
    <t>НДС 20%</t>
  </si>
  <si>
    <t>Итого с НДС</t>
  </si>
  <si>
    <t xml:space="preserve">Итого НМЦ учетом Кфин. Обеспеч </t>
  </si>
  <si>
    <t>Снижение НМЦ по решению РГ (0,05)</t>
  </si>
  <si>
    <t>ИТОГО НМЦ Контракта</t>
  </si>
  <si>
    <t>___________________________</t>
  </si>
  <si>
    <t>" ___ " ___________ 20 ___ г.</t>
  </si>
  <si>
    <t xml:space="preserve">Мы, нижеподписавшиеся, произвели осмотр объекта </t>
  </si>
  <si>
    <t xml:space="preserve">и постановили произвести ремонт объекта в </t>
  </si>
  <si>
    <t>следующем объеме:</t>
  </si>
  <si>
    <t>№ п/п</t>
  </si>
  <si>
    <t>Количество</t>
  </si>
  <si>
    <t>Примечание</t>
  </si>
  <si>
    <t>Заказчик _________________</t>
  </si>
  <si>
    <t>Подрядчик _________________</t>
  </si>
  <si>
    <t>№ в ЛСР</t>
  </si>
  <si>
    <t>Ссылка на чертежи, спецификации</t>
  </si>
  <si>
    <t>Формула расчета, расчет объемов работ и расхода материалов</t>
  </si>
  <si>
    <t>100 м2</t>
  </si>
  <si>
    <t>1000 м2</t>
  </si>
  <si>
    <t>м3</t>
  </si>
  <si>
    <t>т</t>
  </si>
  <si>
    <t>м</t>
  </si>
  <si>
    <t>100 м</t>
  </si>
  <si>
    <t>100 шт.</t>
  </si>
  <si>
    <t>шт.</t>
  </si>
  <si>
    <t>100 м3</t>
  </si>
  <si>
    <t>Главный инженер проекта _________________</t>
  </si>
  <si>
    <t>Составил _________________</t>
  </si>
  <si>
    <t>Ресурсная ведомость на</t>
  </si>
  <si>
    <t>Обоснование</t>
  </si>
  <si>
    <t>Наименование</t>
  </si>
  <si>
    <t>Объем</t>
  </si>
  <si>
    <t>Базовая</t>
  </si>
  <si>
    <t>цена</t>
  </si>
  <si>
    <t>стоимость</t>
  </si>
  <si>
    <t>Раздел: Ремонт дорожно-тропиночной сети с асфальтобетонным покрытием  - 2513 м2</t>
  </si>
  <si>
    <t xml:space="preserve">Машины и механизмы </t>
  </si>
  <si>
    <t>22.1-10-2</t>
  </si>
  <si>
    <t>Компрессоры автомобильные, производительность 5-10 м3/мин</t>
  </si>
  <si>
    <t>маш.-ч</t>
  </si>
  <si>
    <t>22.1-1-74</t>
  </si>
  <si>
    <t>Экскаваторы-погрузчики на пневмоколесном ходу гидравлические (при проведении ремонтных работ), грузоподъемность до 1,5 т, объем ковша 0,8-1,2 м3</t>
  </si>
  <si>
    <t>22.1-18-12</t>
  </si>
  <si>
    <t>Автомобили-самосвалы, грузоподъемность до 7 т</t>
  </si>
  <si>
    <t>22.1-18-13</t>
  </si>
  <si>
    <t>Автомобили-самосвалы, грузоподъемность до 10 т</t>
  </si>
  <si>
    <t>22.1-2-1</t>
  </si>
  <si>
    <t>Тракторы на гусеничном ходу, мощность до 60 (81) кВт (л.с.)</t>
  </si>
  <si>
    <t>22.1-30-54</t>
  </si>
  <si>
    <t>Молотки отбойные</t>
  </si>
  <si>
    <t>22.1-5-103</t>
  </si>
  <si>
    <t>Фрезы дорожные самоходные, ширина фрезерования 2200 мм, глубина фрезерования до 320 мм</t>
  </si>
  <si>
    <t>22.1-5-17</t>
  </si>
  <si>
    <t>Поливомоечные машины, емкость цистерны до 5000 л</t>
  </si>
  <si>
    <t>22.1-5-2</t>
  </si>
  <si>
    <t>Катки самоходные вибрационные, масса до 8 т</t>
  </si>
  <si>
    <t>22.1-5-3</t>
  </si>
  <si>
    <t>Катки самоходные вибрационные, масса более 8 т</t>
  </si>
  <si>
    <t>22.1-5-47</t>
  </si>
  <si>
    <t>Автогрейдеры, мощность 66-88 кВт (90-120 л.с.)</t>
  </si>
  <si>
    <t>22.1-5-97</t>
  </si>
  <si>
    <t>Машины дорожные для заправки спецтехники водой, емкость до 8 м3</t>
  </si>
  <si>
    <t xml:space="preserve">Итого машины и механизмы </t>
  </si>
  <si>
    <t xml:space="preserve">Материальные ресурсы </t>
  </si>
  <si>
    <t>21.1-12-31</t>
  </si>
  <si>
    <t>Щебень из естественного камня для строительных работ, марка 600-400, фракция 20-40 мм</t>
  </si>
  <si>
    <t>21.1-1-3</t>
  </si>
  <si>
    <t>Битумы нефтяные, дорожные жидкие, марка МГ, СГ</t>
  </si>
  <si>
    <t>21.1-25-13</t>
  </si>
  <si>
    <t>Вода</t>
  </si>
  <si>
    <t>21.1-25-981</t>
  </si>
  <si>
    <t>Резцы для дорожной фрезы W 2100 типа "Виртген"</t>
  </si>
  <si>
    <t xml:space="preserve">Итого материальные ресурсы </t>
  </si>
  <si>
    <t>22.1-10-4</t>
  </si>
  <si>
    <t>Компрессоры с дизельным двигателем прицепные до 2,5 м3/мин</t>
  </si>
  <si>
    <t>22.1-18-27</t>
  </si>
  <si>
    <t>Автомобили грузовые для аварийно-ремонтных работ, грузоподъемность до 7 т</t>
  </si>
  <si>
    <t>22.1-4-1</t>
  </si>
  <si>
    <t>Погрузчики универсальные на пневмоколесном ходу, грузоподъемность до 1 т</t>
  </si>
  <si>
    <t>21.1-25-1056</t>
  </si>
  <si>
    <t>Компенсаторы демпфирующие теплоизоляционные для бортового камня, самоклеющиеся, из вспененного полиэтилена, типа "Изолонтейп Дор"</t>
  </si>
  <si>
    <t>21.3-1-36</t>
  </si>
  <si>
    <t>Смеси бетонные, БСГ, тяжелого бетона на гранитном щебне фракция 20-40 для инженерных коммуникаций и дорог, класс прочности: В15 (М200); П1, F100, W2</t>
  </si>
  <si>
    <t>21.3-1-69</t>
  </si>
  <si>
    <t>Смеси бетонные, БСГ, тяжелого бетона на гранитном щебне, класс прочности: В15 (М200); П3, фракция 5-20, F50-100, W0-2</t>
  </si>
  <si>
    <t>21.5-3-13</t>
  </si>
  <si>
    <t>Камни бетонные бортовые, марка БР 100.30.15</t>
  </si>
  <si>
    <t>21.7-7-197</t>
  </si>
  <si>
    <t>Урна опрокидывающаяся металлическая круглая на ножках из стальной трубы, 300х300х950 мм</t>
  </si>
  <si>
    <t>21.7-7-38</t>
  </si>
  <si>
    <t>Диван ДП-6 деревянный на каркасе из металлического уголка с ножками из металлической трубы, окрашенный цветными эмалями, размеры 2000х900х650 мм</t>
  </si>
  <si>
    <t>22.1-17-39</t>
  </si>
  <si>
    <t>Плуги выкопочные (без трактора)</t>
  </si>
  <si>
    <t>22.1-2-7</t>
  </si>
  <si>
    <t>Тракторы на пневмоколесном ходу, мощность до 60 (81) кВт (л.с.)</t>
  </si>
  <si>
    <t>21.4-6-11</t>
  </si>
  <si>
    <t>Семена (смесь универсальная) газонных трав</t>
  </si>
  <si>
    <t>кг</t>
  </si>
  <si>
    <t>21.4-6-5</t>
  </si>
  <si>
    <t>Земля растительная</t>
  </si>
  <si>
    <t>Раздел: Устройство дорожно-тропиночной сети с асфальтобетонным покрытием -42 м2</t>
  </si>
  <si>
    <t>22.1-1-4</t>
  </si>
  <si>
    <t>Экскаваторы на гусеничном ходу гидравлические, объем ковша до 0,5 м3</t>
  </si>
  <si>
    <t>22.1-1-43</t>
  </si>
  <si>
    <t>Бульдозеры гусеничные, мощность до 59 кВт (80 л.с.)</t>
  </si>
  <si>
    <t>22.1-1-44</t>
  </si>
  <si>
    <t>Бульдозеры гусеничные, мощность до 79 кВт (108 л.с.)</t>
  </si>
  <si>
    <t>22.1-5-15</t>
  </si>
  <si>
    <t>Катки прицепные пневмоколесные, масса до 50 т</t>
  </si>
  <si>
    <t>22.1-5-18</t>
  </si>
  <si>
    <t>Поливомоечные машины, емкость цистерны более 5000 л</t>
  </si>
  <si>
    <t>22.1-5-48</t>
  </si>
  <si>
    <t>Автогрейдеры, мощность 99-147 кВт (130-200 л.с.)</t>
  </si>
  <si>
    <t>22.1-5-7</t>
  </si>
  <si>
    <t>Катки дорожные самоходные на пневмоколесном ходу, масса до 16 т</t>
  </si>
  <si>
    <t>21.1-12-10</t>
  </si>
  <si>
    <t>Песок для дорожных работ, рядовой</t>
  </si>
  <si>
    <t>21.3-3-34</t>
  </si>
  <si>
    <t>Смеси асфальтобетонные дорожные горячие песчаные, тип Д, марка II</t>
  </si>
  <si>
    <t>Smeta.RU  (495) 974-1589</t>
  </si>
  <si>
    <t>_PS_</t>
  </si>
  <si>
    <t>Smeta.RU</t>
  </si>
  <si>
    <t>Г43 в ценах 2022г.</t>
  </si>
  <si>
    <t>Г19 к.1 -ремонт АБП</t>
  </si>
  <si>
    <t>Сметные нормы списания</t>
  </si>
  <si>
    <t>Коды ОКП для СН-2012 - 2022 г.</t>
  </si>
  <si>
    <t>СН-2012 - 2022 г_глава_1-5,7</t>
  </si>
  <si>
    <t>Типовой расчет для СН-2012 - 2022 г</t>
  </si>
  <si>
    <t>СН-2012-2022 г. База данных "Сборник стоимостных нормативов"</t>
  </si>
  <si>
    <t>Поправки для СН-2012-2022 в ценах на 01.10.2021 г</t>
  </si>
  <si>
    <t>Новая локальная смета</t>
  </si>
  <si>
    <t>Новый раздел</t>
  </si>
  <si>
    <t>Ремонт дорожно-тропиночной сети с асфальтобетонным покрытием  - 2513 м2</t>
  </si>
  <si>
    <t>1</t>
  </si>
  <si>
    <t>2.1-3104-2-3/1</t>
  </si>
  <si>
    <t>Срезка поверхностного слоя асфальтобетонных дорожных покрытий методом холодного фрезерования при ширине барабана фрезы 2000 (2100) мм толщиной 6 см, без препятствий</t>
  </si>
  <si>
    <t>СН-2012-2022.2. База. Сб.1-3104-2-3/1</t>
  </si>
  <si>
    <t>СН-2012</t>
  </si>
  <si>
    <t>Подрядные работы, гл. 1-5,7</t>
  </si>
  <si>
    <t>работа</t>
  </si>
  <si>
    <t>2</t>
  </si>
  <si>
    <t>2.1-3104-2-6/1</t>
  </si>
  <si>
    <t>Срезка поверхностного слоя асфальтобетонных дорожных покрытий методом холодного фрезерования при ширине барабана фрезы 2000 (2100) мм, добавляется или исключается на 1 см</t>
  </si>
  <si>
    <t>СН-2012-2022.2. База. Сб.1-3104-2-6/1</t>
  </si>
  <si>
    <t>3</t>
  </si>
  <si>
    <t>2.1-3301-2-1/1</t>
  </si>
  <si>
    <t>Исправление профиля щебеночных оснований с добавлением нового материала (2513м2х0,3=753,9м2)</t>
  </si>
  <si>
    <t>СН-2012-2022.2. База. Сб.1-3301-2-1/1</t>
  </si>
  <si>
    <t>21.1-12-35</t>
  </si>
  <si>
    <t>Щебень из естественного камня для строительных работ, марка 1200-800, фракция 10-20 мм</t>
  </si>
  <si>
    <t>СН-2012-2022.21. База. Р.1, о.12, поз.35</t>
  </si>
  <si>
    <t>21.1-12-36</t>
  </si>
  <si>
    <t>Щебень из естественного камня для строительных работ, марка 1200-800, фракция 20-40 мм</t>
  </si>
  <si>
    <t>СН-2012-2022.21. База. Р.1, о.12, поз.36</t>
  </si>
  <si>
    <t>СН-2012-2022.21. База. Р.1, о.12, поз.31</t>
  </si>
  <si>
    <t>4</t>
  </si>
  <si>
    <t>1.49-9201-1-2/1</t>
  </si>
  <si>
    <t>Перевозка строительного мусора автосамосвалами грузоподъемностью до 10 т на расстояние 1 км - при механизированной погрузке (2513м2*0,05*2,4т=301,56т)</t>
  </si>
  <si>
    <t>СН-2012-2022.1. База. Сб.49-9201-1-2/1</t>
  </si>
  <si>
    <t>Подрядные работы, гл. 1 перевозка мусора</t>
  </si>
  <si>
    <t>5</t>
  </si>
  <si>
    <t>1.49-9201-1-3/1</t>
  </si>
  <si>
    <t>Перевозка строительного мусора автосамосвалами грузоподъемностью до 10 т - добавляется на каждый последующий 1 км до 100 км</t>
  </si>
  <si>
    <t>СН-2012-2022.1. База. Сб.49-9201-1-3/1</t>
  </si>
  <si>
    <t>)*52</t>
  </si>
  <si>
    <t>6</t>
  </si>
  <si>
    <t>2.1-3103-19-4/1</t>
  </si>
  <si>
    <t>Устройство асфальтобетонных покрытий дорожек и тротуаров двухслойных, верхний слой из песчаной асфальтобетонной смеси толщиной 3 см (толщина 5 см)</t>
  </si>
  <si>
    <t>СН-2012-2022.2. База. Сб.1-3103-19-4/1</t>
  </si>
  <si>
    <t>Смеси асфальтобетонные дорожные горячие песчаные, тип Д, марка III</t>
  </si>
  <si>
    <t>СН-2012-2022.21. База. Р.3, о.3, поз.34</t>
  </si>
  <si>
    <t>ПЗ</t>
  </si>
  <si>
    <t>Прямые затраты</t>
  </si>
  <si>
    <t>СтМатОб</t>
  </si>
  <si>
    <t>Стоимость материальных ресурсов (всего)</t>
  </si>
  <si>
    <t>СтМатОбЗак</t>
  </si>
  <si>
    <t>Стоимость материалов и оборудования заказчика</t>
  </si>
  <si>
    <t>СтМатОбПод</t>
  </si>
  <si>
    <t>Стоимость материалов и оборудования подрядчика</t>
  </si>
  <si>
    <t>СтМат</t>
  </si>
  <si>
    <t>Стоимость материалов (всего)</t>
  </si>
  <si>
    <t>СтМатЗак</t>
  </si>
  <si>
    <t>Стоимость материалов заказчика</t>
  </si>
  <si>
    <t>СтМатПод</t>
  </si>
  <si>
    <t>Стоимость материалов подрядчика</t>
  </si>
  <si>
    <t>Оборуд</t>
  </si>
  <si>
    <t>Стоимость оборудования (всего)</t>
  </si>
  <si>
    <t>ОборудЗак</t>
  </si>
  <si>
    <t>Стоимость оборудования заказчика</t>
  </si>
  <si>
    <t>ОборудПод</t>
  </si>
  <si>
    <t>Стоимость оборудования подрядчика</t>
  </si>
  <si>
    <t>ЭММ</t>
  </si>
  <si>
    <t>Эксплуатация машин</t>
  </si>
  <si>
    <t>ЭММсНРиСП</t>
  </si>
  <si>
    <t>Эксплуатация машин по ТСН-2001.16</t>
  </si>
  <si>
    <t>ЗПМ</t>
  </si>
  <si>
    <t>ЗП машинистов</t>
  </si>
  <si>
    <t>ОЗП</t>
  </si>
  <si>
    <t>Основная ЗП рабочих</t>
  </si>
  <si>
    <t>ОЗПсНРиСП</t>
  </si>
  <si>
    <t>Основная ЗП рабочих по ТСН-2001.16</t>
  </si>
  <si>
    <t>Строит</t>
  </si>
  <si>
    <t>Строительные работы с НР и СП</t>
  </si>
  <si>
    <t>Монтаж</t>
  </si>
  <si>
    <t>Монтажные работы с НР и СП</t>
  </si>
  <si>
    <t>Прочие</t>
  </si>
  <si>
    <t>Прочие работы с НР и СП</t>
  </si>
  <si>
    <t>ПрочиеЗатр</t>
  </si>
  <si>
    <t>Прочие затраты по ТСН-2001.16</t>
  </si>
  <si>
    <t>ВозврМат</t>
  </si>
  <si>
    <t>Возврат материалов</t>
  </si>
  <si>
    <t>ТрудСтр</t>
  </si>
  <si>
    <t>Трудозатраты строителей</t>
  </si>
  <si>
    <t>ТрудМаш</t>
  </si>
  <si>
    <t>Трудозатраты машинистов</t>
  </si>
  <si>
    <t>ТранспМат</t>
  </si>
  <si>
    <t>Транспорт материалов</t>
  </si>
  <si>
    <t>Перевозка</t>
  </si>
  <si>
    <t>Перевозка грузов</t>
  </si>
  <si>
    <t>НР</t>
  </si>
  <si>
    <t>Накладные расходы</t>
  </si>
  <si>
    <t>СмПриб</t>
  </si>
  <si>
    <t>Сметная прибыль</t>
  </si>
  <si>
    <t>Всего</t>
  </si>
  <si>
    <t>Всего с НР и СП</t>
  </si>
  <si>
    <t>Всего по смете</t>
  </si>
  <si>
    <t>Всго по смете</t>
  </si>
  <si>
    <t>Итого без учета ЗП и ЗПМ</t>
  </si>
  <si>
    <t>Итого по смете без учета зар.платы (ЗП и ЗПМ)</t>
  </si>
  <si>
    <t>СП от ЗПМ</t>
  </si>
  <si>
    <t>Итого без СП от ЗП и ЗПМ</t>
  </si>
  <si>
    <t>Итого без учета СП от ЗП и ЗПМ</t>
  </si>
  <si>
    <t>Итого с НДС без учета ЗП</t>
  </si>
  <si>
    <t>ЗП основного персонала</t>
  </si>
  <si>
    <t>Зар.плата основного персонала (ЗП) по смете</t>
  </si>
  <si>
    <t>ЗПМ по смете</t>
  </si>
  <si>
    <t>Зар.плата машинистов (ЗПМ) по смете</t>
  </si>
  <si>
    <t>ВСЕГО:</t>
  </si>
  <si>
    <t>Устройство бортового камня</t>
  </si>
  <si>
    <t>7</t>
  </si>
  <si>
    <t>2.1-3202-1-1/1</t>
  </si>
  <si>
    <t>Замена бортового камня бетонного во дворовых территориях</t>
  </si>
  <si>
    <t>СН-2012-2022.2. База. Сб.1-3202-1-1/1</t>
  </si>
  <si>
    <t>21.3-2-15</t>
  </si>
  <si>
    <t>Растворы цементные, марка 100</t>
  </si>
  <si>
    <t>СН-2012-2022.21. База. Р.3, о.2, поз.15</t>
  </si>
  <si>
    <t>9999990001</t>
  </si>
  <si>
    <t>Масса мусора</t>
  </si>
  <si>
    <t>8</t>
  </si>
  <si>
    <t>Перевозка строительного мусора автосамосвалами грузоподъемностью до 10 т на расстояние 1 км - при механизированной погрузке</t>
  </si>
  <si>
    <t>9</t>
  </si>
  <si>
    <t>10</t>
  </si>
  <si>
    <t>2.1-3203-1-2/1</t>
  </si>
  <si>
    <t>Установка бортовых камней бетонных марки БР 100.30.15 при других видах покрытий</t>
  </si>
  <si>
    <t>СН-2012-2022.2. База. Сб.1-3203-1-2/1</t>
  </si>
  <si>
    <t>11</t>
  </si>
  <si>
    <t>2.1-3203-35-1/1</t>
  </si>
  <si>
    <t>Устройство демпфирующего теплоизоляционного материала типа "Изолонтейп Дор" между бортовыми камнями при установке и ремонте бетонного или гранитного бортового камня</t>
  </si>
  <si>
    <t>СН-2012-2022.2. База. Сб.1-3203-35-1/1</t>
  </si>
  <si>
    <t>Устройство малых архитектурных форм</t>
  </si>
  <si>
    <t>12</t>
  </si>
  <si>
    <t>СН-2012-2022.21. База. Р.7, о.7, поз.38</t>
  </si>
  <si>
    <t>13</t>
  </si>
  <si>
    <t>СН-2012-2022.21. База. Р.7, о.7, поз.197</t>
  </si>
  <si>
    <t>Ремонт газонов -300м2</t>
  </si>
  <si>
    <t>14</t>
  </si>
  <si>
    <t>5.4-3203-3-3/1</t>
  </si>
  <si>
    <t>Подготовка почвы для устройства партерного и обыкновенного газонов с внесением растительной земли слоем 15 см механизированным способом</t>
  </si>
  <si>
    <t>СН-2012-2022.5. База. Сб.4-3203-3-3/1</t>
  </si>
  <si>
    <t>15</t>
  </si>
  <si>
    <t>5.4-3203-3-4/1</t>
  </si>
  <si>
    <t>Подготовка почвы для устройства партерного и обыкновенного газонов с внесением растительной земли слоем 15 см вручную</t>
  </si>
  <si>
    <t>СН-2012-2022.5. База. Сб.4-3203-3-4/1</t>
  </si>
  <si>
    <t>16</t>
  </si>
  <si>
    <t>5.4-3203-3-5/1</t>
  </si>
  <si>
    <t>Подготовка почвы для устройства партерного и обыкновенного газонов на каждые 5 см изменения толщины слоя добавлять или исключать</t>
  </si>
  <si>
    <t>СН-2012-2022.5. База. Сб.4-3203-3-5/1</t>
  </si>
  <si>
    <t>17</t>
  </si>
  <si>
    <t>5.4-3203-3-6/1</t>
  </si>
  <si>
    <t>Посев газонов партерных, мавританских, и обыкновенных вручную</t>
  </si>
  <si>
    <t>СН-2012-2022.5. База. Сб.4-3203-3-6/1</t>
  </si>
  <si>
    <t>Устройство дорожно-тропиночной сети с асфальтобетонным покрытием -42 м2</t>
  </si>
  <si>
    <t>18</t>
  </si>
  <si>
    <t>2.49-3101-3-3/1</t>
  </si>
  <si>
    <t>Разработка грунта с погрузкой на автомобили-самосвалы экскаваторами с ковшом вместимостью 0,5 м3, группа грунтов 1-3  (42 м2х0,25=10,5 м3х0,9=9,45м3)</t>
  </si>
  <si>
    <t>СН-2012-2022.2. База. Сб.49-3101-3-3/1</t>
  </si>
  <si>
    <t>19</t>
  </si>
  <si>
    <t>2.49-3201-14-1/1</t>
  </si>
  <si>
    <t>Разработка грунта вручную в траншеях глубиной до 2 м без креплений с откосами, группа грунтов 1-3 (42 м2х0,25=10,5 м3х0,1=1,05м3)</t>
  </si>
  <si>
    <t>СН-2012-2022.2. База. Сб.49-3201-14-1/1</t>
  </si>
  <si>
    <t>20</t>
  </si>
  <si>
    <t>Разработка грунта с погрузкой на автомобили-самосвалы экскаваторами с ковшом вместимостью 0,5 м3, группа грунтов 1-3  (1,05м3*0,9=0,945м3-погрузка грунта разработанного вручную)</t>
  </si>
  <si>
    <t>21</t>
  </si>
  <si>
    <t>1.1-3101-6-1/1</t>
  </si>
  <si>
    <t>Погрузка грунта вручную в автомобили-самосвалы с выгрузкой (1,05м3х0,1=0,105м3)</t>
  </si>
  <si>
    <t>СН-2012-2022.1. База. Сб.1-3101-6-1/1</t>
  </si>
  <si>
    <t>22</t>
  </si>
  <si>
    <t>2.49-3401-1-1/1</t>
  </si>
  <si>
    <t>Перевозка грунта автосамосвалами грузоподъемностью до 10 т на расстояние 1 км</t>
  </si>
  <si>
    <t>СН-2012-2022.2. База. Сб.49-3401-1-1/1</t>
  </si>
  <si>
    <t>23</t>
  </si>
  <si>
    <t>2.49-3401-1-2/1</t>
  </si>
  <si>
    <t>Перевозка грунта автосамосвалами грузоподъемностью до 10 т - добавляется на каждый последующий 1 км до 100 км (к поз. 49-3401-1-1)</t>
  </si>
  <si>
    <t>СН-2012-2022.2. База. Сб.49-3401-1-2/1</t>
  </si>
  <si>
    <t>24</t>
  </si>
  <si>
    <t>2.1-3303-1-1/1</t>
  </si>
  <si>
    <t>Устройство подстилающих и выравнивающих слоев оснований из песка (10см)</t>
  </si>
  <si>
    <t>СН-2012-2022.2. База. Сб.1-3303-1-1/1</t>
  </si>
  <si>
    <t>25</t>
  </si>
  <si>
    <t>2.1-3303-1-2/1</t>
  </si>
  <si>
    <t>Устройство подстилающих и выравнивающих слоев оснований из щебня (10 см)</t>
  </si>
  <si>
    <t>СН-2012-2022.2. База. Сб.1-3303-1-2/1</t>
  </si>
  <si>
    <t>26</t>
  </si>
  <si>
    <t>Устройство асфальтобетонных покрытий дорожек и тротуаров двухслойных, верхний слой из песчаной асфальтобетонной смеси толщиной 3 см (5см)</t>
  </si>
  <si>
    <t>Уровень цен на 01.10.2021 г</t>
  </si>
  <si>
    <t>_OBSM_</t>
  </si>
  <si>
    <t>9999990008</t>
  </si>
  <si>
    <t>Трудозатраты рабочих</t>
  </si>
  <si>
    <t>чел.-ч.</t>
  </si>
  <si>
    <t>СН-2012-2022.22. База. п.1-10-2 (100102)</t>
  </si>
  <si>
    <t>СН-2012-2022.22. База. п.1-1-74 (010809)</t>
  </si>
  <si>
    <t>СН-2012-2022.22. База. п.1-30-54 (308901)</t>
  </si>
  <si>
    <t>СН-2012-2022.22. База. п.1-5-103 (054305)</t>
  </si>
  <si>
    <t>СН-2012-2022.22. База. п.1-5-97 (058301)</t>
  </si>
  <si>
    <t>СН-2012-2022.21. База. Р.1, о.25, поз.13</t>
  </si>
  <si>
    <t>СН-2012-2022.21. База. Р.1, о.25, поз.981</t>
  </si>
  <si>
    <t>СН-2012-2022.22. База. п.1-2-1 (020101)</t>
  </si>
  <si>
    <t>СН-2012-2022.22. База. п.1-5-17 (050901)</t>
  </si>
  <si>
    <t>СН-2012-2022.22. База. п.1-5-2 (050102)</t>
  </si>
  <si>
    <t>СН-2012-2022.22. База. п.1-5-3 (050103)</t>
  </si>
  <si>
    <t>СН-2012-2022.22. База. п.1-5-47 (056001)</t>
  </si>
  <si>
    <t>СН-2012-2022.22. База. п.1-18-12 (184001)</t>
  </si>
  <si>
    <t>СН-2012-2022.22. База. п.1-18-13 (184002)</t>
  </si>
  <si>
    <t>СН-2012-2022.21. База. Р.1, о.1, поз.3</t>
  </si>
  <si>
    <t>СН-2012-2022.22. База. п.1-10-4 (101001)</t>
  </si>
  <si>
    <t>СН-2012-2022.22. База. п.1-18-27 (183301)</t>
  </si>
  <si>
    <t>СН-2012-2022.22. База. п.1-4-1 (040101)</t>
  </si>
  <si>
    <t>СН-2012-2022.21. База. Р.3, о.1, поз.36</t>
  </si>
  <si>
    <t>СН-2012-2022.21. База. Р.5, о.3, поз.13</t>
  </si>
  <si>
    <t>СН-2012-2022.21. База. Р.3, о.1, поз.69</t>
  </si>
  <si>
    <t>СН-2012-2022.21. База. Р.1, о.25, поз.1056</t>
  </si>
  <si>
    <t>СН-2012-2022.22. База. п.1-17-39 (176001)</t>
  </si>
  <si>
    <t>СН-2012-2022.22. База. п.1-2-7 (021003)</t>
  </si>
  <si>
    <t>СН-2012-2022.21. База. Р.4, о.6, поз.5</t>
  </si>
  <si>
    <t>СН-2012-2022.21. База. Р.4, о.6, поз.11</t>
  </si>
  <si>
    <t>СН-2012-2022.22. База. п.1-1-4 (010105)</t>
  </si>
  <si>
    <t>СН-2012-2022.22. База. п.1-1-44 (012103)</t>
  </si>
  <si>
    <t>СН-2012-2022.22. База. п.1-5-15 (050703)</t>
  </si>
  <si>
    <t>СН-2012-2022.22. База. п.1-5-18 (050902)</t>
  </si>
  <si>
    <t>СН-2012-2022.22. База. п.1-5-48 (056003)</t>
  </si>
  <si>
    <t>СН-2012-2022.22. База. п.1-5-7 (050301)</t>
  </si>
  <si>
    <t>СН-2012-2022.21. База. Р.1, о.12, поз.10</t>
  </si>
  <si>
    <t>СН-2012-2022.22. База. п.1-1-43 (012102)</t>
  </si>
  <si>
    <t>Раздел: Ремонт дорожно-тропиночной сети с асфальтобетонным покрытием  - 1294 м2</t>
  </si>
  <si>
    <t>Г19 к.2 -ремонт АБП</t>
  </si>
  <si>
    <t>Ремонт дорожно-тропиночной сети с асфальтобетонным покрытием  - 1294 м2</t>
  </si>
  <si>
    <t>Исправление профиля щебеночных оснований с добавлением нового материала (1294м2х0,3=388,2м2)</t>
  </si>
  <si>
    <t>Перевозка строительного мусора автосамосвалами грузоподъемностью до 10 т на расстояние 1 км - при механизированной погрузке (1294м2*0,05*2,4т=155,28т)</t>
  </si>
  <si>
    <t>28,1</t>
  </si>
  <si>
    <t>28,2</t>
  </si>
  <si>
    <t>29,1</t>
  </si>
  <si>
    <t>29,2</t>
  </si>
  <si>
    <t>100 отверстий</t>
  </si>
  <si>
    <t>Раздел: Ремонт дорожно-тропиночной сети с асфальтобетонным покрытием  - 1800 м2</t>
  </si>
  <si>
    <t>Раздел: Устройство дорожно-тропиночной сети с асфальтобетонным покрытием -205 м2  ( в том числе площадка отдыха- 65,0 м2, дорожки -140м2)</t>
  </si>
  <si>
    <t>22.1-1-5</t>
  </si>
  <si>
    <t>Экскаваторы на гусеничном ходу гидравлические, объем ковша до 0,65 м3</t>
  </si>
  <si>
    <t>22.1-30-10</t>
  </si>
  <si>
    <t>Перфораторы электрические, мощность до 500 Вт</t>
  </si>
  <si>
    <t>21.7-3-51</t>
  </si>
  <si>
    <t>Сверло победитовое, диаметр 12 мм, длина 550 мм</t>
  </si>
  <si>
    <t>цена поставщика</t>
  </si>
  <si>
    <t>Парковочный столбик (анкерное крепление)          Базисная стоимость: 1291,67 =  (1550,00/1,2)</t>
  </si>
  <si>
    <t>Г43 в ценах 2022г._(Копия)</t>
  </si>
  <si>
    <t>Шоссейная д.20</t>
  </si>
  <si>
    <t>Ремонт дорожно-тропиночной сети с асфальтобетонным покрытием  - 1800 м2</t>
  </si>
  <si>
    <t>Исправление профиля щебеночных оснований с добавлением нового материала (1800м2х0,3=540м2)</t>
  </si>
  <si>
    <t>Перевозка строительного мусора автосамосвалами грузоподъемностью до 10 т на расстояние 1 км - при механизированной погрузке (1800м2*0,05*2,4т=216т)</t>
  </si>
  <si>
    <t>Устройство дорожно-тропиночной сети с асфальтобетонным покрытием -205 м2  ( в том числе площадка отдыха- 65,0 м2, дорожки -140м2)</t>
  </si>
  <si>
    <t>2.1-3104-4-1/1</t>
  </si>
  <si>
    <t>Разборка тротуаров и дорожек из плит с отноской и укладкой в штабель (65м2х0,07=4,55м3х2,4т=10,92т)</t>
  </si>
  <si>
    <t>СН-2012-2022.2. База. Сб.1-3104-4-1/1</t>
  </si>
  <si>
    <t>2.1-3104-1-2/1</t>
  </si>
  <si>
    <t>Разборка покрытий и оснований щебеночных (65х0,2=13 м3х1,8т=23,4т)</t>
  </si>
  <si>
    <t>СН-2012-2022.2. База. Сб.1-3104-1-2/1</t>
  </si>
  <si>
    <t>1.50-3305-4-1/1</t>
  </si>
  <si>
    <t>Погрузка и выгрузка вручную строительного мусора на транспортные средства  (10,92т+23,4т=34,32тх0,1=3,432т)</t>
  </si>
  <si>
    <t>СН-2012-2022.1. База. Сб.50-3305-4-1/1</t>
  </si>
  <si>
    <t>1.49-9101-7-1/1</t>
  </si>
  <si>
    <t>Механизированная погрузка строительного мусора в автомобили-самосвалы (10,92т+23,4т=34,32тх0,9=30,888т)</t>
  </si>
  <si>
    <t>СН-2012-2022.1. База. Сб.49-9101-7-1/1</t>
  </si>
  <si>
    <t>1.49-9201-1-1/1</t>
  </si>
  <si>
    <t>Перевозка строительного мусора автосамосвалами грузоподъемностью до 10 т на расстояние 1 км - при погрузке вручную</t>
  </si>
  <si>
    <t>СН-2012-2022.1. База. Сб.49-9201-1-1/1</t>
  </si>
  <si>
    <t>Разработка грунта с погрузкой на автомобили-самосвалы экскаваторами с ковшом вместимостью 0,5 м3, группа грунтов 1-3  (140 м2х0,25=35 м3х0,9=31,5м3)</t>
  </si>
  <si>
    <t>Разработка грунта вручную в траншеях глубиной до 2 м без креплений с откосами, группа грунтов 1-3   (140 м2х0,25=35 м3х0,1=3,5м3)</t>
  </si>
  <si>
    <t>Разработка грунта с погрузкой на автомобили-самосвалы экскаваторами с ковшом вместимостью 0,5 м3, группа грунтов 1-3  (3,5м3*0,9=3,15м3-погрузка грунта разработанного вручную)</t>
  </si>
  <si>
    <t>Погрузка грунта вручную в автомобили-самосвалы с выгрузкой (3,5м3*0,1=0,35м3)</t>
  </si>
  <si>
    <t>27</t>
  </si>
  <si>
    <t>28</t>
  </si>
  <si>
    <t>29</t>
  </si>
  <si>
    <t>Ремонт газонов -800м2</t>
  </si>
  <si>
    <t>30</t>
  </si>
  <si>
    <t>31</t>
  </si>
  <si>
    <t>32</t>
  </si>
  <si>
    <t>33</t>
  </si>
  <si>
    <t>Устройство парковочных столбиков -42 шт.</t>
  </si>
  <si>
    <t>34</t>
  </si>
  <si>
    <t>1.50-3204-11-1/1</t>
  </si>
  <si>
    <t>Сверление сквозных отверстий в бетонных стенах и полах электроперфоратором, диаметр отверстия до 20 мм, глубина сверления 100 мм (установка антипарковочных столбиков)</t>
  </si>
  <si>
    <t>СН-2012-2022.1. База. Сб.50-3204-11-1/1</t>
  </si>
  <si>
    <t>35</t>
  </si>
  <si>
    <t>1.50-3203-4-2/1</t>
  </si>
  <si>
    <t>Установка распорных анкеров в готовые отверстия, анкер-болт M16/25 - M16/50  (установка антипарковочных столбиков)</t>
  </si>
  <si>
    <t>СН-2012-2022.1. База. Сб.50-3203-4-2/1</t>
  </si>
  <si>
    <t>35,1</t>
  </si>
  <si>
    <t>21.7-5-10</t>
  </si>
  <si>
    <t>Анкер-болт забивной распорный, оцинкованный, HSL M16/50</t>
  </si>
  <si>
    <t>СН-2012-2022.21. База. Р.7, о.5, поз.10</t>
  </si>
  <si>
    <t>35,2</t>
  </si>
  <si>
    <t>21.7-5-9</t>
  </si>
  <si>
    <t>Анкер-болт забивной распорный, оцинкованный, HSL M16/25</t>
  </si>
  <si>
    <t>СН-2012-2022.21. База. Р.7, о.5, поз.9</t>
  </si>
  <si>
    <t>35,3</t>
  </si>
  <si>
    <t>занесена вручную</t>
  </si>
  <si>
    <t>СН-2012-2022.22. База. п.1-1-5 (010109)</t>
  </si>
  <si>
    <t>СН-2012-2022.22. База. п.1-30-10 (304101)</t>
  </si>
  <si>
    <t>СН-2012-2022.21. База. Р.7, о.3, поз.51</t>
  </si>
  <si>
    <t xml:space="preserve">Руководитель  ГБУ г. Москвы "Жилищник района Печатники" </t>
  </si>
  <si>
    <t>______________________________А.Ю.Бобрышев</t>
  </si>
  <si>
    <t>"_____"________________ 20____ г.</t>
  </si>
  <si>
    <t>Раздел: Замена и устройство бортового камня - 690 п.м.</t>
  </si>
  <si>
    <t>Итого по разделу: Замена и устройство бортового камня - 690 п.м.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</si>
</sst>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"/>
    <numFmt numFmtId="165" formatCode="#,##0.00;[Red]\-\ #,##0.00"/>
  </numFmts>
  <fonts count="2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charset val="204"/>
    </font>
    <font>
      <sz val="9"/>
      <name val="Arial"/>
      <family val="2"/>
      <charset val="204"/>
    </font>
    <font>
      <sz val="11"/>
      <name val="Arial"/>
      <family val="2"/>
      <charset val="204"/>
    </font>
    <font>
      <b/>
      <sz val="13"/>
      <name val="Arial"/>
      <family val="2"/>
      <charset val="204"/>
    </font>
    <font>
      <b/>
      <sz val="12"/>
      <name val="Arial"/>
      <family val="2"/>
      <charset val="204"/>
    </font>
    <font>
      <b/>
      <sz val="14"/>
      <name val="Arial"/>
      <family val="2"/>
      <charset val="204"/>
    </font>
    <font>
      <i/>
      <sz val="11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13"/>
      <name val="Arial"/>
      <family val="2"/>
      <charset val="204"/>
    </font>
    <font>
      <b/>
      <sz val="10"/>
      <color indexed="12"/>
      <name val="Arial"/>
      <charset val="204"/>
    </font>
    <font>
      <b/>
      <sz val="10"/>
      <color indexed="16"/>
      <name val="Arial"/>
      <charset val="204"/>
    </font>
    <font>
      <b/>
      <sz val="10"/>
      <color indexed="20"/>
      <name val="Arial"/>
      <charset val="204"/>
    </font>
    <font>
      <b/>
      <sz val="10"/>
      <color indexed="17"/>
      <name val="Arial"/>
      <charset val="204"/>
    </font>
    <font>
      <sz val="10"/>
      <color indexed="12"/>
      <name val="Arial"/>
      <charset val="204"/>
    </font>
    <font>
      <sz val="10"/>
      <color indexed="14"/>
      <name val="Arial"/>
      <charset val="204"/>
    </font>
    <font>
      <b/>
      <sz val="10"/>
      <color indexed="14"/>
      <name val="Arial"/>
      <charset val="204"/>
    </font>
    <font>
      <sz val="12"/>
      <name val="Arial"/>
      <family val="2"/>
      <charset val="204"/>
    </font>
    <font>
      <b/>
      <sz val="10"/>
      <color indexed="12"/>
      <name val="Arial"/>
      <family val="2"/>
      <charset val="204"/>
    </font>
    <font>
      <b/>
      <sz val="10"/>
      <color indexed="16"/>
      <name val="Arial"/>
      <family val="2"/>
      <charset val="204"/>
    </font>
    <font>
      <b/>
      <sz val="10"/>
      <color indexed="20"/>
      <name val="Arial"/>
      <family val="2"/>
      <charset val="204"/>
    </font>
    <font>
      <b/>
      <sz val="10"/>
      <color indexed="17"/>
      <name val="Arial"/>
      <family val="2"/>
      <charset val="204"/>
    </font>
    <font>
      <sz val="10"/>
      <color indexed="12"/>
      <name val="Arial"/>
      <family val="2"/>
      <charset val="204"/>
    </font>
    <font>
      <sz val="10"/>
      <color indexed="14"/>
      <name val="Arial"/>
      <family val="2"/>
      <charset val="204"/>
    </font>
    <font>
      <b/>
      <sz val="10"/>
      <color indexed="14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9" fillId="0" borderId="0"/>
    <xf numFmtId="0" fontId="27" fillId="0" borderId="0"/>
    <xf numFmtId="0" fontId="9" fillId="0" borderId="0"/>
  </cellStyleXfs>
  <cellXfs count="101">
    <xf numFmtId="0" fontId="0" fillId="0" borderId="0" xfId="0"/>
    <xf numFmtId="0" fontId="3" fillId="0" borderId="0" xfId="2" applyFont="1"/>
    <xf numFmtId="0" fontId="2" fillId="0" borderId="0" xfId="2"/>
    <xf numFmtId="0" fontId="4" fillId="0" borderId="0" xfId="2" applyFont="1" applyAlignment="1">
      <alignment horizontal="right"/>
    </xf>
    <xf numFmtId="0" fontId="4" fillId="0" borderId="0" xfId="2" applyFont="1"/>
    <xf numFmtId="164" fontId="4" fillId="0" borderId="0" xfId="2" applyNumberFormat="1" applyFont="1"/>
    <xf numFmtId="1" fontId="4" fillId="0" borderId="0" xfId="2" applyNumberFormat="1" applyFont="1"/>
    <xf numFmtId="0" fontId="8" fillId="0" borderId="1" xfId="2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 wrapText="1"/>
    </xf>
    <xf numFmtId="0" fontId="4" fillId="0" borderId="0" xfId="2" applyFont="1" applyAlignment="1">
      <alignment horizontal="left" vertical="top" wrapText="1"/>
    </xf>
    <xf numFmtId="0" fontId="8" fillId="0" borderId="0" xfId="2" applyFont="1" applyAlignment="1">
      <alignment horizontal="right" wrapText="1"/>
    </xf>
    <xf numFmtId="165" fontId="4" fillId="0" borderId="0" xfId="2" applyNumberFormat="1" applyFont="1" applyAlignment="1">
      <alignment horizontal="right"/>
    </xf>
    <xf numFmtId="0" fontId="4" fillId="0" borderId="0" xfId="2" applyFont="1" applyAlignment="1">
      <alignment horizontal="right" wrapText="1"/>
    </xf>
    <xf numFmtId="0" fontId="9" fillId="0" borderId="0" xfId="2" applyFont="1" applyAlignment="1">
      <alignment vertical="top" wrapText="1"/>
    </xf>
    <xf numFmtId="165" fontId="8" fillId="0" borderId="0" xfId="2" applyNumberFormat="1" applyFont="1" applyAlignment="1">
      <alignment horizontal="right"/>
    </xf>
    <xf numFmtId="0" fontId="2" fillId="0" borderId="5" xfId="2" applyBorder="1"/>
    <xf numFmtId="165" fontId="10" fillId="0" borderId="5" xfId="2" applyNumberFormat="1" applyFont="1" applyBorder="1" applyAlignment="1">
      <alignment horizontal="right"/>
    </xf>
    <xf numFmtId="165" fontId="2" fillId="0" borderId="0" xfId="2" applyNumberFormat="1"/>
    <xf numFmtId="0" fontId="4" fillId="0" borderId="0" xfId="2" quotePrefix="1" applyFont="1" applyAlignment="1">
      <alignment horizontal="right" wrapText="1"/>
    </xf>
    <xf numFmtId="0" fontId="10" fillId="0" borderId="0" xfId="2" applyFont="1"/>
    <xf numFmtId="0" fontId="10" fillId="0" borderId="0" xfId="2" applyFont="1" applyAlignment="1">
      <alignment horizontal="left" wrapText="1"/>
    </xf>
    <xf numFmtId="165" fontId="10" fillId="0" borderId="0" xfId="2" applyNumberFormat="1" applyFont="1" applyAlignment="1">
      <alignment horizontal="right"/>
    </xf>
    <xf numFmtId="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10" fillId="0" borderId="0" xfId="2" applyFont="1" applyAlignment="1">
      <alignment horizontal="left" vertical="top"/>
    </xf>
    <xf numFmtId="0" fontId="4" fillId="0" borderId="3" xfId="2" applyFont="1" applyBorder="1" applyAlignment="1">
      <alignment horizontal="center" vertical="center" wrapText="1"/>
    </xf>
    <xf numFmtId="0" fontId="4" fillId="0" borderId="3" xfId="2" applyFont="1" applyBorder="1" applyAlignment="1">
      <alignment horizontal="center"/>
    </xf>
    <xf numFmtId="0" fontId="4" fillId="0" borderId="3" xfId="2" applyFont="1" applyBorder="1" applyAlignment="1">
      <alignment horizontal="left" vertical="top" wrapText="1"/>
    </xf>
    <xf numFmtId="0" fontId="4" fillId="0" borderId="3" xfId="2" applyFont="1" applyBorder="1" applyAlignment="1">
      <alignment horizontal="left" wrapText="1"/>
    </xf>
    <xf numFmtId="0" fontId="4" fillId="0" borderId="3" xfId="2" applyFont="1" applyBorder="1" applyAlignment="1">
      <alignment horizontal="right" wrapText="1"/>
    </xf>
    <xf numFmtId="0" fontId="4" fillId="0" borderId="3" xfId="2" applyFont="1" applyBorder="1" applyAlignment="1">
      <alignment horizontal="right"/>
    </xf>
    <xf numFmtId="0" fontId="4" fillId="0" borderId="1" xfId="2" applyFont="1" applyBorder="1" applyAlignment="1">
      <alignment horizontal="left" vertical="top" wrapText="1"/>
    </xf>
    <xf numFmtId="0" fontId="4" fillId="0" borderId="1" xfId="2" applyFont="1" applyBorder="1" applyAlignment="1">
      <alignment horizontal="left" wrapText="1"/>
    </xf>
    <xf numFmtId="0" fontId="4" fillId="0" borderId="1" xfId="2" applyFont="1" applyBorder="1" applyAlignment="1">
      <alignment horizontal="right" wrapText="1"/>
    </xf>
    <xf numFmtId="0" fontId="4" fillId="0" borderId="1" xfId="2" applyFont="1" applyBorder="1" applyAlignment="1">
      <alignment horizontal="right"/>
    </xf>
    <xf numFmtId="0" fontId="4" fillId="0" borderId="3" xfId="2" applyFont="1" applyBorder="1" applyAlignment="1">
      <alignment horizontal="left" vertical="center" wrapText="1"/>
    </xf>
    <xf numFmtId="0" fontId="4" fillId="0" borderId="3" xfId="2" applyFont="1" applyBorder="1" applyAlignment="1">
      <alignment horizontal="center" vertical="center"/>
    </xf>
    <xf numFmtId="0" fontId="4" fillId="0" borderId="1" xfId="2" applyFont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10" fillId="0" borderId="0" xfId="2" applyFont="1" applyAlignment="1">
      <alignment horizontal="left"/>
    </xf>
    <xf numFmtId="0" fontId="5" fillId="0" borderId="1" xfId="2" quotePrefix="1" applyFont="1" applyBorder="1" applyAlignment="1">
      <alignment horizontal="center" vertical="center" wrapText="1"/>
    </xf>
    <xf numFmtId="49" fontId="4" fillId="0" borderId="1" xfId="2" applyNumberFormat="1" applyFont="1" applyBorder="1" applyAlignment="1">
      <alignment horizontal="left" vertical="top" wrapText="1"/>
    </xf>
    <xf numFmtId="165" fontId="4" fillId="0" borderId="1" xfId="2" applyNumberFormat="1" applyFont="1" applyBorder="1" applyAlignment="1">
      <alignment horizontal="right" wrapText="1"/>
    </xf>
    <xf numFmtId="0" fontId="12" fillId="0" borderId="0" xfId="2" applyFont="1"/>
    <xf numFmtId="0" fontId="13" fillId="0" borderId="0" xfId="2" applyFont="1"/>
    <xf numFmtId="0" fontId="14" fillId="0" borderId="0" xfId="2" applyFont="1"/>
    <xf numFmtId="0" fontId="15" fillId="0" borderId="0" xfId="2" applyFont="1"/>
    <xf numFmtId="0" fontId="16" fillId="0" borderId="0" xfId="2" applyFont="1"/>
    <xf numFmtId="0" fontId="17" fillId="0" borderId="0" xfId="2" applyFont="1"/>
    <xf numFmtId="0" fontId="18" fillId="0" borderId="0" xfId="2" applyFont="1"/>
    <xf numFmtId="0" fontId="5" fillId="0" borderId="5" xfId="2" applyFont="1" applyBorder="1" applyAlignment="1">
      <alignment horizontal="center" wrapText="1"/>
    </xf>
    <xf numFmtId="0" fontId="20" fillId="0" borderId="0" xfId="2" applyFont="1"/>
    <xf numFmtId="0" fontId="21" fillId="0" borderId="0" xfId="2" applyFont="1"/>
    <xf numFmtId="0" fontId="22" fillId="0" borderId="0" xfId="2" applyFont="1"/>
    <xf numFmtId="0" fontId="23" fillId="0" borderId="0" xfId="2" applyFont="1"/>
    <xf numFmtId="0" fontId="24" fillId="0" borderId="0" xfId="2" applyFont="1"/>
    <xf numFmtId="0" fontId="25" fillId="0" borderId="0" xfId="2" applyFont="1"/>
    <xf numFmtId="0" fontId="26" fillId="0" borderId="0" xfId="2" applyFont="1"/>
    <xf numFmtId="0" fontId="5" fillId="0" borderId="0" xfId="3" applyFont="1" applyAlignment="1"/>
    <xf numFmtId="0" fontId="4" fillId="0" borderId="0" xfId="3" applyFont="1"/>
    <xf numFmtId="0" fontId="9" fillId="0" borderId="0" xfId="3"/>
    <xf numFmtId="0" fontId="4" fillId="0" borderId="0" xfId="3" applyFont="1" applyAlignment="1"/>
    <xf numFmtId="0" fontId="4" fillId="0" borderId="0" xfId="3" applyFont="1" applyBorder="1" applyAlignment="1">
      <alignment horizontal="left"/>
    </xf>
    <xf numFmtId="0" fontId="19" fillId="0" borderId="0" xfId="3" quotePrefix="1" applyFont="1" applyAlignment="1"/>
    <xf numFmtId="0" fontId="19" fillId="0" borderId="0" xfId="3" quotePrefix="1" applyFont="1" applyAlignment="1">
      <alignment horizontal="right"/>
    </xf>
    <xf numFmtId="0" fontId="4" fillId="0" borderId="0" xfId="3" applyFont="1" applyAlignment="1">
      <alignment horizontal="left"/>
    </xf>
    <xf numFmtId="0" fontId="4" fillId="0" borderId="0" xfId="3" applyFont="1" applyBorder="1" applyAlignment="1">
      <alignment wrapText="1"/>
    </xf>
    <xf numFmtId="0" fontId="10" fillId="0" borderId="0" xfId="2" applyFont="1" applyAlignment="1">
      <alignment horizontal="left" wrapText="1"/>
    </xf>
    <xf numFmtId="165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6" fillId="0" borderId="0" xfId="3" applyFont="1" applyAlignment="1">
      <alignment horizontal="left"/>
    </xf>
    <xf numFmtId="0" fontId="6" fillId="0" borderId="0" xfId="3" applyFont="1" applyAlignment="1">
      <alignment horizontal="right"/>
    </xf>
    <xf numFmtId="0" fontId="4" fillId="0" borderId="0" xfId="3" applyFont="1" applyAlignment="1">
      <alignment horizontal="left"/>
    </xf>
    <xf numFmtId="0" fontId="4" fillId="0" borderId="0" xfId="3" applyFont="1" applyAlignment="1">
      <alignment horizontal="right"/>
    </xf>
    <xf numFmtId="0" fontId="4" fillId="0" borderId="0" xfId="3" applyFont="1" applyBorder="1" applyAlignment="1">
      <alignment horizontal="left" wrapText="1"/>
    </xf>
    <xf numFmtId="0" fontId="4" fillId="0" borderId="0" xfId="3" applyFont="1" applyBorder="1" applyAlignment="1">
      <alignment horizontal="right" wrapText="1"/>
    </xf>
    <xf numFmtId="165" fontId="10" fillId="0" borderId="5" xfId="2" applyNumberFormat="1" applyFont="1" applyBorder="1" applyAlignment="1">
      <alignment horizontal="right"/>
    </xf>
    <xf numFmtId="0" fontId="5" fillId="0" borderId="0" xfId="2" applyFont="1" applyAlignment="1">
      <alignment horizontal="center" wrapText="1"/>
    </xf>
    <xf numFmtId="0" fontId="6" fillId="0" borderId="2" xfId="2" applyFont="1" applyBorder="1" applyAlignment="1">
      <alignment horizontal="center" wrapText="1"/>
    </xf>
    <xf numFmtId="0" fontId="3" fillId="0" borderId="0" xfId="2" applyFont="1" applyAlignment="1">
      <alignment horizontal="center" wrapText="1"/>
    </xf>
    <xf numFmtId="0" fontId="7" fillId="0" borderId="0" xfId="2" applyFont="1" applyAlignment="1">
      <alignment horizontal="center" wrapText="1"/>
    </xf>
    <xf numFmtId="0" fontId="7" fillId="0" borderId="2" xfId="2" applyFont="1" applyBorder="1" applyAlignment="1">
      <alignment horizontal="center" wrapText="1"/>
    </xf>
    <xf numFmtId="0" fontId="2" fillId="0" borderId="0" xfId="2"/>
    <xf numFmtId="0" fontId="4" fillId="0" borderId="3" xfId="2" applyFont="1" applyBorder="1" applyAlignment="1">
      <alignment horizontal="center" vertical="center" wrapText="1"/>
    </xf>
    <xf numFmtId="0" fontId="4" fillId="0" borderId="4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wrapText="1"/>
    </xf>
    <xf numFmtId="0" fontId="6" fillId="0" borderId="0" xfId="2" applyFont="1" applyAlignment="1">
      <alignment horizontal="center" wrapText="1"/>
    </xf>
    <xf numFmtId="0" fontId="10" fillId="0" borderId="0" xfId="2" applyFont="1" applyAlignment="1">
      <alignment horizontal="center" wrapText="1"/>
    </xf>
    <xf numFmtId="0" fontId="6" fillId="0" borderId="0" xfId="2" applyFont="1" applyAlignment="1">
      <alignment horizontal="center" vertical="center" wrapText="1"/>
    </xf>
    <xf numFmtId="0" fontId="10" fillId="0" borderId="0" xfId="2" applyFont="1" applyAlignment="1">
      <alignment horizontal="center" vertical="center" wrapText="1"/>
    </xf>
    <xf numFmtId="0" fontId="10" fillId="0" borderId="1" xfId="2" applyFont="1" applyBorder="1" applyAlignment="1">
      <alignment horizontal="right"/>
    </xf>
    <xf numFmtId="165" fontId="10" fillId="0" borderId="1" xfId="2" applyNumberFormat="1" applyFont="1" applyBorder="1" applyAlignment="1">
      <alignment horizontal="right"/>
    </xf>
    <xf numFmtId="0" fontId="5" fillId="0" borderId="1" xfId="2" applyFont="1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 wrapText="1"/>
    </xf>
    <xf numFmtId="0" fontId="10" fillId="0" borderId="1" xfId="2" applyFont="1" applyBorder="1" applyAlignment="1">
      <alignment horizontal="left" vertical="center" wrapText="1"/>
    </xf>
    <xf numFmtId="0" fontId="4" fillId="0" borderId="1" xfId="2" applyFont="1" applyBorder="1" applyAlignment="1">
      <alignment horizontal="left" vertical="center" wrapText="1"/>
    </xf>
    <xf numFmtId="0" fontId="4" fillId="0" borderId="10" xfId="2" applyFont="1" applyBorder="1" applyAlignment="1">
      <alignment horizontal="center" vertical="center" wrapText="1"/>
    </xf>
    <xf numFmtId="0" fontId="4" fillId="0" borderId="6" xfId="2" applyFont="1" applyBorder="1" applyAlignment="1">
      <alignment horizontal="center" vertical="center" wrapText="1"/>
    </xf>
    <xf numFmtId="0" fontId="4" fillId="0" borderId="7" xfId="2" applyFont="1" applyBorder="1" applyAlignment="1">
      <alignment horizontal="center" vertical="center" wrapText="1"/>
    </xf>
    <xf numFmtId="0" fontId="4" fillId="0" borderId="8" xfId="2" applyFont="1" applyBorder="1" applyAlignment="1">
      <alignment horizontal="center" vertical="center" wrapText="1"/>
    </xf>
    <xf numFmtId="0" fontId="4" fillId="0" borderId="9" xfId="2" applyFont="1" applyBorder="1" applyAlignment="1">
      <alignment horizontal="center" vertical="center" wrapText="1"/>
    </xf>
  </cellXfs>
  <cellStyles count="6">
    <cellStyle name="Обычный" xfId="0" builtinId="0"/>
    <cellStyle name="Обычный 12" xfId="4" xr:uid="{F2224712-76EE-4859-9D78-EC497E611DE8}"/>
    <cellStyle name="Обычный 2" xfId="1" xr:uid="{C83ABC30-FBFA-4760-AB43-41B675DA02B8}"/>
    <cellStyle name="Обычный 2 2" xfId="3" xr:uid="{3CFA57F3-2F43-434F-A3B2-62D5D5638B66}"/>
    <cellStyle name="Обычный 2 3 2" xfId="5" xr:uid="{51052478-201F-43E6-9C90-78FBA3CAC852}"/>
    <cellStyle name="Обычный 3" xfId="2" xr:uid="{4D379A1F-5E84-47F0-916E-919DEF7001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&#1047;&#1072;&#1082;&#1091;&#1087;&#1082;&#1080;/2022/44/&#1040;&#1091;&#1082;&#1094;&#1080;&#1086;&#1085;/&#1041;&#1083;&#1072;&#1075;&#1086;&#1091;&#1089;&#1090;&#1088;&#1086;&#1081;&#1089;&#1090;&#1074;&#1086;%20&#1043;&#1091;&#1088;&#1100;&#1103;&#1085;&#1086;&#1074;&#1072;+&#1064;&#1086;&#1089;&#1089;&#1077;&#1081;&#1085;&#1072;&#1103;%20(&#1083;&#1086;&#1090;%202)/&#1064;&#1086;&#1089;&#1089;&#1077;&#1081;&#1085;&#1072;&#1103;%20&#1076;.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&#1047;&#1072;&#1082;&#1091;&#1087;&#1082;&#1080;/2022/44/&#1040;&#1091;&#1082;&#1094;&#1080;&#1086;&#1085;/&#1041;&#1083;&#1072;&#1075;&#1086;&#1091;&#1089;&#1090;&#1088;&#1086;&#1081;&#1089;&#1090;&#1074;&#1086;%20&#1043;&#1091;&#1088;&#1100;&#1103;&#1085;&#1086;&#1074;&#1072;+&#1064;&#1086;&#1089;&#1089;&#1077;&#1081;&#1085;&#1072;&#1103;%20(&#1083;&#1086;&#1090;%202)/&#1043;19%20&#1082;.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&#1047;&#1072;&#1082;&#1091;&#1087;&#1082;&#1080;/2022/44/&#1040;&#1091;&#1082;&#1094;&#1080;&#1086;&#1085;/&#1041;&#1083;&#1072;&#1075;&#1086;&#1091;&#1089;&#1090;&#1088;&#1086;&#1081;&#1089;&#1090;&#1074;&#1086;%20&#1043;&#1091;&#1088;&#1100;&#1103;&#1085;&#1086;&#1074;&#1072;+&#1064;&#1086;&#1089;&#1089;&#1077;&#1081;&#1085;&#1072;&#1103;%20(&#1083;&#1086;&#1090;%202)/&#1043;19%20&#1082;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мета СН-2012 по гл. 1-5"/>
      <sheetName val="Дефектная ведомость"/>
      <sheetName val="Ведомость объемов работ"/>
      <sheetName val="RV_DATA"/>
      <sheetName val="Расчет стоимости ресурсов"/>
      <sheetName val="Source"/>
      <sheetName val="SourceObSm"/>
      <sheetName val="SmtRes"/>
      <sheetName val="EtalonRes"/>
    </sheetNames>
    <sheetDataSet>
      <sheetData sheetId="0"/>
      <sheetData sheetId="1"/>
      <sheetData sheetId="2"/>
      <sheetData sheetId="3">
        <row r="8">
          <cell r="I8">
            <v>45</v>
          </cell>
          <cell r="K8">
            <v>256.22000000000003</v>
          </cell>
          <cell r="M8">
            <v>11529.9</v>
          </cell>
          <cell r="Z8">
            <v>-1733748040</v>
          </cell>
        </row>
        <row r="9">
          <cell r="K9">
            <v>36.31</v>
          </cell>
        </row>
        <row r="10">
          <cell r="K10">
            <v>1383.17</v>
          </cell>
        </row>
        <row r="11">
          <cell r="K11">
            <v>7834.05</v>
          </cell>
        </row>
        <row r="12">
          <cell r="K12">
            <v>6.02</v>
          </cell>
        </row>
        <row r="13">
          <cell r="K13">
            <v>987.45</v>
          </cell>
        </row>
        <row r="14">
          <cell r="K14">
            <v>1208.6099999999999</v>
          </cell>
        </row>
        <row r="20">
          <cell r="K20">
            <v>1586.43</v>
          </cell>
        </row>
        <row r="21">
          <cell r="K21">
            <v>1888.15</v>
          </cell>
        </row>
        <row r="22">
          <cell r="K22">
            <v>1364.68</v>
          </cell>
        </row>
        <row r="23">
          <cell r="K23">
            <v>1331.87</v>
          </cell>
        </row>
        <row r="24">
          <cell r="K24">
            <v>780.77</v>
          </cell>
        </row>
        <row r="25">
          <cell r="K25">
            <v>1232.5</v>
          </cell>
        </row>
        <row r="26">
          <cell r="K26">
            <v>1080.76</v>
          </cell>
        </row>
        <row r="27">
          <cell r="K27">
            <v>1070.1199999999999</v>
          </cell>
        </row>
        <row r="30">
          <cell r="K30">
            <v>34834.18</v>
          </cell>
        </row>
        <row r="31">
          <cell r="I31">
            <v>16.02</v>
          </cell>
          <cell r="M31">
            <v>21862.26</v>
          </cell>
          <cell r="Z31">
            <v>-4085501</v>
          </cell>
        </row>
        <row r="33">
          <cell r="I33">
            <v>30.389199999999999</v>
          </cell>
          <cell r="K33">
            <v>7871.69</v>
          </cell>
          <cell r="M33">
            <v>239217.37</v>
          </cell>
          <cell r="Z33">
            <v>-718781211</v>
          </cell>
        </row>
        <row r="34">
          <cell r="K34">
            <v>3886.23</v>
          </cell>
        </row>
        <row r="35">
          <cell r="K35">
            <v>857.91</v>
          </cell>
        </row>
        <row r="36">
          <cell r="K36">
            <v>6.02</v>
          </cell>
        </row>
        <row r="37">
          <cell r="K37">
            <v>1153.51</v>
          </cell>
        </row>
        <row r="38">
          <cell r="K38">
            <v>493.52</v>
          </cell>
        </row>
        <row r="39">
          <cell r="K39">
            <v>1080.76</v>
          </cell>
        </row>
        <row r="40">
          <cell r="K40">
            <v>1070.1199999999999</v>
          </cell>
        </row>
        <row r="44">
          <cell r="K44">
            <v>3917.3</v>
          </cell>
        </row>
        <row r="45">
          <cell r="I45">
            <v>1030.0289999999998</v>
          </cell>
          <cell r="K45">
            <v>140.25</v>
          </cell>
          <cell r="M45">
            <v>144461.62</v>
          </cell>
          <cell r="Z45">
            <v>-1336401491</v>
          </cell>
        </row>
        <row r="47">
          <cell r="I47">
            <v>0</v>
          </cell>
          <cell r="K47">
            <v>20600</v>
          </cell>
          <cell r="M47">
            <v>0</v>
          </cell>
          <cell r="Z47">
            <v>-1123188272</v>
          </cell>
        </row>
        <row r="48">
          <cell r="I48">
            <v>0</v>
          </cell>
          <cell r="K48">
            <v>2812.5</v>
          </cell>
          <cell r="M48">
            <v>0</v>
          </cell>
          <cell r="Z48">
            <v>1633630556</v>
          </cell>
        </row>
        <row r="50">
          <cell r="I50">
            <v>0.39779999999999999</v>
          </cell>
          <cell r="K50">
            <v>1478.7</v>
          </cell>
          <cell r="M50">
            <v>588.23</v>
          </cell>
          <cell r="Z50">
            <v>585746729</v>
          </cell>
        </row>
        <row r="51">
          <cell r="K51">
            <v>780.77</v>
          </cell>
        </row>
        <row r="52">
          <cell r="K52">
            <v>1568.39</v>
          </cell>
        </row>
        <row r="53">
          <cell r="K53">
            <v>1080.76</v>
          </cell>
        </row>
        <row r="54">
          <cell r="K54">
            <v>1070.1199999999999</v>
          </cell>
        </row>
        <row r="59">
          <cell r="K59">
            <v>1129.8900000000001</v>
          </cell>
        </row>
        <row r="60">
          <cell r="K60">
            <v>1571.99</v>
          </cell>
        </row>
        <row r="65">
          <cell r="K65">
            <v>36.31</v>
          </cell>
        </row>
        <row r="66">
          <cell r="K66">
            <v>510.02</v>
          </cell>
        </row>
        <row r="67">
          <cell r="K67">
            <v>1268.04</v>
          </cell>
        </row>
        <row r="69">
          <cell r="K69">
            <v>2043.52</v>
          </cell>
        </row>
        <row r="70">
          <cell r="K70">
            <v>445.81</v>
          </cell>
        </row>
        <row r="75">
          <cell r="K75">
            <v>1888.15</v>
          </cell>
        </row>
        <row r="76">
          <cell r="K76">
            <v>1364.68</v>
          </cell>
        </row>
        <row r="78">
          <cell r="K78">
            <v>1012.69</v>
          </cell>
        </row>
        <row r="79">
          <cell r="K79">
            <v>1232.5</v>
          </cell>
        </row>
        <row r="80">
          <cell r="K80">
            <v>34834.18</v>
          </cell>
        </row>
        <row r="82">
          <cell r="I82">
            <v>23.923500000000001</v>
          </cell>
          <cell r="K82">
            <v>2954.24</v>
          </cell>
          <cell r="M82">
            <v>70675.759999999995</v>
          </cell>
          <cell r="Z82">
            <v>1511949740</v>
          </cell>
        </row>
        <row r="84">
          <cell r="I84">
            <v>90</v>
          </cell>
          <cell r="K84">
            <v>790.5</v>
          </cell>
          <cell r="M84">
            <v>71145</v>
          </cell>
          <cell r="Z84">
            <v>-2147437159</v>
          </cell>
        </row>
        <row r="85">
          <cell r="K85">
            <v>1060.5899999999999</v>
          </cell>
        </row>
        <row r="86">
          <cell r="K86">
            <v>17.07</v>
          </cell>
        </row>
        <row r="89">
          <cell r="K89">
            <v>331.36</v>
          </cell>
        </row>
        <row r="90">
          <cell r="I90">
            <v>80</v>
          </cell>
          <cell r="K90">
            <v>36.31</v>
          </cell>
          <cell r="M90">
            <v>2904.8</v>
          </cell>
          <cell r="Z90">
            <v>743170984</v>
          </cell>
        </row>
        <row r="92">
          <cell r="I92">
            <v>0</v>
          </cell>
          <cell r="K92">
            <v>1059.3499999999999</v>
          </cell>
          <cell r="M92">
            <v>0</v>
          </cell>
          <cell r="Z92">
            <v>331221607</v>
          </cell>
        </row>
        <row r="93">
          <cell r="K93">
            <v>3.14</v>
          </cell>
        </row>
        <row r="94">
          <cell r="I94">
            <v>0</v>
          </cell>
          <cell r="K94">
            <v>1291.67</v>
          </cell>
          <cell r="M94">
            <v>0</v>
          </cell>
          <cell r="Z94">
            <v>1334241499</v>
          </cell>
        </row>
      </sheetData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мета СН-2012 по гл. 1-5"/>
      <sheetName val="Дефектная ведомость"/>
      <sheetName val="Ведомость объемов работ"/>
      <sheetName val="RV_DATA"/>
      <sheetName val="Расчет стоимости ресурсов"/>
      <sheetName val="Source"/>
      <sheetName val="SourceObSm"/>
      <sheetName val="SmtRes"/>
      <sheetName val="EtalonRes"/>
    </sheetNames>
    <sheetDataSet>
      <sheetData sheetId="0"/>
      <sheetData sheetId="1"/>
      <sheetData sheetId="2"/>
      <sheetData sheetId="3">
        <row r="8">
          <cell r="I8">
            <v>32.35</v>
          </cell>
          <cell r="K8">
            <v>256.22000000000003</v>
          </cell>
          <cell r="M8">
            <v>8288.7199999999993</v>
          </cell>
          <cell r="Z8">
            <v>-1733748040</v>
          </cell>
        </row>
        <row r="9">
          <cell r="K9">
            <v>36.31</v>
          </cell>
        </row>
        <row r="10">
          <cell r="K10">
            <v>1383.17</v>
          </cell>
        </row>
        <row r="11">
          <cell r="K11">
            <v>7834.05</v>
          </cell>
        </row>
        <row r="12">
          <cell r="K12">
            <v>6.02</v>
          </cell>
        </row>
        <row r="13">
          <cell r="K13">
            <v>987.45</v>
          </cell>
        </row>
        <row r="14">
          <cell r="K14">
            <v>1208.6099999999999</v>
          </cell>
        </row>
        <row r="20">
          <cell r="K20">
            <v>1586.43</v>
          </cell>
        </row>
        <row r="21">
          <cell r="K21">
            <v>1888.15</v>
          </cell>
        </row>
        <row r="22">
          <cell r="K22">
            <v>1364.68</v>
          </cell>
        </row>
        <row r="23">
          <cell r="K23">
            <v>1331.87</v>
          </cell>
        </row>
        <row r="24">
          <cell r="K24">
            <v>780.77</v>
          </cell>
        </row>
        <row r="25">
          <cell r="K25">
            <v>1232.5</v>
          </cell>
        </row>
        <row r="26">
          <cell r="K26">
            <v>1080.76</v>
          </cell>
        </row>
        <row r="27">
          <cell r="K27">
            <v>1070.1199999999999</v>
          </cell>
        </row>
        <row r="30">
          <cell r="K30">
            <v>34834.18</v>
          </cell>
        </row>
        <row r="31">
          <cell r="I31">
            <v>11.5166</v>
          </cell>
          <cell r="M31">
            <v>15716.54</v>
          </cell>
          <cell r="Z31">
            <v>-4085501</v>
          </cell>
        </row>
        <row r="33">
          <cell r="I33">
            <v>11.4232</v>
          </cell>
          <cell r="K33">
            <v>7871.69</v>
          </cell>
          <cell r="M33">
            <v>89921.02</v>
          </cell>
          <cell r="Z33">
            <v>-718781211</v>
          </cell>
        </row>
        <row r="34">
          <cell r="K34">
            <v>3886.23</v>
          </cell>
        </row>
        <row r="35">
          <cell r="K35">
            <v>857.91</v>
          </cell>
        </row>
        <row r="36">
          <cell r="K36">
            <v>6.02</v>
          </cell>
        </row>
        <row r="37">
          <cell r="K37">
            <v>1153.51</v>
          </cell>
        </row>
        <row r="38">
          <cell r="K38">
            <v>493.52</v>
          </cell>
        </row>
        <row r="39">
          <cell r="K39">
            <v>1080.76</v>
          </cell>
        </row>
        <row r="40">
          <cell r="K40">
            <v>1070.1199999999999</v>
          </cell>
        </row>
        <row r="44">
          <cell r="K44">
            <v>3917.3</v>
          </cell>
        </row>
        <row r="45">
          <cell r="I45">
            <v>498.49799999999999</v>
          </cell>
          <cell r="K45">
            <v>140.25</v>
          </cell>
          <cell r="M45">
            <v>69914.37</v>
          </cell>
          <cell r="Z45">
            <v>-1336401491</v>
          </cell>
        </row>
        <row r="47">
          <cell r="I47">
            <v>0</v>
          </cell>
          <cell r="K47">
            <v>20600</v>
          </cell>
          <cell r="M47">
            <v>0</v>
          </cell>
          <cell r="Z47">
            <v>-1123188272</v>
          </cell>
        </row>
        <row r="48">
          <cell r="I48">
            <v>0</v>
          </cell>
          <cell r="K48">
            <v>2812.5</v>
          </cell>
          <cell r="M48">
            <v>0</v>
          </cell>
          <cell r="Z48">
            <v>1633630556</v>
          </cell>
        </row>
        <row r="50">
          <cell r="I50">
            <v>33.75</v>
          </cell>
          <cell r="K50">
            <v>790.5</v>
          </cell>
          <cell r="M50">
            <v>26679.38</v>
          </cell>
          <cell r="Z50">
            <v>-2147437159</v>
          </cell>
        </row>
        <row r="51">
          <cell r="K51">
            <v>1060.5899999999999</v>
          </cell>
        </row>
        <row r="52">
          <cell r="K52">
            <v>17.07</v>
          </cell>
        </row>
        <row r="55">
          <cell r="K55">
            <v>331.36</v>
          </cell>
        </row>
        <row r="56">
          <cell r="I56">
            <v>30</v>
          </cell>
          <cell r="K56">
            <v>36.31</v>
          </cell>
          <cell r="M56">
            <v>1089.3</v>
          </cell>
          <cell r="Z56">
            <v>743170984</v>
          </cell>
        </row>
      </sheetData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мета СН-2012 по гл. 1-5"/>
      <sheetName val="Дефектная ведомость"/>
      <sheetName val="Ведомость объемов работ"/>
      <sheetName val="RV_DATA"/>
      <sheetName val="Расчет стоимости ресурсов"/>
      <sheetName val="Source"/>
      <sheetName val="SourceObSm"/>
      <sheetName val="SmtRes"/>
      <sheetName val="EtalonRes"/>
    </sheetNames>
    <sheetDataSet>
      <sheetData sheetId="0"/>
      <sheetData sheetId="1"/>
      <sheetData sheetId="2"/>
      <sheetData sheetId="3">
        <row r="8">
          <cell r="I8">
            <v>62.824999999999996</v>
          </cell>
          <cell r="K8">
            <v>256.22000000000003</v>
          </cell>
          <cell r="M8">
            <v>16097.02</v>
          </cell>
          <cell r="Z8">
            <v>-1733748040</v>
          </cell>
        </row>
        <row r="9">
          <cell r="K9">
            <v>36.31</v>
          </cell>
        </row>
        <row r="10">
          <cell r="K10">
            <v>1383.17</v>
          </cell>
        </row>
        <row r="11">
          <cell r="K11">
            <v>7834.05</v>
          </cell>
        </row>
        <row r="12">
          <cell r="K12">
            <v>6.02</v>
          </cell>
        </row>
        <row r="13">
          <cell r="K13">
            <v>987.45</v>
          </cell>
        </row>
        <row r="14">
          <cell r="K14">
            <v>1208.6099999999999</v>
          </cell>
        </row>
        <row r="20">
          <cell r="K20">
            <v>1586.43</v>
          </cell>
        </row>
        <row r="21">
          <cell r="K21">
            <v>1888.15</v>
          </cell>
        </row>
        <row r="22">
          <cell r="K22">
            <v>1364.68</v>
          </cell>
        </row>
        <row r="23">
          <cell r="K23">
            <v>1331.87</v>
          </cell>
        </row>
        <row r="24">
          <cell r="K24">
            <v>780.77</v>
          </cell>
        </row>
        <row r="25">
          <cell r="K25">
            <v>1232.5</v>
          </cell>
        </row>
        <row r="26">
          <cell r="K26">
            <v>1080.76</v>
          </cell>
        </row>
        <row r="27">
          <cell r="K27">
            <v>1070.1199999999999</v>
          </cell>
        </row>
        <row r="30">
          <cell r="K30">
            <v>34834.18</v>
          </cell>
        </row>
        <row r="31">
          <cell r="I31">
            <v>22.3657</v>
          </cell>
          <cell r="M31">
            <v>30522.14</v>
          </cell>
          <cell r="Z31">
            <v>-4085501</v>
          </cell>
        </row>
        <row r="33">
          <cell r="I33">
            <v>15.172800000000001</v>
          </cell>
          <cell r="K33">
            <v>7871.69</v>
          </cell>
          <cell r="M33">
            <v>119437.08</v>
          </cell>
          <cell r="Z33">
            <v>-718781211</v>
          </cell>
        </row>
        <row r="34">
          <cell r="K34">
            <v>3886.23</v>
          </cell>
        </row>
        <row r="35">
          <cell r="K35">
            <v>857.91</v>
          </cell>
        </row>
        <row r="36">
          <cell r="K36">
            <v>6.02</v>
          </cell>
        </row>
        <row r="37">
          <cell r="K37">
            <v>1153.51</v>
          </cell>
        </row>
        <row r="38">
          <cell r="K38">
            <v>493.52</v>
          </cell>
        </row>
        <row r="39">
          <cell r="K39">
            <v>1080.76</v>
          </cell>
        </row>
        <row r="40">
          <cell r="K40">
            <v>1070.1199999999999</v>
          </cell>
        </row>
        <row r="44">
          <cell r="K44">
            <v>3917.3</v>
          </cell>
        </row>
        <row r="45">
          <cell r="I45">
            <v>690.68999999999994</v>
          </cell>
          <cell r="K45">
            <v>140.25</v>
          </cell>
          <cell r="M45">
            <v>96869.31</v>
          </cell>
          <cell r="Z45">
            <v>-1336401491</v>
          </cell>
        </row>
        <row r="47">
          <cell r="I47">
            <v>0</v>
          </cell>
          <cell r="K47">
            <v>20600</v>
          </cell>
          <cell r="M47">
            <v>0</v>
          </cell>
          <cell r="Z47">
            <v>-1123188272</v>
          </cell>
        </row>
        <row r="48">
          <cell r="I48">
            <v>0</v>
          </cell>
          <cell r="K48">
            <v>2812.5</v>
          </cell>
          <cell r="M48">
            <v>0</v>
          </cell>
          <cell r="Z48">
            <v>1633630556</v>
          </cell>
        </row>
        <row r="50">
          <cell r="I50">
            <v>33.75</v>
          </cell>
          <cell r="K50">
            <v>790.5</v>
          </cell>
          <cell r="M50">
            <v>26679.38</v>
          </cell>
          <cell r="Z50">
            <v>-2147437159</v>
          </cell>
        </row>
        <row r="51">
          <cell r="K51">
            <v>1060.5899999999999</v>
          </cell>
        </row>
        <row r="52">
          <cell r="K52">
            <v>17.07</v>
          </cell>
        </row>
        <row r="55">
          <cell r="K55">
            <v>331.36</v>
          </cell>
        </row>
        <row r="56">
          <cell r="I56">
            <v>30</v>
          </cell>
          <cell r="K56">
            <v>36.31</v>
          </cell>
          <cell r="M56">
            <v>1089.3</v>
          </cell>
          <cell r="Z56">
            <v>743170984</v>
          </cell>
        </row>
        <row r="58">
          <cell r="I58">
            <v>0.11812500000000001</v>
          </cell>
          <cell r="K58">
            <v>1129.8900000000001</v>
          </cell>
          <cell r="M58">
            <v>133.47</v>
          </cell>
          <cell r="Z58">
            <v>1178992240</v>
          </cell>
        </row>
        <row r="59">
          <cell r="K59">
            <v>1571.99</v>
          </cell>
        </row>
        <row r="62">
          <cell r="K62">
            <v>1080.76</v>
          </cell>
        </row>
        <row r="64">
          <cell r="K64">
            <v>36.31</v>
          </cell>
        </row>
        <row r="65">
          <cell r="K65">
            <v>510.02</v>
          </cell>
        </row>
        <row r="66">
          <cell r="K66">
            <v>1268.04</v>
          </cell>
        </row>
        <row r="67">
          <cell r="K67">
            <v>1478.7</v>
          </cell>
        </row>
        <row r="68">
          <cell r="K68">
            <v>2043.52</v>
          </cell>
        </row>
        <row r="69">
          <cell r="K69">
            <v>445.81</v>
          </cell>
        </row>
        <row r="70">
          <cell r="K70">
            <v>780.77</v>
          </cell>
        </row>
        <row r="74">
          <cell r="K74">
            <v>1888.15</v>
          </cell>
        </row>
        <row r="75">
          <cell r="K75">
            <v>1364.68</v>
          </cell>
        </row>
        <row r="77">
          <cell r="K77">
            <v>1012.69</v>
          </cell>
        </row>
        <row r="78">
          <cell r="K78">
            <v>1232.5</v>
          </cell>
        </row>
        <row r="79">
          <cell r="K79">
            <v>34834.18</v>
          </cell>
        </row>
        <row r="81">
          <cell r="I81">
            <v>4.9013999999999998</v>
          </cell>
          <cell r="K81">
            <v>2954.24</v>
          </cell>
          <cell r="M81">
            <v>14479.91</v>
          </cell>
          <cell r="Z81">
            <v>1511949740</v>
          </cell>
        </row>
      </sheetData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C05A6-4E0A-4BE4-96D1-DA3DF66CE282}">
  <sheetPr>
    <pageSetUpPr fitToPage="1"/>
  </sheetPr>
  <dimension ref="A1:AF259"/>
  <sheetViews>
    <sheetView tabSelected="1" zoomScaleNormal="100" workbookViewId="0"/>
  </sheetViews>
  <sheetFormatPr defaultColWidth="9.1796875" defaultRowHeight="12.5" x14ac:dyDescent="0.25"/>
  <cols>
    <col min="1" max="1" width="5.7265625" style="2" customWidth="1"/>
    <col min="2" max="2" width="11.7265625" style="2" customWidth="1"/>
    <col min="3" max="3" width="40.7265625" style="2" customWidth="1"/>
    <col min="4" max="6" width="11.7265625" style="2" customWidth="1"/>
    <col min="7" max="7" width="12.7265625" style="2" customWidth="1"/>
    <col min="8" max="8" width="9.1796875" style="2"/>
    <col min="9" max="11" width="12.7265625" style="2" customWidth="1"/>
    <col min="12" max="14" width="9.1796875" style="2"/>
    <col min="15" max="31" width="0" style="2" hidden="1" customWidth="1"/>
    <col min="32" max="32" width="113.1796875" style="2" hidden="1" customWidth="1"/>
    <col min="33" max="36" width="0" style="2" hidden="1" customWidth="1"/>
    <col min="37" max="16384" width="9.1796875" style="2"/>
  </cols>
  <sheetData>
    <row r="1" spans="1:11" s="60" customFormat="1" ht="16.5" x14ac:dyDescent="0.35">
      <c r="A1" s="58"/>
      <c r="B1" s="70"/>
      <c r="C1" s="70"/>
      <c r="D1" s="70"/>
      <c r="E1" s="70"/>
      <c r="F1" s="59"/>
      <c r="G1" s="71" t="s">
        <v>0</v>
      </c>
      <c r="H1" s="71"/>
      <c r="I1" s="71"/>
      <c r="J1" s="71"/>
      <c r="K1" s="71"/>
    </row>
    <row r="2" spans="1:11" s="60" customFormat="1" ht="14" x14ac:dyDescent="0.3">
      <c r="A2" s="59"/>
      <c r="B2" s="72"/>
      <c r="C2" s="72"/>
      <c r="D2" s="72"/>
      <c r="E2" s="72"/>
      <c r="F2" s="59"/>
      <c r="G2" s="72"/>
      <c r="H2" s="72"/>
      <c r="I2" s="72"/>
      <c r="J2" s="72"/>
      <c r="K2" s="72"/>
    </row>
    <row r="3" spans="1:11" s="60" customFormat="1" ht="21.75" customHeight="1" x14ac:dyDescent="0.35">
      <c r="A3" s="61"/>
      <c r="C3" s="62"/>
      <c r="D3" s="62"/>
      <c r="E3" s="62"/>
      <c r="G3" s="63"/>
      <c r="H3" s="63"/>
      <c r="I3" s="63"/>
      <c r="J3" s="63"/>
      <c r="K3" s="64" t="s">
        <v>471</v>
      </c>
    </row>
    <row r="4" spans="1:11" s="60" customFormat="1" ht="27" customHeight="1" x14ac:dyDescent="0.3">
      <c r="A4" s="65"/>
      <c r="B4" s="72"/>
      <c r="C4" s="72"/>
      <c r="D4" s="72"/>
      <c r="E4" s="72"/>
      <c r="F4" s="59"/>
      <c r="G4" s="73" t="s">
        <v>472</v>
      </c>
      <c r="H4" s="73"/>
      <c r="I4" s="73"/>
      <c r="J4" s="73"/>
      <c r="K4" s="73"/>
    </row>
    <row r="5" spans="1:11" s="60" customFormat="1" ht="31.5" customHeight="1" x14ac:dyDescent="0.3">
      <c r="A5" s="66"/>
      <c r="B5" s="74"/>
      <c r="C5" s="74"/>
      <c r="D5" s="74"/>
      <c r="E5" s="74"/>
      <c r="F5" s="59"/>
      <c r="G5" s="75" t="s">
        <v>473</v>
      </c>
      <c r="H5" s="75"/>
      <c r="I5" s="75"/>
      <c r="J5" s="75"/>
      <c r="K5" s="75"/>
    </row>
    <row r="7" spans="1:11" ht="14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5.75" customHeight="1" x14ac:dyDescent="0.35">
      <c r="A8" s="78" t="s">
        <v>1</v>
      </c>
      <c r="B8" s="78"/>
      <c r="C8" s="78"/>
      <c r="D8" s="78"/>
      <c r="E8" s="78"/>
      <c r="F8" s="78"/>
      <c r="G8" s="78"/>
      <c r="H8" s="78"/>
      <c r="I8" s="78"/>
      <c r="J8" s="78"/>
      <c r="K8" s="78"/>
    </row>
    <row r="9" spans="1:11" x14ac:dyDescent="0.25">
      <c r="A9" s="79" t="s">
        <v>2</v>
      </c>
      <c r="B9" s="79"/>
      <c r="C9" s="79"/>
      <c r="D9" s="79"/>
      <c r="E9" s="79"/>
      <c r="F9" s="79"/>
      <c r="G9" s="79"/>
      <c r="H9" s="79"/>
      <c r="I9" s="79"/>
      <c r="J9" s="79"/>
      <c r="K9" s="79"/>
    </row>
    <row r="10" spans="1:11" ht="14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8" hidden="1" x14ac:dyDescent="0.4">
      <c r="A11" s="80"/>
      <c r="B11" s="80"/>
      <c r="C11" s="80"/>
      <c r="D11" s="80"/>
      <c r="E11" s="80"/>
      <c r="F11" s="80"/>
      <c r="G11" s="80"/>
      <c r="H11" s="80"/>
      <c r="I11" s="80"/>
      <c r="J11" s="80"/>
      <c r="K11" s="80"/>
    </row>
    <row r="12" spans="1:11" ht="14" hidden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18" customHeight="1" x14ac:dyDescent="0.4">
      <c r="A13" s="81" t="s">
        <v>3</v>
      </c>
      <c r="B13" s="81"/>
      <c r="C13" s="81"/>
      <c r="D13" s="81"/>
      <c r="E13" s="81"/>
      <c r="F13" s="81"/>
      <c r="G13" s="81"/>
      <c r="H13" s="81"/>
      <c r="I13" s="81"/>
      <c r="J13" s="81"/>
      <c r="K13" s="81"/>
    </row>
    <row r="14" spans="1:11" x14ac:dyDescent="0.25">
      <c r="A14" s="79" t="s">
        <v>4</v>
      </c>
      <c r="B14" s="82"/>
      <c r="C14" s="82"/>
      <c r="D14" s="82"/>
      <c r="E14" s="82"/>
      <c r="F14" s="82"/>
      <c r="G14" s="82"/>
      <c r="H14" s="82"/>
      <c r="I14" s="82"/>
      <c r="J14" s="82"/>
      <c r="K14" s="82"/>
    </row>
    <row r="15" spans="1:11" ht="14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14" x14ac:dyDescent="0.3">
      <c r="A16" s="4" t="s">
        <v>5</v>
      </c>
      <c r="B16" s="4"/>
      <c r="C16" s="4"/>
      <c r="D16" s="5"/>
      <c r="E16" s="6"/>
      <c r="F16" s="4"/>
      <c r="G16" s="4"/>
      <c r="H16" s="4"/>
      <c r="I16" s="4"/>
      <c r="J16" s="4"/>
      <c r="K16" s="4"/>
    </row>
    <row r="17" spans="1:22" ht="14.5" x14ac:dyDescent="0.25">
      <c r="A17" s="83" t="s">
        <v>6</v>
      </c>
      <c r="B17" s="83" t="s">
        <v>7</v>
      </c>
      <c r="C17" s="83" t="s">
        <v>8</v>
      </c>
      <c r="D17" s="83" t="s">
        <v>9</v>
      </c>
      <c r="E17" s="83" t="s">
        <v>10</v>
      </c>
      <c r="F17" s="83" t="s">
        <v>11</v>
      </c>
      <c r="G17" s="83" t="s">
        <v>12</v>
      </c>
      <c r="H17" s="83" t="s">
        <v>13</v>
      </c>
      <c r="I17" s="83" t="s">
        <v>14</v>
      </c>
      <c r="J17" s="83" t="s">
        <v>15</v>
      </c>
      <c r="K17" s="7" t="s">
        <v>16</v>
      </c>
    </row>
    <row r="18" spans="1:22" ht="28" x14ac:dyDescent="0.25">
      <c r="A18" s="84"/>
      <c r="B18" s="84"/>
      <c r="C18" s="84"/>
      <c r="D18" s="84"/>
      <c r="E18" s="84"/>
      <c r="F18" s="84"/>
      <c r="G18" s="84"/>
      <c r="H18" s="84"/>
      <c r="I18" s="84"/>
      <c r="J18" s="84"/>
      <c r="K18" s="8" t="s">
        <v>17</v>
      </c>
    </row>
    <row r="19" spans="1:22" ht="28" x14ac:dyDescent="0.25">
      <c r="A19" s="84"/>
      <c r="B19" s="84"/>
      <c r="C19" s="84"/>
      <c r="D19" s="84"/>
      <c r="E19" s="84"/>
      <c r="F19" s="84"/>
      <c r="G19" s="84"/>
      <c r="H19" s="84"/>
      <c r="I19" s="84"/>
      <c r="J19" s="84"/>
      <c r="K19" s="8" t="s">
        <v>18</v>
      </c>
    </row>
    <row r="20" spans="1:22" ht="14" x14ac:dyDescent="0.25">
      <c r="A20" s="8">
        <v>1</v>
      </c>
      <c r="B20" s="8">
        <v>2</v>
      </c>
      <c r="C20" s="8">
        <v>3</v>
      </c>
      <c r="D20" s="8">
        <v>4</v>
      </c>
      <c r="E20" s="8">
        <v>5</v>
      </c>
      <c r="F20" s="8">
        <v>6</v>
      </c>
      <c r="G20" s="8">
        <v>7</v>
      </c>
      <c r="H20" s="8">
        <v>8</v>
      </c>
      <c r="I20" s="8">
        <v>9</v>
      </c>
      <c r="J20" s="8">
        <v>10</v>
      </c>
      <c r="K20" s="8">
        <v>11</v>
      </c>
    </row>
    <row r="22" spans="1:22" ht="16.5" x14ac:dyDescent="0.35">
      <c r="A22" s="77" t="str">
        <f>CONCATENATE("Локальная смета: ",IF(Source!G20&lt;&gt;"Новая локальная смета", Source!G20, ""))</f>
        <v xml:space="preserve">Локальная смета: </v>
      </c>
      <c r="B22" s="77"/>
      <c r="C22" s="77"/>
      <c r="D22" s="77"/>
      <c r="E22" s="77"/>
      <c r="F22" s="77"/>
      <c r="G22" s="77"/>
      <c r="H22" s="77"/>
      <c r="I22" s="77"/>
      <c r="J22" s="77"/>
      <c r="K22" s="77"/>
    </row>
    <row r="24" spans="1:22" ht="16.5" x14ac:dyDescent="0.35">
      <c r="A24" s="77" t="str">
        <f>CONCATENATE("Раздел: ",IF(Source!G24&lt;&gt;"Новый раздел", Source!G24, ""))</f>
        <v>Раздел: Ремонт дорожно-тропиночной сети с асфальтобетонным покрытием  - 2513 м2</v>
      </c>
      <c r="B24" s="77"/>
      <c r="C24" s="77"/>
      <c r="D24" s="77"/>
      <c r="E24" s="77"/>
      <c r="F24" s="77"/>
      <c r="G24" s="77"/>
      <c r="H24" s="77"/>
      <c r="I24" s="77"/>
      <c r="J24" s="77"/>
      <c r="K24" s="77"/>
    </row>
    <row r="25" spans="1:22" ht="70" x14ac:dyDescent="0.35">
      <c r="A25" s="9">
        <v>1</v>
      </c>
      <c r="B25" s="9" t="str">
        <f>Source!F28</f>
        <v>2.1-3104-2-3/1</v>
      </c>
      <c r="C25" s="9" t="str">
        <f>Source!G28</f>
        <v>Срезка поверхностного слоя асфальтобетонных дорожных покрытий методом холодного фрезерования при ширине барабана фрезы 2000 (2100) мм толщиной 6 см, без препятствий</v>
      </c>
      <c r="D25" s="10" t="str">
        <f>Source!H28</f>
        <v>100 м2</v>
      </c>
      <c r="E25" s="3">
        <f>Source!I28</f>
        <v>25.13</v>
      </c>
      <c r="F25" s="11"/>
      <c r="G25" s="12"/>
      <c r="H25" s="3"/>
      <c r="I25" s="3"/>
      <c r="J25" s="11"/>
      <c r="K25" s="11"/>
      <c r="Q25" s="2">
        <f>ROUND((Source!BZ28/100)*ROUND((Source!AF28*Source!AV28)*Source!I28, 2), 2)</f>
        <v>3167.79</v>
      </c>
      <c r="R25" s="2">
        <f>Source!X28</f>
        <v>3167.79</v>
      </c>
      <c r="S25" s="2">
        <f>ROUND((Source!CA28/100)*ROUND((Source!AF28*Source!AV28)*Source!I28, 2), 2)</f>
        <v>452.54</v>
      </c>
      <c r="T25" s="2">
        <f>Source!Y28</f>
        <v>452.54</v>
      </c>
      <c r="U25" s="2">
        <f>ROUND((175/100)*ROUND((Source!AE28*Source!AV28)*Source!I28, 2), 2)</f>
        <v>22428.53</v>
      </c>
      <c r="V25" s="2">
        <f>ROUND((108/100)*ROUND(Source!CS28*Source!I28, 2), 2)</f>
        <v>13841.6</v>
      </c>
    </row>
    <row r="26" spans="1:22" x14ac:dyDescent="0.25">
      <c r="C26" s="13" t="str">
        <f>"Объем: "&amp;Source!I28&amp;"=2513/"&amp;"100"</f>
        <v>Объем: 25,13=2513/100</v>
      </c>
    </row>
    <row r="27" spans="1:22" ht="14.5" x14ac:dyDescent="0.35">
      <c r="A27" s="9"/>
      <c r="B27" s="9"/>
      <c r="C27" s="9" t="s">
        <v>19</v>
      </c>
      <c r="D27" s="10"/>
      <c r="E27" s="3"/>
      <c r="F27" s="11">
        <f>Source!AO28</f>
        <v>180.08</v>
      </c>
      <c r="G27" s="12" t="str">
        <f>Source!DG28</f>
        <v/>
      </c>
      <c r="H27" s="3">
        <f>Source!AV28</f>
        <v>1</v>
      </c>
      <c r="I27" s="3">
        <f>IF(Source!BA28&lt;&gt; 0, Source!BA28, 1)</f>
        <v>1</v>
      </c>
      <c r="J27" s="11">
        <f>Source!S28</f>
        <v>4525.41</v>
      </c>
      <c r="K27" s="11"/>
    </row>
    <row r="28" spans="1:22" ht="14.5" x14ac:dyDescent="0.35">
      <c r="A28" s="9"/>
      <c r="B28" s="9"/>
      <c r="C28" s="9" t="s">
        <v>20</v>
      </c>
      <c r="D28" s="10"/>
      <c r="E28" s="3"/>
      <c r="F28" s="11">
        <f>Source!AM28</f>
        <v>2591.36</v>
      </c>
      <c r="G28" s="12" t="str">
        <f>Source!DE28</f>
        <v/>
      </c>
      <c r="H28" s="3">
        <f>Source!AV28</f>
        <v>1</v>
      </c>
      <c r="I28" s="3">
        <f>IF(Source!BB28&lt;&gt; 0, Source!BB28, 1)</f>
        <v>1</v>
      </c>
      <c r="J28" s="11">
        <f>Source!Q28</f>
        <v>65120.88</v>
      </c>
      <c r="K28" s="11"/>
    </row>
    <row r="29" spans="1:22" ht="14.5" x14ac:dyDescent="0.35">
      <c r="A29" s="9"/>
      <c r="B29" s="9"/>
      <c r="C29" s="9" t="s">
        <v>21</v>
      </c>
      <c r="D29" s="10"/>
      <c r="E29" s="3"/>
      <c r="F29" s="11">
        <f>Source!AN28</f>
        <v>510</v>
      </c>
      <c r="G29" s="12" t="str">
        <f>Source!DF28</f>
        <v/>
      </c>
      <c r="H29" s="3">
        <f>Source!AV28</f>
        <v>1</v>
      </c>
      <c r="I29" s="3">
        <f>IF(Source!BS28&lt;&gt; 0, Source!BS28, 1)</f>
        <v>1</v>
      </c>
      <c r="J29" s="14">
        <f>Source!R28</f>
        <v>12816.3</v>
      </c>
      <c r="K29" s="11"/>
    </row>
    <row r="30" spans="1:22" ht="14.5" x14ac:dyDescent="0.35">
      <c r="A30" s="9"/>
      <c r="B30" s="9"/>
      <c r="C30" s="9" t="s">
        <v>22</v>
      </c>
      <c r="D30" s="10"/>
      <c r="E30" s="3"/>
      <c r="F30" s="11">
        <f>Source!AL28</f>
        <v>650.24</v>
      </c>
      <c r="G30" s="12" t="str">
        <f>Source!DD28</f>
        <v/>
      </c>
      <c r="H30" s="3">
        <f>Source!AW28</f>
        <v>1</v>
      </c>
      <c r="I30" s="3">
        <f>IF(Source!BC28&lt;&gt; 0, Source!BC28, 1)</f>
        <v>1</v>
      </c>
      <c r="J30" s="11">
        <f>Source!P28</f>
        <v>16340.53</v>
      </c>
      <c r="K30" s="11"/>
    </row>
    <row r="31" spans="1:22" ht="14.5" x14ac:dyDescent="0.35">
      <c r="A31" s="9"/>
      <c r="B31" s="9"/>
      <c r="C31" s="9" t="s">
        <v>23</v>
      </c>
      <c r="D31" s="10" t="s">
        <v>24</v>
      </c>
      <c r="E31" s="3">
        <f>Source!AT28</f>
        <v>70</v>
      </c>
      <c r="F31" s="11"/>
      <c r="G31" s="12"/>
      <c r="H31" s="3"/>
      <c r="I31" s="3"/>
      <c r="J31" s="11">
        <f>SUM(R25:R30)</f>
        <v>3167.79</v>
      </c>
      <c r="K31" s="11"/>
    </row>
    <row r="32" spans="1:22" ht="14.5" x14ac:dyDescent="0.35">
      <c r="A32" s="9"/>
      <c r="B32" s="9"/>
      <c r="C32" s="9" t="s">
        <v>25</v>
      </c>
      <c r="D32" s="10" t="s">
        <v>24</v>
      </c>
      <c r="E32" s="3">
        <f>Source!AU28</f>
        <v>10</v>
      </c>
      <c r="F32" s="11"/>
      <c r="G32" s="12"/>
      <c r="H32" s="3"/>
      <c r="I32" s="3"/>
      <c r="J32" s="11">
        <f>SUM(T25:T31)</f>
        <v>452.54</v>
      </c>
      <c r="K32" s="11"/>
    </row>
    <row r="33" spans="1:22" ht="14.5" x14ac:dyDescent="0.35">
      <c r="A33" s="9"/>
      <c r="B33" s="9"/>
      <c r="C33" s="9" t="s">
        <v>26</v>
      </c>
      <c r="D33" s="10" t="s">
        <v>24</v>
      </c>
      <c r="E33" s="3">
        <f>108</f>
        <v>108</v>
      </c>
      <c r="F33" s="11"/>
      <c r="G33" s="12"/>
      <c r="H33" s="3"/>
      <c r="I33" s="3"/>
      <c r="J33" s="11">
        <f>SUM(V25:V32)</f>
        <v>13841.6</v>
      </c>
      <c r="K33" s="11"/>
    </row>
    <row r="34" spans="1:22" ht="14.5" x14ac:dyDescent="0.35">
      <c r="A34" s="9"/>
      <c r="B34" s="9"/>
      <c r="C34" s="9" t="s">
        <v>27</v>
      </c>
      <c r="D34" s="10" t="s">
        <v>28</v>
      </c>
      <c r="E34" s="3">
        <f>Source!AQ28</f>
        <v>0.79</v>
      </c>
      <c r="F34" s="11"/>
      <c r="G34" s="12" t="str">
        <f>Source!DI28</f>
        <v/>
      </c>
      <c r="H34" s="3">
        <f>Source!AV28</f>
        <v>1</v>
      </c>
      <c r="I34" s="3"/>
      <c r="J34" s="11"/>
      <c r="K34" s="11">
        <f>Source!U28</f>
        <v>19.850000000000001</v>
      </c>
    </row>
    <row r="35" spans="1:22" ht="14" x14ac:dyDescent="0.3">
      <c r="A35" s="15"/>
      <c r="B35" s="15"/>
      <c r="C35" s="15"/>
      <c r="D35" s="15"/>
      <c r="E35" s="15"/>
      <c r="F35" s="15"/>
      <c r="G35" s="15"/>
      <c r="H35" s="15"/>
      <c r="I35" s="76">
        <f>J27+J28+J30+J31+J32+J33</f>
        <v>103448.75</v>
      </c>
      <c r="J35" s="76"/>
      <c r="K35" s="16">
        <f>IF(Source!I28&lt;&gt;0, ROUND(I35/Source!I28, 2), 0)</f>
        <v>4116.54</v>
      </c>
      <c r="P35" s="17">
        <f>I35</f>
        <v>103448.75</v>
      </c>
    </row>
    <row r="36" spans="1:22" ht="70" x14ac:dyDescent="0.35">
      <c r="A36" s="9">
        <v>2</v>
      </c>
      <c r="B36" s="9" t="str">
        <f>Source!F29</f>
        <v>2.1-3104-2-6/1</v>
      </c>
      <c r="C36" s="9" t="str">
        <f>Source!G29</f>
        <v>Срезка поверхностного слоя асфальтобетонных дорожных покрытий методом холодного фрезерования при ширине барабана фрезы 2000 (2100) мм, добавляется или исключается на 1 см</v>
      </c>
      <c r="D36" s="10" t="str">
        <f>Source!H29</f>
        <v>100 м2</v>
      </c>
      <c r="E36" s="3">
        <f>Source!I29</f>
        <v>-25.13</v>
      </c>
      <c r="F36" s="11"/>
      <c r="G36" s="12"/>
      <c r="H36" s="3"/>
      <c r="I36" s="3"/>
      <c r="J36" s="11"/>
      <c r="K36" s="11"/>
      <c r="Q36" s="2">
        <f>ROUND((Source!BZ29/100)*ROUND((Source!AF29*Source!AV29)*Source!I29, 2), 2)</f>
        <v>-181.89</v>
      </c>
      <c r="R36" s="2">
        <f>Source!X29</f>
        <v>-181.89</v>
      </c>
      <c r="S36" s="2">
        <f>ROUND((Source!CA29/100)*ROUND((Source!AF29*Source!AV29)*Source!I29, 2), 2)</f>
        <v>-25.98</v>
      </c>
      <c r="T36" s="2">
        <f>Source!Y29</f>
        <v>-25.98</v>
      </c>
      <c r="U36" s="2">
        <f>ROUND((175/100)*ROUND((Source!AE29*Source!AV29)*Source!I29, 2), 2)</f>
        <v>-2745.07</v>
      </c>
      <c r="V36" s="2">
        <f>ROUND((108/100)*ROUND(Source!CS29*Source!I29, 2), 2)</f>
        <v>-1694.1</v>
      </c>
    </row>
    <row r="37" spans="1:22" x14ac:dyDescent="0.25">
      <c r="C37" s="13" t="str">
        <f>"Объем: "&amp;Source!I29&amp;"=-"&amp;"2513/"&amp;"100"</f>
        <v>Объем: -25,13=-2513/100</v>
      </c>
    </row>
    <row r="38" spans="1:22" ht="14.5" x14ac:dyDescent="0.35">
      <c r="A38" s="9"/>
      <c r="B38" s="9"/>
      <c r="C38" s="9" t="s">
        <v>19</v>
      </c>
      <c r="D38" s="10"/>
      <c r="E38" s="3"/>
      <c r="F38" s="11">
        <f>Source!AO29</f>
        <v>10.34</v>
      </c>
      <c r="G38" s="12" t="str">
        <f>Source!DG29</f>
        <v/>
      </c>
      <c r="H38" s="3">
        <f>Source!AV29</f>
        <v>1</v>
      </c>
      <c r="I38" s="3">
        <f>IF(Source!BA29&lt;&gt; 0, Source!BA29, 1)</f>
        <v>1</v>
      </c>
      <c r="J38" s="11">
        <f>Source!S29</f>
        <v>-259.83999999999997</v>
      </c>
      <c r="K38" s="11"/>
    </row>
    <row r="39" spans="1:22" ht="14.5" x14ac:dyDescent="0.35">
      <c r="A39" s="9"/>
      <c r="B39" s="9"/>
      <c r="C39" s="9" t="s">
        <v>20</v>
      </c>
      <c r="D39" s="10"/>
      <c r="E39" s="3"/>
      <c r="F39" s="11">
        <f>Source!AM29</f>
        <v>368.69</v>
      </c>
      <c r="G39" s="12" t="str">
        <f>Source!DE29</f>
        <v/>
      </c>
      <c r="H39" s="3">
        <f>Source!AV29</f>
        <v>1</v>
      </c>
      <c r="I39" s="3">
        <f>IF(Source!BB29&lt;&gt; 0, Source!BB29, 1)</f>
        <v>1</v>
      </c>
      <c r="J39" s="11">
        <f>Source!Q29</f>
        <v>-9265.18</v>
      </c>
      <c r="K39" s="11"/>
    </row>
    <row r="40" spans="1:22" ht="14.5" x14ac:dyDescent="0.35">
      <c r="A40" s="9"/>
      <c r="B40" s="9"/>
      <c r="C40" s="9" t="s">
        <v>21</v>
      </c>
      <c r="D40" s="10"/>
      <c r="E40" s="3"/>
      <c r="F40" s="11">
        <f>Source!AN29</f>
        <v>62.42</v>
      </c>
      <c r="G40" s="12" t="str">
        <f>Source!DF29</f>
        <v/>
      </c>
      <c r="H40" s="3">
        <f>Source!AV29</f>
        <v>1</v>
      </c>
      <c r="I40" s="3">
        <f>IF(Source!BS29&lt;&gt; 0, Source!BS29, 1)</f>
        <v>1</v>
      </c>
      <c r="J40" s="14">
        <f>Source!R29</f>
        <v>-1568.61</v>
      </c>
      <c r="K40" s="11"/>
    </row>
    <row r="41" spans="1:22" ht="14.5" x14ac:dyDescent="0.35">
      <c r="A41" s="9"/>
      <c r="B41" s="9"/>
      <c r="C41" s="9" t="s">
        <v>22</v>
      </c>
      <c r="D41" s="10"/>
      <c r="E41" s="3"/>
      <c r="F41" s="11">
        <f>Source!AL29</f>
        <v>106.68</v>
      </c>
      <c r="G41" s="12" t="str">
        <f>Source!DD29</f>
        <v/>
      </c>
      <c r="H41" s="3">
        <f>Source!AW29</f>
        <v>1</v>
      </c>
      <c r="I41" s="3">
        <f>IF(Source!BC29&lt;&gt; 0, Source!BC29, 1)</f>
        <v>1</v>
      </c>
      <c r="J41" s="11">
        <f>Source!P29</f>
        <v>-2680.87</v>
      </c>
      <c r="K41" s="11"/>
    </row>
    <row r="42" spans="1:22" ht="14.5" x14ac:dyDescent="0.35">
      <c r="A42" s="9"/>
      <c r="B42" s="9"/>
      <c r="C42" s="9" t="s">
        <v>23</v>
      </c>
      <c r="D42" s="10" t="s">
        <v>24</v>
      </c>
      <c r="E42" s="3">
        <f>Source!AT29</f>
        <v>70</v>
      </c>
      <c r="F42" s="11"/>
      <c r="G42" s="12"/>
      <c r="H42" s="3"/>
      <c r="I42" s="3"/>
      <c r="J42" s="11">
        <f>SUM(R36:R41)</f>
        <v>-181.89</v>
      </c>
      <c r="K42" s="11"/>
    </row>
    <row r="43" spans="1:22" ht="14.5" x14ac:dyDescent="0.35">
      <c r="A43" s="9"/>
      <c r="B43" s="9"/>
      <c r="C43" s="9" t="s">
        <v>25</v>
      </c>
      <c r="D43" s="10" t="s">
        <v>24</v>
      </c>
      <c r="E43" s="3">
        <f>Source!AU29</f>
        <v>10</v>
      </c>
      <c r="F43" s="11"/>
      <c r="G43" s="12"/>
      <c r="H43" s="3"/>
      <c r="I43" s="3"/>
      <c r="J43" s="11">
        <f>SUM(T36:T42)</f>
        <v>-25.98</v>
      </c>
      <c r="K43" s="11"/>
    </row>
    <row r="44" spans="1:22" ht="14.5" x14ac:dyDescent="0.35">
      <c r="A44" s="9"/>
      <c r="B44" s="9"/>
      <c r="C44" s="9" t="s">
        <v>26</v>
      </c>
      <c r="D44" s="10" t="s">
        <v>24</v>
      </c>
      <c r="E44" s="3">
        <f>108</f>
        <v>108</v>
      </c>
      <c r="F44" s="11"/>
      <c r="G44" s="12"/>
      <c r="H44" s="3"/>
      <c r="I44" s="3"/>
      <c r="J44" s="11">
        <f>SUM(V36:V43)</f>
        <v>-1694.1</v>
      </c>
      <c r="K44" s="11"/>
    </row>
    <row r="45" spans="1:22" ht="14.5" x14ac:dyDescent="0.35">
      <c r="A45" s="9"/>
      <c r="B45" s="9"/>
      <c r="C45" s="9" t="s">
        <v>27</v>
      </c>
      <c r="D45" s="10" t="s">
        <v>28</v>
      </c>
      <c r="E45" s="3">
        <f>Source!AQ29</f>
        <v>0.04</v>
      </c>
      <c r="F45" s="11"/>
      <c r="G45" s="12" t="str">
        <f>Source!DI29</f>
        <v/>
      </c>
      <c r="H45" s="3">
        <f>Source!AV29</f>
        <v>1</v>
      </c>
      <c r="I45" s="3"/>
      <c r="J45" s="11"/>
      <c r="K45" s="11">
        <f>Source!U29</f>
        <v>-1.01</v>
      </c>
    </row>
    <row r="46" spans="1:22" ht="14" x14ac:dyDescent="0.3">
      <c r="A46" s="15"/>
      <c r="B46" s="15"/>
      <c r="C46" s="15"/>
      <c r="D46" s="15"/>
      <c r="E46" s="15"/>
      <c r="F46" s="15"/>
      <c r="G46" s="15"/>
      <c r="H46" s="15"/>
      <c r="I46" s="76">
        <f>J38+J39+J41+J42+J43+J44</f>
        <v>-14107.86</v>
      </c>
      <c r="J46" s="76"/>
      <c r="K46" s="16">
        <f>IF(Source!I29&lt;&gt;0, ROUND(I46/Source!I29, 2), 0)</f>
        <v>561.4</v>
      </c>
      <c r="P46" s="17">
        <f>I46</f>
        <v>-14107.86</v>
      </c>
    </row>
    <row r="47" spans="1:22" ht="42" x14ac:dyDescent="0.35">
      <c r="A47" s="9">
        <v>3</v>
      </c>
      <c r="B47" s="9" t="str">
        <f>Source!F30</f>
        <v>2.1-3301-2-1/1</v>
      </c>
      <c r="C47" s="9" t="str">
        <f>Source!G30</f>
        <v>Исправление профиля щебеночных оснований с добавлением нового материала (2513м2х0,3=753,9м2)</v>
      </c>
      <c r="D47" s="10" t="str">
        <f>Source!H30</f>
        <v>1000 м2</v>
      </c>
      <c r="E47" s="3">
        <f>Source!I30</f>
        <v>0.75390000000000001</v>
      </c>
      <c r="F47" s="11"/>
      <c r="G47" s="12"/>
      <c r="H47" s="3"/>
      <c r="I47" s="3"/>
      <c r="J47" s="11"/>
      <c r="K47" s="11"/>
      <c r="Q47" s="2">
        <f>ROUND((Source!BZ30/100)*ROUND((Source!AF30*Source!AV30)*Source!I30, 2), 2)</f>
        <v>9156.91</v>
      </c>
      <c r="R47" s="2">
        <f>Source!X30</f>
        <v>9156.91</v>
      </c>
      <c r="S47" s="2">
        <f>ROUND((Source!CA30/100)*ROUND((Source!AF30*Source!AV30)*Source!I30, 2), 2)</f>
        <v>1308.1300000000001</v>
      </c>
      <c r="T47" s="2">
        <f>Source!Y30</f>
        <v>1308.1300000000001</v>
      </c>
      <c r="U47" s="2">
        <f>ROUND((175/100)*ROUND((Source!AE30*Source!AV30)*Source!I30, 2), 2)</f>
        <v>50600.18</v>
      </c>
      <c r="V47" s="2">
        <f>ROUND((108/100)*ROUND(Source!CS30*Source!I30, 2), 2)</f>
        <v>31227.54</v>
      </c>
    </row>
    <row r="48" spans="1:22" x14ac:dyDescent="0.25">
      <c r="C48" s="13" t="str">
        <f>"Объем: "&amp;Source!I30&amp;"=753,9/"&amp;"1000"</f>
        <v>Объем: 0,7539=753,9/1000</v>
      </c>
    </row>
    <row r="49" spans="1:22" ht="14.5" x14ac:dyDescent="0.35">
      <c r="A49" s="9"/>
      <c r="B49" s="9"/>
      <c r="C49" s="9" t="s">
        <v>19</v>
      </c>
      <c r="D49" s="10"/>
      <c r="E49" s="3"/>
      <c r="F49" s="11">
        <f>Source!AO30</f>
        <v>17351.509999999998</v>
      </c>
      <c r="G49" s="12" t="str">
        <f>Source!DG30</f>
        <v/>
      </c>
      <c r="H49" s="3">
        <f>Source!AV30</f>
        <v>1</v>
      </c>
      <c r="I49" s="3">
        <f>IF(Source!BA30&lt;&gt; 0, Source!BA30, 1)</f>
        <v>1</v>
      </c>
      <c r="J49" s="11">
        <f>Source!S30</f>
        <v>13081.3</v>
      </c>
      <c r="K49" s="11"/>
    </row>
    <row r="50" spans="1:22" ht="14.5" x14ac:dyDescent="0.35">
      <c r="A50" s="9"/>
      <c r="B50" s="9"/>
      <c r="C50" s="9" t="s">
        <v>20</v>
      </c>
      <c r="D50" s="10"/>
      <c r="E50" s="3"/>
      <c r="F50" s="11">
        <f>Source!AM30</f>
        <v>93463.56</v>
      </c>
      <c r="G50" s="12" t="str">
        <f>Source!DE30</f>
        <v/>
      </c>
      <c r="H50" s="3">
        <f>Source!AV30</f>
        <v>1</v>
      </c>
      <c r="I50" s="3">
        <f>IF(Source!BB30&lt;&gt; 0, Source!BB30, 1)</f>
        <v>1</v>
      </c>
      <c r="J50" s="11">
        <f>Source!Q30</f>
        <v>70462.179999999993</v>
      </c>
      <c r="K50" s="11"/>
    </row>
    <row r="51" spans="1:22" ht="14.5" x14ac:dyDescent="0.35">
      <c r="A51" s="9"/>
      <c r="B51" s="9"/>
      <c r="C51" s="9" t="s">
        <v>21</v>
      </c>
      <c r="D51" s="10"/>
      <c r="E51" s="3"/>
      <c r="F51" s="11">
        <f>Source!AN30</f>
        <v>38353.089999999997</v>
      </c>
      <c r="G51" s="12" t="str">
        <f>Source!DF30</f>
        <v/>
      </c>
      <c r="H51" s="3">
        <f>Source!AV30</f>
        <v>1</v>
      </c>
      <c r="I51" s="3">
        <f>IF(Source!BS30&lt;&gt; 0, Source!BS30, 1)</f>
        <v>1</v>
      </c>
      <c r="J51" s="14">
        <f>Source!R30</f>
        <v>28914.39</v>
      </c>
      <c r="K51" s="11"/>
    </row>
    <row r="52" spans="1:22" ht="14.5" x14ac:dyDescent="0.35">
      <c r="A52" s="9"/>
      <c r="B52" s="9"/>
      <c r="C52" s="9" t="s">
        <v>22</v>
      </c>
      <c r="D52" s="10"/>
      <c r="E52" s="3"/>
      <c r="F52" s="11">
        <f>Source!AL30</f>
        <v>104282.63</v>
      </c>
      <c r="G52" s="12" t="str">
        <f>Source!DD30</f>
        <v/>
      </c>
      <c r="H52" s="3">
        <f>Source!AW30</f>
        <v>1</v>
      </c>
      <c r="I52" s="3">
        <f>IF(Source!BC30&lt;&gt; 0, Source!BC30, 1)</f>
        <v>1</v>
      </c>
      <c r="J52" s="11">
        <f>Source!P30</f>
        <v>78618.67</v>
      </c>
      <c r="K52" s="11"/>
    </row>
    <row r="53" spans="1:22" ht="42" x14ac:dyDescent="0.35">
      <c r="A53" s="9" t="s">
        <v>29</v>
      </c>
      <c r="B53" s="9" t="str">
        <f>Source!F31</f>
        <v>21.1-12-35</v>
      </c>
      <c r="C53" s="9" t="str">
        <f>Source!G31</f>
        <v>Щебень из естественного камня для строительных работ, марка 1200-800, фракция 10-20 мм</v>
      </c>
      <c r="D53" s="10" t="str">
        <f>Source!H31</f>
        <v>м3</v>
      </c>
      <c r="E53" s="3">
        <f>Source!I31</f>
        <v>-8.6698500000000003</v>
      </c>
      <c r="F53" s="11">
        <f>Source!AK31</f>
        <v>1610.75</v>
      </c>
      <c r="G53" s="18" t="s">
        <v>30</v>
      </c>
      <c r="H53" s="3">
        <f>Source!AW31</f>
        <v>1</v>
      </c>
      <c r="I53" s="3">
        <f>IF(Source!BC31&lt;&gt; 0, Source!BC31, 1)</f>
        <v>1</v>
      </c>
      <c r="J53" s="11">
        <f>Source!O31</f>
        <v>-13964.96</v>
      </c>
      <c r="K53" s="11"/>
      <c r="Q53" s="2">
        <f>ROUND((Source!BZ31/100)*ROUND((Source!AF31*Source!AV31)*Source!I31, 2), 2)</f>
        <v>0</v>
      </c>
      <c r="R53" s="2">
        <f>Source!X31</f>
        <v>0</v>
      </c>
      <c r="S53" s="2">
        <f>ROUND((Source!CA31/100)*ROUND((Source!AF31*Source!AV31)*Source!I31, 2), 2)</f>
        <v>0</v>
      </c>
      <c r="T53" s="2">
        <f>Source!Y31</f>
        <v>0</v>
      </c>
      <c r="U53" s="2">
        <f>ROUND((175/100)*ROUND((Source!AE31*Source!AV31)*Source!I31, 2), 2)</f>
        <v>0</v>
      </c>
      <c r="V53" s="2">
        <f>ROUND((108/100)*ROUND(Source!CS31*Source!I31, 2), 2)</f>
        <v>0</v>
      </c>
    </row>
    <row r="54" spans="1:22" ht="42" x14ac:dyDescent="0.35">
      <c r="A54" s="9" t="s">
        <v>31</v>
      </c>
      <c r="B54" s="9" t="str">
        <f>Source!F32</f>
        <v>21.1-12-36</v>
      </c>
      <c r="C54" s="9" t="str">
        <f>Source!G32</f>
        <v>Щебень из естественного камня для строительных работ, марка 1200-800, фракция 20-40 мм</v>
      </c>
      <c r="D54" s="10" t="str">
        <f>Source!H32</f>
        <v>м3</v>
      </c>
      <c r="E54" s="3">
        <f>Source!I32</f>
        <v>-41.464500000000001</v>
      </c>
      <c r="F54" s="11">
        <f>Source!AK32</f>
        <v>1542.75</v>
      </c>
      <c r="G54" s="18" t="s">
        <v>30</v>
      </c>
      <c r="H54" s="3">
        <f>Source!AW32</f>
        <v>1</v>
      </c>
      <c r="I54" s="3">
        <f>IF(Source!BC32&lt;&gt; 0, Source!BC32, 1)</f>
        <v>1</v>
      </c>
      <c r="J54" s="11">
        <f>Source!O32</f>
        <v>-63969.36</v>
      </c>
      <c r="K54" s="11"/>
      <c r="Q54" s="2">
        <f>ROUND((Source!BZ32/100)*ROUND((Source!AF32*Source!AV32)*Source!I32, 2), 2)</f>
        <v>0</v>
      </c>
      <c r="R54" s="2">
        <f>Source!X32</f>
        <v>0</v>
      </c>
      <c r="S54" s="2">
        <f>ROUND((Source!CA32/100)*ROUND((Source!AF32*Source!AV32)*Source!I32, 2), 2)</f>
        <v>0</v>
      </c>
      <c r="T54" s="2">
        <f>Source!Y32</f>
        <v>0</v>
      </c>
      <c r="U54" s="2">
        <f>ROUND((175/100)*ROUND((Source!AE32*Source!AV32)*Source!I32, 2), 2)</f>
        <v>0</v>
      </c>
      <c r="V54" s="2">
        <f>ROUND((108/100)*ROUND(Source!CS32*Source!I32, 2), 2)</f>
        <v>0</v>
      </c>
    </row>
    <row r="55" spans="1:22" ht="42" x14ac:dyDescent="0.35">
      <c r="A55" s="9" t="s">
        <v>32</v>
      </c>
      <c r="B55" s="9" t="str">
        <f>Source!F33</f>
        <v>21.1-12-31</v>
      </c>
      <c r="C55" s="9" t="str">
        <f>Source!G33</f>
        <v>Щебень из естественного камня для строительных работ, марка 600-400, фракция 20-40 мм</v>
      </c>
      <c r="D55" s="10" t="str">
        <f>Source!H33</f>
        <v>м3</v>
      </c>
      <c r="E55" s="3">
        <f>Source!I33</f>
        <v>41.464500000000001</v>
      </c>
      <c r="F55" s="11">
        <f>Source!AK33</f>
        <v>1232.5</v>
      </c>
      <c r="G55" s="18" t="s">
        <v>30</v>
      </c>
      <c r="H55" s="3">
        <f>Source!AW33</f>
        <v>1</v>
      </c>
      <c r="I55" s="3">
        <f>IF(Source!BC33&lt;&gt; 0, Source!BC33, 1)</f>
        <v>1</v>
      </c>
      <c r="J55" s="11">
        <f>Source!O33</f>
        <v>51105</v>
      </c>
      <c r="K55" s="11"/>
      <c r="Q55" s="2">
        <f>ROUND((Source!BZ33/100)*ROUND((Source!AF33*Source!AV33)*Source!I33, 2), 2)</f>
        <v>0</v>
      </c>
      <c r="R55" s="2">
        <f>Source!X33</f>
        <v>0</v>
      </c>
      <c r="S55" s="2">
        <f>ROUND((Source!CA33/100)*ROUND((Source!AF33*Source!AV33)*Source!I33, 2), 2)</f>
        <v>0</v>
      </c>
      <c r="T55" s="2">
        <f>Source!Y33</f>
        <v>0</v>
      </c>
      <c r="U55" s="2">
        <f>ROUND((175/100)*ROUND((Source!AE33*Source!AV33)*Source!I33, 2), 2)</f>
        <v>0</v>
      </c>
      <c r="V55" s="2">
        <f>ROUND((108/100)*ROUND(Source!CS33*Source!I33, 2), 2)</f>
        <v>0</v>
      </c>
    </row>
    <row r="56" spans="1:22" ht="14.5" x14ac:dyDescent="0.35">
      <c r="A56" s="9"/>
      <c r="B56" s="9"/>
      <c r="C56" s="9" t="s">
        <v>23</v>
      </c>
      <c r="D56" s="10" t="s">
        <v>24</v>
      </c>
      <c r="E56" s="3">
        <f>Source!AT30</f>
        <v>70</v>
      </c>
      <c r="F56" s="11"/>
      <c r="G56" s="12"/>
      <c r="H56" s="3"/>
      <c r="I56" s="3"/>
      <c r="J56" s="11">
        <f>SUM(R47:R55)</f>
        <v>9156.91</v>
      </c>
      <c r="K56" s="11"/>
    </row>
    <row r="57" spans="1:22" ht="14.5" x14ac:dyDescent="0.35">
      <c r="A57" s="9"/>
      <c r="B57" s="9"/>
      <c r="C57" s="9" t="s">
        <v>25</v>
      </c>
      <c r="D57" s="10" t="s">
        <v>24</v>
      </c>
      <c r="E57" s="3">
        <f>Source!AU30</f>
        <v>10</v>
      </c>
      <c r="F57" s="11"/>
      <c r="G57" s="12"/>
      <c r="H57" s="3"/>
      <c r="I57" s="3"/>
      <c r="J57" s="11">
        <f>SUM(T47:T56)</f>
        <v>1308.1300000000001</v>
      </c>
      <c r="K57" s="11"/>
    </row>
    <row r="58" spans="1:22" ht="14.5" x14ac:dyDescent="0.35">
      <c r="A58" s="9"/>
      <c r="B58" s="9"/>
      <c r="C58" s="9" t="s">
        <v>26</v>
      </c>
      <c r="D58" s="10" t="s">
        <v>24</v>
      </c>
      <c r="E58" s="3">
        <f>108</f>
        <v>108</v>
      </c>
      <c r="F58" s="11"/>
      <c r="G58" s="12"/>
      <c r="H58" s="3"/>
      <c r="I58" s="3"/>
      <c r="J58" s="11">
        <f>SUM(V47:V57)</f>
        <v>31227.54</v>
      </c>
      <c r="K58" s="11"/>
    </row>
    <row r="59" spans="1:22" ht="14.5" x14ac:dyDescent="0.35">
      <c r="A59" s="9"/>
      <c r="B59" s="9"/>
      <c r="C59" s="9" t="s">
        <v>27</v>
      </c>
      <c r="D59" s="10" t="s">
        <v>28</v>
      </c>
      <c r="E59" s="3">
        <f>Source!AQ30</f>
        <v>87.29</v>
      </c>
      <c r="F59" s="11"/>
      <c r="G59" s="12" t="str">
        <f>Source!DI30</f>
        <v/>
      </c>
      <c r="H59" s="3">
        <f>Source!AV30</f>
        <v>1</v>
      </c>
      <c r="I59" s="3"/>
      <c r="J59" s="11"/>
      <c r="K59" s="11">
        <f>Source!U30</f>
        <v>65.81</v>
      </c>
    </row>
    <row r="60" spans="1:22" ht="14" x14ac:dyDescent="0.3">
      <c r="A60" s="15"/>
      <c r="B60" s="15"/>
      <c r="C60" s="15"/>
      <c r="D60" s="15"/>
      <c r="E60" s="15"/>
      <c r="F60" s="15"/>
      <c r="G60" s="15"/>
      <c r="H60" s="15"/>
      <c r="I60" s="76">
        <f>J49+J50+J52+J56+J57+J58+SUM(J53:J55)</f>
        <v>177025.41</v>
      </c>
      <c r="J60" s="76"/>
      <c r="K60" s="16">
        <f>IF(Source!I30&lt;&gt;0, ROUND(I60/Source!I30, 2), 0)</f>
        <v>234812.85</v>
      </c>
      <c r="P60" s="17">
        <f>I60</f>
        <v>177025.41</v>
      </c>
    </row>
    <row r="61" spans="1:22" ht="70" x14ac:dyDescent="0.35">
      <c r="A61" s="9">
        <v>4</v>
      </c>
      <c r="B61" s="9" t="str">
        <f>Source!F34</f>
        <v>1.49-9201-1-2/1</v>
      </c>
      <c r="C61" s="9" t="str">
        <f>Source!G34</f>
        <v>Перевозка строительного мусора автосамосвалами грузоподъемностью до 10 т на расстояние 1 км - при механизированной погрузке (2513м2*0,05*2,4т=301,56т)</v>
      </c>
      <c r="D61" s="10" t="str">
        <f>Source!H34</f>
        <v>т</v>
      </c>
      <c r="E61" s="3">
        <f>Source!I34</f>
        <v>301.56</v>
      </c>
      <c r="F61" s="11"/>
      <c r="G61" s="12"/>
      <c r="H61" s="3"/>
      <c r="I61" s="3"/>
      <c r="J61" s="11"/>
      <c r="K61" s="11"/>
      <c r="Q61" s="2">
        <f>ROUND((Source!BZ34/100)*ROUND((Source!AF34*Source!AV34)*Source!I34, 2), 2)</f>
        <v>0</v>
      </c>
      <c r="R61" s="2">
        <f>Source!X34</f>
        <v>0</v>
      </c>
      <c r="S61" s="2">
        <f>ROUND((Source!CA34/100)*ROUND((Source!AF34*Source!AV34)*Source!I34, 2), 2)</f>
        <v>0</v>
      </c>
      <c r="T61" s="2">
        <f>Source!Y34</f>
        <v>0</v>
      </c>
      <c r="U61" s="2">
        <f>ROUND((175/100)*ROUND((Source!AE34*Source!AV34)*Source!I34, 2), 2)</f>
        <v>17420.38</v>
      </c>
      <c r="V61" s="2">
        <f>ROUND((108/100)*ROUND(Source!CS34*Source!I34, 2), 2)</f>
        <v>10750.86</v>
      </c>
    </row>
    <row r="62" spans="1:22" ht="14.5" x14ac:dyDescent="0.35">
      <c r="A62" s="9"/>
      <c r="B62" s="9"/>
      <c r="C62" s="9" t="s">
        <v>20</v>
      </c>
      <c r="D62" s="10"/>
      <c r="E62" s="3"/>
      <c r="F62" s="11">
        <f>Source!AM34</f>
        <v>61.22</v>
      </c>
      <c r="G62" s="12" t="str">
        <f>Source!DE34</f>
        <v/>
      </c>
      <c r="H62" s="3">
        <f>Source!AV34</f>
        <v>1</v>
      </c>
      <c r="I62" s="3">
        <f>IF(Source!BB34&lt;&gt; 0, Source!BB34, 1)</f>
        <v>1</v>
      </c>
      <c r="J62" s="11">
        <f>Source!Q34</f>
        <v>18461.5</v>
      </c>
      <c r="K62" s="11"/>
    </row>
    <row r="63" spans="1:22" ht="14.5" x14ac:dyDescent="0.35">
      <c r="A63" s="9"/>
      <c r="B63" s="9"/>
      <c r="C63" s="9" t="s">
        <v>21</v>
      </c>
      <c r="D63" s="10"/>
      <c r="E63" s="3"/>
      <c r="F63" s="11">
        <f>Source!AN34</f>
        <v>33.01</v>
      </c>
      <c r="G63" s="12" t="str">
        <f>Source!DF34</f>
        <v/>
      </c>
      <c r="H63" s="3">
        <f>Source!AV34</f>
        <v>1</v>
      </c>
      <c r="I63" s="3">
        <f>IF(Source!BS34&lt;&gt; 0, Source!BS34, 1)</f>
        <v>1</v>
      </c>
      <c r="J63" s="14">
        <f>Source!R34</f>
        <v>9954.5</v>
      </c>
      <c r="K63" s="11"/>
    </row>
    <row r="64" spans="1:22" ht="14" x14ac:dyDescent="0.3">
      <c r="A64" s="15"/>
      <c r="B64" s="15"/>
      <c r="C64" s="15"/>
      <c r="D64" s="15"/>
      <c r="E64" s="15"/>
      <c r="F64" s="15"/>
      <c r="G64" s="15"/>
      <c r="H64" s="15"/>
      <c r="I64" s="76">
        <f>J62</f>
        <v>18461.5</v>
      </c>
      <c r="J64" s="76"/>
      <c r="K64" s="16">
        <f>IF(Source!I34&lt;&gt;0, ROUND(I64/Source!I34, 2), 0)</f>
        <v>61.22</v>
      </c>
      <c r="P64" s="17">
        <f>I64</f>
        <v>18461.5</v>
      </c>
    </row>
    <row r="65" spans="1:22" ht="56" x14ac:dyDescent="0.35">
      <c r="A65" s="9">
        <v>5</v>
      </c>
      <c r="B65" s="9" t="str">
        <f>Source!F35</f>
        <v>1.49-9201-1-3/1</v>
      </c>
      <c r="C65" s="9" t="str">
        <f>Source!G35</f>
        <v>Перевозка строительного мусора автосамосвалами грузоподъемностью до 10 т - добавляется на каждый последующий 1 км до 100 км</v>
      </c>
      <c r="D65" s="10" t="str">
        <f>Source!H35</f>
        <v>т</v>
      </c>
      <c r="E65" s="3">
        <f>Source!I35</f>
        <v>301.56</v>
      </c>
      <c r="F65" s="11"/>
      <c r="G65" s="12"/>
      <c r="H65" s="3"/>
      <c r="I65" s="3"/>
      <c r="J65" s="11"/>
      <c r="K65" s="11"/>
      <c r="Q65" s="2">
        <f>ROUND((Source!BZ35/100)*ROUND((Source!AF35*Source!AV35)*Source!I35, 2), 2)</f>
        <v>0</v>
      </c>
      <c r="R65" s="2">
        <f>Source!X35</f>
        <v>0</v>
      </c>
      <c r="S65" s="2">
        <f>ROUND((Source!CA35/100)*ROUND((Source!AF35*Source!AV35)*Source!I35, 2), 2)</f>
        <v>0</v>
      </c>
      <c r="T65" s="2">
        <f>Source!Y35</f>
        <v>0</v>
      </c>
      <c r="U65" s="2">
        <f>ROUND((175/100)*ROUND((Source!AE35*Source!AV35)*Source!I35, 2), 2)</f>
        <v>429192.26</v>
      </c>
      <c r="V65" s="2">
        <f>ROUND((108/100)*ROUND(Source!CS35*Source!I35, 2), 2)</f>
        <v>264872.94</v>
      </c>
    </row>
    <row r="66" spans="1:22" ht="14.5" x14ac:dyDescent="0.35">
      <c r="A66" s="9"/>
      <c r="B66" s="9"/>
      <c r="C66" s="9" t="s">
        <v>20</v>
      </c>
      <c r="D66" s="10"/>
      <c r="E66" s="3"/>
      <c r="F66" s="11">
        <f>Source!AM35</f>
        <v>28.99</v>
      </c>
      <c r="G66" s="12" t="str">
        <f>Source!DE35</f>
        <v>)*52</v>
      </c>
      <c r="H66" s="3">
        <f>Source!AV35</f>
        <v>1</v>
      </c>
      <c r="I66" s="3">
        <f>IF(Source!BB35&lt;&gt; 0, Source!BB35, 1)</f>
        <v>1</v>
      </c>
      <c r="J66" s="11">
        <f>Source!Q35</f>
        <v>454595.67</v>
      </c>
      <c r="K66" s="11"/>
    </row>
    <row r="67" spans="1:22" ht="14.5" x14ac:dyDescent="0.35">
      <c r="A67" s="9"/>
      <c r="B67" s="9"/>
      <c r="C67" s="9" t="s">
        <v>21</v>
      </c>
      <c r="D67" s="10"/>
      <c r="E67" s="3"/>
      <c r="F67" s="11">
        <f>Source!AN35</f>
        <v>15.64</v>
      </c>
      <c r="G67" s="12" t="str">
        <f>Source!DF35</f>
        <v>)*52</v>
      </c>
      <c r="H67" s="3">
        <f>Source!AV35</f>
        <v>1</v>
      </c>
      <c r="I67" s="3">
        <f>IF(Source!BS35&lt;&gt; 0, Source!BS35, 1)</f>
        <v>1</v>
      </c>
      <c r="J67" s="14">
        <f>Source!R35</f>
        <v>245252.72</v>
      </c>
      <c r="K67" s="11"/>
    </row>
    <row r="68" spans="1:22" ht="14" x14ac:dyDescent="0.3">
      <c r="A68" s="15"/>
      <c r="B68" s="15"/>
      <c r="C68" s="15"/>
      <c r="D68" s="15"/>
      <c r="E68" s="15"/>
      <c r="F68" s="15"/>
      <c r="G68" s="15"/>
      <c r="H68" s="15"/>
      <c r="I68" s="76">
        <f>J66</f>
        <v>454595.67</v>
      </c>
      <c r="J68" s="76"/>
      <c r="K68" s="16">
        <f>IF(Source!I35&lt;&gt;0, ROUND(I68/Source!I35, 2), 0)</f>
        <v>1507.48</v>
      </c>
      <c r="P68" s="17">
        <f>I68</f>
        <v>454595.67</v>
      </c>
    </row>
    <row r="69" spans="1:22" ht="70" x14ac:dyDescent="0.35">
      <c r="A69" s="9">
        <v>6</v>
      </c>
      <c r="B69" s="9" t="str">
        <f>Source!F36</f>
        <v>2.1-3103-19-4/1</v>
      </c>
      <c r="C69" s="9" t="str">
        <f>Source!G36</f>
        <v>Устройство асфальтобетонных покрытий дорожек и тротуаров двухслойных, верхний слой из песчаной асфальтобетонной смеси толщиной 3 см (толщина 5 см)</v>
      </c>
      <c r="D69" s="10" t="str">
        <f>Source!H36</f>
        <v>100 м2</v>
      </c>
      <c r="E69" s="3">
        <f>Source!I36</f>
        <v>25.13</v>
      </c>
      <c r="F69" s="11"/>
      <c r="G69" s="12"/>
      <c r="H69" s="3"/>
      <c r="I69" s="3"/>
      <c r="J69" s="11"/>
      <c r="K69" s="11"/>
      <c r="Q69" s="2">
        <f>ROUND((Source!BZ36/100)*ROUND((Source!AF36*Source!AV36)*Source!I36, 2), 2)</f>
        <v>43497.62</v>
      </c>
      <c r="R69" s="2">
        <f>Source!X36</f>
        <v>43497.62</v>
      </c>
      <c r="S69" s="2">
        <f>ROUND((Source!CA36/100)*ROUND((Source!AF36*Source!AV36)*Source!I36, 2), 2)</f>
        <v>6213.95</v>
      </c>
      <c r="T69" s="2">
        <f>Source!Y36</f>
        <v>6213.95</v>
      </c>
      <c r="U69" s="2">
        <f>ROUND((175/100)*ROUND((Source!AE36*Source!AV36)*Source!I36, 2), 2)</f>
        <v>21782.06</v>
      </c>
      <c r="V69" s="2">
        <f>ROUND((108/100)*ROUND(Source!CS36*Source!I36, 2), 2)</f>
        <v>13442.64</v>
      </c>
    </row>
    <row r="70" spans="1:22" x14ac:dyDescent="0.25">
      <c r="C70" s="13" t="str">
        <f>"Объем: "&amp;Source!I36&amp;"=2513/"&amp;"100"</f>
        <v>Объем: 25,13=2513/100</v>
      </c>
    </row>
    <row r="71" spans="1:22" ht="14.5" x14ac:dyDescent="0.35">
      <c r="A71" s="9"/>
      <c r="B71" s="9"/>
      <c r="C71" s="9" t="s">
        <v>19</v>
      </c>
      <c r="D71" s="10"/>
      <c r="E71" s="3"/>
      <c r="F71" s="11">
        <f>Source!AO36</f>
        <v>2472.7199999999998</v>
      </c>
      <c r="G71" s="12" t="str">
        <f>Source!DG36</f>
        <v/>
      </c>
      <c r="H71" s="3">
        <f>Source!AV36</f>
        <v>1</v>
      </c>
      <c r="I71" s="3">
        <f>IF(Source!BA36&lt;&gt; 0, Source!BA36, 1)</f>
        <v>1</v>
      </c>
      <c r="J71" s="11">
        <f>Source!S36</f>
        <v>62139.45</v>
      </c>
      <c r="K71" s="11"/>
    </row>
    <row r="72" spans="1:22" ht="14.5" x14ac:dyDescent="0.35">
      <c r="A72" s="9"/>
      <c r="B72" s="9"/>
      <c r="C72" s="9" t="s">
        <v>20</v>
      </c>
      <c r="D72" s="10"/>
      <c r="E72" s="3"/>
      <c r="F72" s="11">
        <f>Source!AM36</f>
        <v>1214.57</v>
      </c>
      <c r="G72" s="12" t="str">
        <f>Source!DE36</f>
        <v/>
      </c>
      <c r="H72" s="3">
        <f>Source!AV36</f>
        <v>1</v>
      </c>
      <c r="I72" s="3">
        <f>IF(Source!BB36&lt;&gt; 0, Source!BB36, 1)</f>
        <v>1</v>
      </c>
      <c r="J72" s="11">
        <f>Source!Q36</f>
        <v>30522.14</v>
      </c>
      <c r="K72" s="11"/>
    </row>
    <row r="73" spans="1:22" ht="14.5" x14ac:dyDescent="0.35">
      <c r="A73" s="9"/>
      <c r="B73" s="9"/>
      <c r="C73" s="9" t="s">
        <v>21</v>
      </c>
      <c r="D73" s="10"/>
      <c r="E73" s="3"/>
      <c r="F73" s="11">
        <f>Source!AN36</f>
        <v>495.3</v>
      </c>
      <c r="G73" s="12" t="str">
        <f>Source!DF36</f>
        <v/>
      </c>
      <c r="H73" s="3">
        <f>Source!AV36</f>
        <v>1</v>
      </c>
      <c r="I73" s="3">
        <f>IF(Source!BS36&lt;&gt; 0, Source!BS36, 1)</f>
        <v>1</v>
      </c>
      <c r="J73" s="14">
        <f>Source!R36</f>
        <v>12446.89</v>
      </c>
      <c r="K73" s="11"/>
    </row>
    <row r="74" spans="1:22" ht="14.5" x14ac:dyDescent="0.35">
      <c r="A74" s="9"/>
      <c r="B74" s="9"/>
      <c r="C74" s="9" t="s">
        <v>22</v>
      </c>
      <c r="D74" s="10"/>
      <c r="E74" s="3"/>
      <c r="F74" s="11">
        <f>Source!AL36</f>
        <v>23183.32</v>
      </c>
      <c r="G74" s="12" t="str">
        <f>Source!DD36</f>
        <v/>
      </c>
      <c r="H74" s="3">
        <f>Source!AW36</f>
        <v>1</v>
      </c>
      <c r="I74" s="3">
        <f>IF(Source!BC36&lt;&gt; 0, Source!BC36, 1)</f>
        <v>1</v>
      </c>
      <c r="J74" s="11">
        <f>Source!P36</f>
        <v>582596.82999999996</v>
      </c>
      <c r="K74" s="11"/>
    </row>
    <row r="75" spans="1:22" ht="28" x14ac:dyDescent="0.35">
      <c r="A75" s="9" t="s">
        <v>33</v>
      </c>
      <c r="B75" s="9" t="str">
        <f>Source!F37</f>
        <v>21.3-3-34</v>
      </c>
      <c r="C75" s="9" t="str">
        <f>Source!G37</f>
        <v>Смеси асфальтобетонные дорожные горячие песчаные, тип Д, марка III</v>
      </c>
      <c r="D75" s="10" t="str">
        <f>Source!H37</f>
        <v>т</v>
      </c>
      <c r="E75" s="3">
        <f>Source!I37</f>
        <v>-179.4282</v>
      </c>
      <c r="F75" s="11">
        <f>Source!AK37</f>
        <v>2954.24</v>
      </c>
      <c r="G75" s="18" t="s">
        <v>30</v>
      </c>
      <c r="H75" s="3">
        <f>Source!AW37</f>
        <v>1</v>
      </c>
      <c r="I75" s="3">
        <f>IF(Source!BC37&lt;&gt; 0, Source!BC37, 1)</f>
        <v>1</v>
      </c>
      <c r="J75" s="11">
        <f>Source!O37</f>
        <v>-530073.97</v>
      </c>
      <c r="K75" s="11"/>
      <c r="Q75" s="2">
        <f>ROUND((Source!BZ37/100)*ROUND((Source!AF37*Source!AV37)*Source!I37, 2), 2)</f>
        <v>0</v>
      </c>
      <c r="R75" s="2">
        <f>Source!X37</f>
        <v>0</v>
      </c>
      <c r="S75" s="2">
        <f>ROUND((Source!CA37/100)*ROUND((Source!AF37*Source!AV37)*Source!I37, 2), 2)</f>
        <v>0</v>
      </c>
      <c r="T75" s="2">
        <f>Source!Y37</f>
        <v>0</v>
      </c>
      <c r="U75" s="2">
        <f>ROUND((175/100)*ROUND((Source!AE37*Source!AV37)*Source!I37, 2), 2)</f>
        <v>0</v>
      </c>
      <c r="V75" s="2">
        <f>ROUND((108/100)*ROUND(Source!CS37*Source!I37, 2), 2)</f>
        <v>0</v>
      </c>
    </row>
    <row r="76" spans="1:22" ht="28" x14ac:dyDescent="0.35">
      <c r="A76" s="9" t="s">
        <v>34</v>
      </c>
      <c r="B76" s="9" t="str">
        <f>Source!F38</f>
        <v>21.3-3-34</v>
      </c>
      <c r="C76" s="9" t="str">
        <f>Source!G38</f>
        <v>Смеси асфальтобетонные дорожные горячие песчаные, тип Д, марка II</v>
      </c>
      <c r="D76" s="10" t="str">
        <f>Source!H38</f>
        <v>т</v>
      </c>
      <c r="E76" s="3">
        <f>Source!I38</f>
        <v>293.26710000000003</v>
      </c>
      <c r="F76" s="11">
        <f>Source!AK38</f>
        <v>2954.24</v>
      </c>
      <c r="G76" s="18" t="s">
        <v>30</v>
      </c>
      <c r="H76" s="3">
        <f>Source!AW38</f>
        <v>1</v>
      </c>
      <c r="I76" s="3">
        <f>IF(Source!BC38&lt;&gt; 0, Source!BC38, 1)</f>
        <v>1</v>
      </c>
      <c r="J76" s="11">
        <f>Source!O38</f>
        <v>866381.4</v>
      </c>
      <c r="K76" s="11"/>
      <c r="Q76" s="2">
        <f>ROUND((Source!BZ38/100)*ROUND((Source!AF38*Source!AV38)*Source!I38, 2), 2)</f>
        <v>0</v>
      </c>
      <c r="R76" s="2">
        <f>Source!X38</f>
        <v>0</v>
      </c>
      <c r="S76" s="2">
        <f>ROUND((Source!CA38/100)*ROUND((Source!AF38*Source!AV38)*Source!I38, 2), 2)</f>
        <v>0</v>
      </c>
      <c r="T76" s="2">
        <f>Source!Y38</f>
        <v>0</v>
      </c>
      <c r="U76" s="2">
        <f>ROUND((175/100)*ROUND((Source!AE38*Source!AV38)*Source!I38, 2), 2)</f>
        <v>0</v>
      </c>
      <c r="V76" s="2">
        <f>ROUND((108/100)*ROUND(Source!CS38*Source!I38, 2), 2)</f>
        <v>0</v>
      </c>
    </row>
    <row r="77" spans="1:22" ht="14.5" x14ac:dyDescent="0.35">
      <c r="A77" s="9"/>
      <c r="B77" s="9"/>
      <c r="C77" s="9" t="s">
        <v>23</v>
      </c>
      <c r="D77" s="10" t="s">
        <v>24</v>
      </c>
      <c r="E77" s="3">
        <f>Source!AT36</f>
        <v>70</v>
      </c>
      <c r="F77" s="11"/>
      <c r="G77" s="12"/>
      <c r="H77" s="3"/>
      <c r="I77" s="3"/>
      <c r="J77" s="11">
        <f>SUM(R69:R76)</f>
        <v>43497.62</v>
      </c>
      <c r="K77" s="11"/>
    </row>
    <row r="78" spans="1:22" ht="14.5" x14ac:dyDescent="0.35">
      <c r="A78" s="9"/>
      <c r="B78" s="9"/>
      <c r="C78" s="9" t="s">
        <v>25</v>
      </c>
      <c r="D78" s="10" t="s">
        <v>24</v>
      </c>
      <c r="E78" s="3">
        <f>Source!AU36</f>
        <v>10</v>
      </c>
      <c r="F78" s="11"/>
      <c r="G78" s="12"/>
      <c r="H78" s="3"/>
      <c r="I78" s="3"/>
      <c r="J78" s="11">
        <f>SUM(T69:T77)</f>
        <v>6213.95</v>
      </c>
      <c r="K78" s="11"/>
    </row>
    <row r="79" spans="1:22" ht="14.5" x14ac:dyDescent="0.35">
      <c r="A79" s="9"/>
      <c r="B79" s="9"/>
      <c r="C79" s="9" t="s">
        <v>26</v>
      </c>
      <c r="D79" s="10" t="s">
        <v>24</v>
      </c>
      <c r="E79" s="3">
        <f>108</f>
        <v>108</v>
      </c>
      <c r="F79" s="11"/>
      <c r="G79" s="12"/>
      <c r="H79" s="3"/>
      <c r="I79" s="3"/>
      <c r="J79" s="11">
        <f>SUM(V69:V78)</f>
        <v>13442.64</v>
      </c>
      <c r="K79" s="11"/>
    </row>
    <row r="80" spans="1:22" ht="14.5" x14ac:dyDescent="0.35">
      <c r="A80" s="9"/>
      <c r="B80" s="9"/>
      <c r="C80" s="9" t="s">
        <v>27</v>
      </c>
      <c r="D80" s="10" t="s">
        <v>28</v>
      </c>
      <c r="E80" s="3">
        <f>Source!AQ36</f>
        <v>10.3</v>
      </c>
      <c r="F80" s="11"/>
      <c r="G80" s="12" t="str">
        <f>Source!DI36</f>
        <v/>
      </c>
      <c r="H80" s="3">
        <f>Source!AV36</f>
        <v>1</v>
      </c>
      <c r="I80" s="3"/>
      <c r="J80" s="11"/>
      <c r="K80" s="11">
        <f>Source!U36</f>
        <v>258.83999999999997</v>
      </c>
    </row>
    <row r="81" spans="1:32" ht="14" x14ac:dyDescent="0.3">
      <c r="A81" s="15"/>
      <c r="B81" s="15"/>
      <c r="C81" s="15"/>
      <c r="D81" s="15"/>
      <c r="E81" s="15"/>
      <c r="F81" s="15"/>
      <c r="G81" s="15"/>
      <c r="H81" s="15"/>
      <c r="I81" s="76">
        <f>J71+J72+J74+J77+J78+J79+SUM(J75:J76)</f>
        <v>1074720.06</v>
      </c>
      <c r="J81" s="76"/>
      <c r="K81" s="16">
        <f>IF(Source!I36&lt;&gt;0, ROUND(I81/Source!I36, 2), 0)</f>
        <v>42766.42</v>
      </c>
      <c r="P81" s="17">
        <f>I81</f>
        <v>1074720.06</v>
      </c>
    </row>
    <row r="83" spans="1:32" ht="14" x14ac:dyDescent="0.3">
      <c r="A83" s="67" t="str">
        <f>CONCATENATE("Итого по разделу: ",IF(Source!G40&lt;&gt;"Новый раздел", Source!G40, ""))</f>
        <v>Итого по разделу: Ремонт дорожно-тропиночной сети с асфальтобетонным покрытием  - 2513 м2</v>
      </c>
      <c r="B83" s="67"/>
      <c r="C83" s="67"/>
      <c r="D83" s="67"/>
      <c r="E83" s="67"/>
      <c r="F83" s="67"/>
      <c r="G83" s="67"/>
      <c r="H83" s="67"/>
      <c r="I83" s="68">
        <f>SUM(P24:P82)</f>
        <v>1814143.53</v>
      </c>
      <c r="J83" s="69"/>
      <c r="K83" s="19"/>
      <c r="AF83" s="20" t="str">
        <f>CONCATENATE("Итого по разделу: ",IF(Source!G40&lt;&gt;"Новый раздел", Source!G40, ""))</f>
        <v>Итого по разделу: Ремонт дорожно-тропиночной сети с асфальтобетонным покрытием  - 2513 м2</v>
      </c>
    </row>
    <row r="86" spans="1:32" ht="16.5" x14ac:dyDescent="0.35">
      <c r="A86" s="77" t="s">
        <v>474</v>
      </c>
      <c r="B86" s="77"/>
      <c r="C86" s="77"/>
      <c r="D86" s="77"/>
      <c r="E86" s="77"/>
      <c r="F86" s="77"/>
      <c r="G86" s="77"/>
      <c r="H86" s="77"/>
      <c r="I86" s="77"/>
      <c r="J86" s="77"/>
      <c r="K86" s="77"/>
    </row>
    <row r="87" spans="1:32" ht="28" x14ac:dyDescent="0.35">
      <c r="A87" s="9">
        <v>7</v>
      </c>
      <c r="B87" s="9" t="str">
        <f>Source!F84</f>
        <v>2.1-3202-1-1/1</v>
      </c>
      <c r="C87" s="9" t="str">
        <f>Source!G84</f>
        <v>Замена бортового камня бетонного во дворовых территориях</v>
      </c>
      <c r="D87" s="10" t="str">
        <f>Source!H84</f>
        <v>м</v>
      </c>
      <c r="E87" s="3">
        <f>Source!I84</f>
        <v>348</v>
      </c>
      <c r="F87" s="11"/>
      <c r="G87" s="12"/>
      <c r="H87" s="3"/>
      <c r="I87" s="3"/>
      <c r="J87" s="11"/>
      <c r="K87" s="11"/>
      <c r="Q87" s="2">
        <f>ROUND((Source!BZ84/100)*ROUND((Source!AF84*Source!AV84)*Source!I84, 2), 2)</f>
        <v>36086.9</v>
      </c>
      <c r="R87" s="2">
        <f>Source!X84</f>
        <v>36086.9</v>
      </c>
      <c r="S87" s="2">
        <f>ROUND((Source!CA84/100)*ROUND((Source!AF84*Source!AV84)*Source!I84, 2), 2)</f>
        <v>5155.2700000000004</v>
      </c>
      <c r="T87" s="2">
        <f>Source!Y84</f>
        <v>5155.2700000000004</v>
      </c>
      <c r="U87" s="2">
        <f>ROUND((175/100)*ROUND((Source!AE84*Source!AV84)*Source!I84, 2), 2)</f>
        <v>68829.179999999993</v>
      </c>
      <c r="V87" s="2">
        <f>ROUND((108/100)*ROUND(Source!CS84*Source!I84, 2), 2)</f>
        <v>42477.440000000002</v>
      </c>
    </row>
    <row r="88" spans="1:32" ht="14.5" x14ac:dyDescent="0.35">
      <c r="A88" s="9"/>
      <c r="B88" s="9"/>
      <c r="C88" s="9" t="s">
        <v>19</v>
      </c>
      <c r="D88" s="10"/>
      <c r="E88" s="3"/>
      <c r="F88" s="11">
        <f>Source!AO84</f>
        <v>148.13999999999999</v>
      </c>
      <c r="G88" s="12" t="str">
        <f>Source!DG84</f>
        <v/>
      </c>
      <c r="H88" s="3">
        <f>Source!AV84</f>
        <v>1</v>
      </c>
      <c r="I88" s="3">
        <f>IF(Source!BA84&lt;&gt; 0, Source!BA84, 1)</f>
        <v>1</v>
      </c>
      <c r="J88" s="11">
        <f>Source!S84</f>
        <v>51552.72</v>
      </c>
      <c r="K88" s="11"/>
    </row>
    <row r="89" spans="1:32" ht="14.5" x14ac:dyDescent="0.35">
      <c r="A89" s="9"/>
      <c r="B89" s="9"/>
      <c r="C89" s="9" t="s">
        <v>20</v>
      </c>
      <c r="D89" s="10"/>
      <c r="E89" s="3"/>
      <c r="F89" s="11">
        <f>Source!AM84</f>
        <v>199.97</v>
      </c>
      <c r="G89" s="12" t="str">
        <f>Source!DE84</f>
        <v/>
      </c>
      <c r="H89" s="3">
        <f>Source!AV84</f>
        <v>1</v>
      </c>
      <c r="I89" s="3">
        <f>IF(Source!BB84&lt;&gt; 0, Source!BB84, 1)</f>
        <v>1</v>
      </c>
      <c r="J89" s="11">
        <f>Source!Q84</f>
        <v>69589.56</v>
      </c>
      <c r="K89" s="11"/>
    </row>
    <row r="90" spans="1:32" ht="14.5" x14ac:dyDescent="0.35">
      <c r="A90" s="9"/>
      <c r="B90" s="9"/>
      <c r="C90" s="9" t="s">
        <v>21</v>
      </c>
      <c r="D90" s="10"/>
      <c r="E90" s="3"/>
      <c r="F90" s="11">
        <f>Source!AN84</f>
        <v>113.02</v>
      </c>
      <c r="G90" s="12" t="str">
        <f>Source!DF84</f>
        <v/>
      </c>
      <c r="H90" s="3">
        <f>Source!AV84</f>
        <v>1</v>
      </c>
      <c r="I90" s="3">
        <f>IF(Source!BS84&lt;&gt; 0, Source!BS84, 1)</f>
        <v>1</v>
      </c>
      <c r="J90" s="14">
        <f>Source!R84</f>
        <v>39330.959999999999</v>
      </c>
      <c r="K90" s="11"/>
    </row>
    <row r="91" spans="1:32" ht="14.5" x14ac:dyDescent="0.35">
      <c r="A91" s="9"/>
      <c r="B91" s="9"/>
      <c r="C91" s="9" t="s">
        <v>22</v>
      </c>
      <c r="D91" s="10"/>
      <c r="E91" s="3"/>
      <c r="F91" s="11">
        <f>Source!AL84</f>
        <v>574.54999999999995</v>
      </c>
      <c r="G91" s="12" t="str">
        <f>Source!DD84</f>
        <v/>
      </c>
      <c r="H91" s="3">
        <f>Source!AW84</f>
        <v>1</v>
      </c>
      <c r="I91" s="3">
        <f>IF(Source!BC84&lt;&gt; 0, Source!BC84, 1)</f>
        <v>1</v>
      </c>
      <c r="J91" s="11">
        <f>Source!P84</f>
        <v>199943.4</v>
      </c>
      <c r="K91" s="11"/>
    </row>
    <row r="92" spans="1:32" ht="14.5" x14ac:dyDescent="0.35">
      <c r="A92" s="9" t="s">
        <v>35</v>
      </c>
      <c r="B92" s="9" t="str">
        <f>Source!F85</f>
        <v>21.3-2-15</v>
      </c>
      <c r="C92" s="9" t="str">
        <f>Source!G85</f>
        <v>Растворы цементные, марка 100</v>
      </c>
      <c r="D92" s="10" t="str">
        <f>Source!H85</f>
        <v>м3</v>
      </c>
      <c r="E92" s="3">
        <f>Source!I85</f>
        <v>-0.20880000000000001</v>
      </c>
      <c r="F92" s="11">
        <f>Source!AK85</f>
        <v>3427.48</v>
      </c>
      <c r="G92" s="18" t="s">
        <v>30</v>
      </c>
      <c r="H92" s="3">
        <f>Source!AW85</f>
        <v>1</v>
      </c>
      <c r="I92" s="3">
        <f>IF(Source!BC85&lt;&gt; 0, Source!BC85, 1)</f>
        <v>1</v>
      </c>
      <c r="J92" s="11">
        <f>Source!O85</f>
        <v>-715.66</v>
      </c>
      <c r="K92" s="11"/>
      <c r="Q92" s="2">
        <f>ROUND((Source!BZ85/100)*ROUND((Source!AF85*Source!AV85)*Source!I85, 2), 2)</f>
        <v>0</v>
      </c>
      <c r="R92" s="2">
        <f>Source!X85</f>
        <v>0</v>
      </c>
      <c r="S92" s="2">
        <f>ROUND((Source!CA85/100)*ROUND((Source!AF85*Source!AV85)*Source!I85, 2), 2)</f>
        <v>0</v>
      </c>
      <c r="T92" s="2">
        <f>Source!Y85</f>
        <v>0</v>
      </c>
      <c r="U92" s="2">
        <f>ROUND((175/100)*ROUND((Source!AE85*Source!AV85)*Source!I85, 2), 2)</f>
        <v>0</v>
      </c>
      <c r="V92" s="2">
        <f>ROUND((108/100)*ROUND(Source!CS85*Source!I85, 2), 2)</f>
        <v>0</v>
      </c>
    </row>
    <row r="93" spans="1:32" ht="14.5" x14ac:dyDescent="0.35">
      <c r="A93" s="9" t="s">
        <v>36</v>
      </c>
      <c r="B93" s="9" t="str">
        <f>Source!F86</f>
        <v>9999990001</v>
      </c>
      <c r="C93" s="9" t="str">
        <f>Source!G86</f>
        <v>Масса мусора</v>
      </c>
      <c r="D93" s="10" t="str">
        <f>Source!H86</f>
        <v>т</v>
      </c>
      <c r="E93" s="3">
        <f>Source!I86</f>
        <v>-85.608000000000004</v>
      </c>
      <c r="F93" s="11">
        <f>Source!AK86</f>
        <v>0</v>
      </c>
      <c r="G93" s="18" t="s">
        <v>30</v>
      </c>
      <c r="H93" s="3">
        <f>Source!AW86</f>
        <v>1</v>
      </c>
      <c r="I93" s="3">
        <f>IF(Source!BC86&lt;&gt; 0, Source!BC86, 1)</f>
        <v>1</v>
      </c>
      <c r="J93" s="11">
        <f>Source!O86</f>
        <v>0</v>
      </c>
      <c r="K93" s="11"/>
      <c r="Q93" s="2">
        <f>ROUND((Source!BZ86/100)*ROUND((Source!AF86*Source!AV86)*Source!I86, 2), 2)</f>
        <v>0</v>
      </c>
      <c r="R93" s="2">
        <f>Source!X86</f>
        <v>0</v>
      </c>
      <c r="S93" s="2">
        <f>ROUND((Source!CA86/100)*ROUND((Source!AF86*Source!AV86)*Source!I86, 2), 2)</f>
        <v>0</v>
      </c>
      <c r="T93" s="2">
        <f>Source!Y86</f>
        <v>0</v>
      </c>
      <c r="U93" s="2">
        <f>ROUND((175/100)*ROUND((Source!AE86*Source!AV86)*Source!I86, 2), 2)</f>
        <v>0</v>
      </c>
      <c r="V93" s="2">
        <f>ROUND((108/100)*ROUND(Source!CS86*Source!I86, 2), 2)</f>
        <v>0</v>
      </c>
    </row>
    <row r="94" spans="1:32" ht="14.5" x14ac:dyDescent="0.35">
      <c r="A94" s="9"/>
      <c r="B94" s="9"/>
      <c r="C94" s="9" t="s">
        <v>23</v>
      </c>
      <c r="D94" s="10" t="s">
        <v>24</v>
      </c>
      <c r="E94" s="3">
        <f>Source!AT84</f>
        <v>70</v>
      </c>
      <c r="F94" s="11"/>
      <c r="G94" s="12"/>
      <c r="H94" s="3"/>
      <c r="I94" s="3"/>
      <c r="J94" s="11">
        <f>SUM(R87:R93)</f>
        <v>36086.9</v>
      </c>
      <c r="K94" s="11"/>
    </row>
    <row r="95" spans="1:32" ht="14.5" x14ac:dyDescent="0.35">
      <c r="A95" s="9"/>
      <c r="B95" s="9"/>
      <c r="C95" s="9" t="s">
        <v>25</v>
      </c>
      <c r="D95" s="10" t="s">
        <v>24</v>
      </c>
      <c r="E95" s="3">
        <f>Source!AU84</f>
        <v>10</v>
      </c>
      <c r="F95" s="11"/>
      <c r="G95" s="12"/>
      <c r="H95" s="3"/>
      <c r="I95" s="3"/>
      <c r="J95" s="11">
        <f>SUM(T87:T94)</f>
        <v>5155.2700000000004</v>
      </c>
      <c r="K95" s="11"/>
    </row>
    <row r="96" spans="1:32" ht="14.5" x14ac:dyDescent="0.35">
      <c r="A96" s="9"/>
      <c r="B96" s="9"/>
      <c r="C96" s="9" t="s">
        <v>26</v>
      </c>
      <c r="D96" s="10" t="s">
        <v>24</v>
      </c>
      <c r="E96" s="3">
        <f>108</f>
        <v>108</v>
      </c>
      <c r="F96" s="11"/>
      <c r="G96" s="12"/>
      <c r="H96" s="3"/>
      <c r="I96" s="3"/>
      <c r="J96" s="11">
        <f>SUM(V87:V95)</f>
        <v>42477.440000000002</v>
      </c>
      <c r="K96" s="11"/>
    </row>
    <row r="97" spans="1:22" ht="14.5" x14ac:dyDescent="0.35">
      <c r="A97" s="9"/>
      <c r="B97" s="9"/>
      <c r="C97" s="9" t="s">
        <v>27</v>
      </c>
      <c r="D97" s="10" t="s">
        <v>28</v>
      </c>
      <c r="E97" s="3">
        <f>Source!AQ84</f>
        <v>0.66</v>
      </c>
      <c r="F97" s="11"/>
      <c r="G97" s="12" t="str">
        <f>Source!DI84</f>
        <v/>
      </c>
      <c r="H97" s="3">
        <f>Source!AV84</f>
        <v>1</v>
      </c>
      <c r="I97" s="3"/>
      <c r="J97" s="11"/>
      <c r="K97" s="11">
        <f>Source!U84</f>
        <v>229.68</v>
      </c>
    </row>
    <row r="98" spans="1:22" ht="14" x14ac:dyDescent="0.3">
      <c r="A98" s="15"/>
      <c r="B98" s="15"/>
      <c r="C98" s="15"/>
      <c r="D98" s="15"/>
      <c r="E98" s="15"/>
      <c r="F98" s="15"/>
      <c r="G98" s="15"/>
      <c r="H98" s="15"/>
      <c r="I98" s="76">
        <f>J88+J89+J91+J94+J95+J96+SUM(J92:J93)</f>
        <v>404089.63</v>
      </c>
      <c r="J98" s="76"/>
      <c r="K98" s="16">
        <f>IF(Source!I84&lt;&gt;0, ROUND(I98/Source!I84, 2), 0)</f>
        <v>1161.18</v>
      </c>
      <c r="P98" s="17">
        <f>I98</f>
        <v>404089.63</v>
      </c>
    </row>
    <row r="99" spans="1:22" ht="56" x14ac:dyDescent="0.35">
      <c r="A99" s="9">
        <v>8</v>
      </c>
      <c r="B99" s="9" t="str">
        <f>Source!F87</f>
        <v>1.49-9201-1-2/1</v>
      </c>
      <c r="C99" s="9" t="str">
        <f>Source!G87</f>
        <v>Перевозка строительного мусора автосамосвалами грузоподъемностью до 10 т на расстояние 1 км - при механизированной погрузке</v>
      </c>
      <c r="D99" s="10" t="str">
        <f>Source!H87</f>
        <v>т</v>
      </c>
      <c r="E99" s="3">
        <f>Source!I87</f>
        <v>85.608000000000004</v>
      </c>
      <c r="F99" s="11"/>
      <c r="G99" s="12"/>
      <c r="H99" s="3"/>
      <c r="I99" s="3"/>
      <c r="J99" s="11"/>
      <c r="K99" s="11"/>
      <c r="Q99" s="2">
        <f>ROUND((Source!BZ87/100)*ROUND((Source!AF87*Source!AV87)*Source!I87, 2), 2)</f>
        <v>0</v>
      </c>
      <c r="R99" s="2">
        <f>Source!X87</f>
        <v>0</v>
      </c>
      <c r="S99" s="2">
        <f>ROUND((Source!CA87/100)*ROUND((Source!AF87*Source!AV87)*Source!I87, 2), 2)</f>
        <v>0</v>
      </c>
      <c r="T99" s="2">
        <f>Source!Y87</f>
        <v>0</v>
      </c>
      <c r="U99" s="2">
        <f>ROUND((175/100)*ROUND((Source!AE87*Source!AV87)*Source!I87, 2), 2)</f>
        <v>4945.3599999999997</v>
      </c>
      <c r="V99" s="2">
        <f>ROUND((108/100)*ROUND(Source!CS87*Source!I87, 2), 2)</f>
        <v>3051.99</v>
      </c>
    </row>
    <row r="100" spans="1:22" ht="14.5" x14ac:dyDescent="0.35">
      <c r="A100" s="9"/>
      <c r="B100" s="9"/>
      <c r="C100" s="9" t="s">
        <v>20</v>
      </c>
      <c r="D100" s="10"/>
      <c r="E100" s="3"/>
      <c r="F100" s="11">
        <f>Source!AM87</f>
        <v>61.22</v>
      </c>
      <c r="G100" s="12" t="str">
        <f>Source!DE87</f>
        <v/>
      </c>
      <c r="H100" s="3">
        <f>Source!AV87</f>
        <v>1</v>
      </c>
      <c r="I100" s="3">
        <f>IF(Source!BB87&lt;&gt; 0, Source!BB87, 1)</f>
        <v>1</v>
      </c>
      <c r="J100" s="11">
        <f>Source!Q87</f>
        <v>5240.92</v>
      </c>
      <c r="K100" s="11"/>
    </row>
    <row r="101" spans="1:22" ht="14.5" x14ac:dyDescent="0.35">
      <c r="A101" s="9"/>
      <c r="B101" s="9"/>
      <c r="C101" s="9" t="s">
        <v>21</v>
      </c>
      <c r="D101" s="10"/>
      <c r="E101" s="3"/>
      <c r="F101" s="11">
        <f>Source!AN87</f>
        <v>33.01</v>
      </c>
      <c r="G101" s="12" t="str">
        <f>Source!DF87</f>
        <v/>
      </c>
      <c r="H101" s="3">
        <f>Source!AV87</f>
        <v>1</v>
      </c>
      <c r="I101" s="3">
        <f>IF(Source!BS87&lt;&gt; 0, Source!BS87, 1)</f>
        <v>1</v>
      </c>
      <c r="J101" s="14">
        <f>Source!R87</f>
        <v>2825.92</v>
      </c>
      <c r="K101" s="11"/>
    </row>
    <row r="102" spans="1:22" ht="14" x14ac:dyDescent="0.3">
      <c r="A102" s="15"/>
      <c r="B102" s="15"/>
      <c r="C102" s="15"/>
      <c r="D102" s="15"/>
      <c r="E102" s="15"/>
      <c r="F102" s="15"/>
      <c r="G102" s="15"/>
      <c r="H102" s="15"/>
      <c r="I102" s="76">
        <f>J100</f>
        <v>5240.92</v>
      </c>
      <c r="J102" s="76"/>
      <c r="K102" s="16">
        <f>IF(Source!I87&lt;&gt;0, ROUND(I102/Source!I87, 2), 0)</f>
        <v>61.22</v>
      </c>
      <c r="P102" s="17">
        <f>I102</f>
        <v>5240.92</v>
      </c>
    </row>
    <row r="103" spans="1:22" ht="56" x14ac:dyDescent="0.35">
      <c r="A103" s="9">
        <v>9</v>
      </c>
      <c r="B103" s="9" t="str">
        <f>Source!F88</f>
        <v>1.49-9201-1-3/1</v>
      </c>
      <c r="C103" s="9" t="str">
        <f>Source!G88</f>
        <v>Перевозка строительного мусора автосамосвалами грузоподъемностью до 10 т - добавляется на каждый последующий 1 км до 100 км</v>
      </c>
      <c r="D103" s="10" t="str">
        <f>Source!H88</f>
        <v>т</v>
      </c>
      <c r="E103" s="3">
        <f>Source!I88</f>
        <v>85.608000000000004</v>
      </c>
      <c r="F103" s="11"/>
      <c r="G103" s="12"/>
      <c r="H103" s="3"/>
      <c r="I103" s="3"/>
      <c r="J103" s="11"/>
      <c r="K103" s="11"/>
      <c r="Q103" s="2">
        <f>ROUND((Source!BZ88/100)*ROUND((Source!AF88*Source!AV88)*Source!I88, 2), 2)</f>
        <v>0</v>
      </c>
      <c r="R103" s="2">
        <f>Source!X88</f>
        <v>0</v>
      </c>
      <c r="S103" s="2">
        <f>ROUND((Source!CA88/100)*ROUND((Source!AF88*Source!AV88)*Source!I88, 2), 2)</f>
        <v>0</v>
      </c>
      <c r="T103" s="2">
        <f>Source!Y88</f>
        <v>0</v>
      </c>
      <c r="U103" s="2">
        <f>ROUND((175/100)*ROUND((Source!AE88*Source!AV88)*Source!I88, 2), 2)</f>
        <v>121840.72</v>
      </c>
      <c r="V103" s="2">
        <f>ROUND((108/100)*ROUND(Source!CS88*Source!I88, 2), 2)</f>
        <v>75193.13</v>
      </c>
    </row>
    <row r="104" spans="1:22" ht="14.5" x14ac:dyDescent="0.35">
      <c r="A104" s="9"/>
      <c r="B104" s="9"/>
      <c r="C104" s="9" t="s">
        <v>20</v>
      </c>
      <c r="D104" s="10"/>
      <c r="E104" s="3"/>
      <c r="F104" s="11">
        <f>Source!AM88</f>
        <v>28.99</v>
      </c>
      <c r="G104" s="12" t="str">
        <f>Source!DE88</f>
        <v>)*52</v>
      </c>
      <c r="H104" s="3">
        <f>Source!AV88</f>
        <v>1</v>
      </c>
      <c r="I104" s="3">
        <f>IF(Source!BB88&lt;&gt; 0, Source!BB88, 1)</f>
        <v>1</v>
      </c>
      <c r="J104" s="11">
        <f>Source!Q88</f>
        <v>129052.35</v>
      </c>
      <c r="K104" s="11"/>
    </row>
    <row r="105" spans="1:22" ht="14.5" x14ac:dyDescent="0.35">
      <c r="A105" s="9"/>
      <c r="B105" s="9"/>
      <c r="C105" s="9" t="s">
        <v>21</v>
      </c>
      <c r="D105" s="10"/>
      <c r="E105" s="3"/>
      <c r="F105" s="11">
        <f>Source!AN88</f>
        <v>15.64</v>
      </c>
      <c r="G105" s="12" t="str">
        <f>Source!DF88</f>
        <v>)*52</v>
      </c>
      <c r="H105" s="3">
        <f>Source!AV88</f>
        <v>1</v>
      </c>
      <c r="I105" s="3">
        <f>IF(Source!BS88&lt;&gt; 0, Source!BS88, 1)</f>
        <v>1</v>
      </c>
      <c r="J105" s="14">
        <f>Source!R88</f>
        <v>69623.27</v>
      </c>
      <c r="K105" s="11"/>
    </row>
    <row r="106" spans="1:22" ht="14" x14ac:dyDescent="0.3">
      <c r="A106" s="15"/>
      <c r="B106" s="15"/>
      <c r="C106" s="15"/>
      <c r="D106" s="15"/>
      <c r="E106" s="15"/>
      <c r="F106" s="15"/>
      <c r="G106" s="15"/>
      <c r="H106" s="15"/>
      <c r="I106" s="76">
        <f>J104</f>
        <v>129052.35</v>
      </c>
      <c r="J106" s="76"/>
      <c r="K106" s="16">
        <f>IF(Source!I88&lt;&gt;0, ROUND(I106/Source!I88, 2), 0)</f>
        <v>1507.48</v>
      </c>
      <c r="P106" s="17">
        <f>I106</f>
        <v>129052.35</v>
      </c>
    </row>
    <row r="107" spans="1:22" ht="42" x14ac:dyDescent="0.35">
      <c r="A107" s="9">
        <v>10</v>
      </c>
      <c r="B107" s="9" t="str">
        <f>Source!F89</f>
        <v>2.1-3203-1-2/1</v>
      </c>
      <c r="C107" s="9" t="str">
        <f>Source!G89</f>
        <v>Установка бортовых камней бетонных марки БР 100.30.15 при других видах покрытий</v>
      </c>
      <c r="D107" s="10" t="str">
        <f>Source!H89</f>
        <v>100 м</v>
      </c>
      <c r="E107" s="3">
        <f>Source!I89</f>
        <v>3.42</v>
      </c>
      <c r="F107" s="11"/>
      <c r="G107" s="12"/>
      <c r="H107" s="3"/>
      <c r="I107" s="3"/>
      <c r="J107" s="11"/>
      <c r="K107" s="11"/>
      <c r="Q107" s="2">
        <f>ROUND((Source!BZ89/100)*ROUND((Source!AF89*Source!AV89)*Source!I89, 2), 2)</f>
        <v>39926.410000000003</v>
      </c>
      <c r="R107" s="2">
        <f>Source!X89</f>
        <v>39926.410000000003</v>
      </c>
      <c r="S107" s="2">
        <f>ROUND((Source!CA89/100)*ROUND((Source!AF89*Source!AV89)*Source!I89, 2), 2)</f>
        <v>5703.77</v>
      </c>
      <c r="T107" s="2">
        <f>Source!Y89</f>
        <v>5703.77</v>
      </c>
      <c r="U107" s="2">
        <f>ROUND((175/100)*ROUND((Source!AE89*Source!AV89)*Source!I89, 2), 2)</f>
        <v>0</v>
      </c>
      <c r="V107" s="2">
        <f>ROUND((108/100)*ROUND(Source!CS89*Source!I89, 2), 2)</f>
        <v>0</v>
      </c>
    </row>
    <row r="108" spans="1:22" x14ac:dyDescent="0.25">
      <c r="C108" s="13" t="str">
        <f>"Объем: "&amp;Source!I89&amp;"=342/"&amp;"100"</f>
        <v>Объем: 3,42=342/100</v>
      </c>
    </row>
    <row r="109" spans="1:22" ht="14.5" x14ac:dyDescent="0.35">
      <c r="A109" s="9"/>
      <c r="B109" s="9"/>
      <c r="C109" s="9" t="s">
        <v>19</v>
      </c>
      <c r="D109" s="10"/>
      <c r="E109" s="3"/>
      <c r="F109" s="11">
        <f>Source!AO89</f>
        <v>16677.7</v>
      </c>
      <c r="G109" s="12" t="str">
        <f>Source!DG89</f>
        <v/>
      </c>
      <c r="H109" s="3">
        <f>Source!AV89</f>
        <v>1</v>
      </c>
      <c r="I109" s="3">
        <f>IF(Source!BA89&lt;&gt; 0, Source!BA89, 1)</f>
        <v>1</v>
      </c>
      <c r="J109" s="11">
        <f>Source!S89</f>
        <v>57037.73</v>
      </c>
      <c r="K109" s="11"/>
    </row>
    <row r="110" spans="1:22" ht="14.5" x14ac:dyDescent="0.35">
      <c r="A110" s="9"/>
      <c r="B110" s="9"/>
      <c r="C110" s="9" t="s">
        <v>22</v>
      </c>
      <c r="D110" s="10"/>
      <c r="E110" s="3"/>
      <c r="F110" s="11">
        <f>Source!AL89</f>
        <v>57165.99</v>
      </c>
      <c r="G110" s="12" t="str">
        <f>Source!DD89</f>
        <v/>
      </c>
      <c r="H110" s="3">
        <f>Source!AW89</f>
        <v>1</v>
      </c>
      <c r="I110" s="3">
        <f>IF(Source!BC89&lt;&gt; 0, Source!BC89, 1)</f>
        <v>1</v>
      </c>
      <c r="J110" s="11">
        <f>Source!P89</f>
        <v>195507.69</v>
      </c>
      <c r="K110" s="11"/>
    </row>
    <row r="111" spans="1:22" ht="14.5" x14ac:dyDescent="0.35">
      <c r="A111" s="9" t="s">
        <v>37</v>
      </c>
      <c r="B111" s="9" t="str">
        <f>Source!F90</f>
        <v>21.3-2-15</v>
      </c>
      <c r="C111" s="9" t="str">
        <f>Source!G90</f>
        <v>Растворы цементные, марка 100</v>
      </c>
      <c r="D111" s="10" t="str">
        <f>Source!H90</f>
        <v>м3</v>
      </c>
      <c r="E111" s="3">
        <f>Source!I90</f>
        <v>-0.20519999999999999</v>
      </c>
      <c r="F111" s="11">
        <f>Source!AK90</f>
        <v>3427.48</v>
      </c>
      <c r="G111" s="18" t="s">
        <v>30</v>
      </c>
      <c r="H111" s="3">
        <f>Source!AW90</f>
        <v>1</v>
      </c>
      <c r="I111" s="3">
        <f>IF(Source!BC90&lt;&gt; 0, Source!BC90, 1)</f>
        <v>1</v>
      </c>
      <c r="J111" s="11">
        <f>Source!O90</f>
        <v>-703.32</v>
      </c>
      <c r="K111" s="11"/>
      <c r="Q111" s="2">
        <f>ROUND((Source!BZ90/100)*ROUND((Source!AF90*Source!AV90)*Source!I90, 2), 2)</f>
        <v>0</v>
      </c>
      <c r="R111" s="2">
        <f>Source!X90</f>
        <v>0</v>
      </c>
      <c r="S111" s="2">
        <f>ROUND((Source!CA90/100)*ROUND((Source!AF90*Source!AV90)*Source!I90, 2), 2)</f>
        <v>0</v>
      </c>
      <c r="T111" s="2">
        <f>Source!Y90</f>
        <v>0</v>
      </c>
      <c r="U111" s="2">
        <f>ROUND((175/100)*ROUND((Source!AE90*Source!AV90)*Source!I90, 2), 2)</f>
        <v>0</v>
      </c>
      <c r="V111" s="2">
        <f>ROUND((108/100)*ROUND(Source!CS90*Source!I90, 2), 2)</f>
        <v>0</v>
      </c>
    </row>
    <row r="112" spans="1:22" ht="14.5" x14ac:dyDescent="0.35">
      <c r="A112" s="9"/>
      <c r="B112" s="9"/>
      <c r="C112" s="9" t="s">
        <v>23</v>
      </c>
      <c r="D112" s="10" t="s">
        <v>24</v>
      </c>
      <c r="E112" s="3">
        <f>Source!AT89</f>
        <v>70</v>
      </c>
      <c r="F112" s="11"/>
      <c r="G112" s="12"/>
      <c r="H112" s="3"/>
      <c r="I112" s="3"/>
      <c r="J112" s="11">
        <f>SUM(R107:R111)</f>
        <v>39926.410000000003</v>
      </c>
      <c r="K112" s="11"/>
    </row>
    <row r="113" spans="1:22" ht="14.5" x14ac:dyDescent="0.35">
      <c r="A113" s="9"/>
      <c r="B113" s="9"/>
      <c r="C113" s="9" t="s">
        <v>25</v>
      </c>
      <c r="D113" s="10" t="s">
        <v>24</v>
      </c>
      <c r="E113" s="3">
        <f>Source!AU89</f>
        <v>10</v>
      </c>
      <c r="F113" s="11"/>
      <c r="G113" s="12"/>
      <c r="H113" s="3"/>
      <c r="I113" s="3"/>
      <c r="J113" s="11">
        <f>SUM(T107:T112)</f>
        <v>5703.77</v>
      </c>
      <c r="K113" s="11"/>
    </row>
    <row r="114" spans="1:22" ht="14.5" x14ac:dyDescent="0.35">
      <c r="A114" s="9"/>
      <c r="B114" s="9"/>
      <c r="C114" s="9" t="s">
        <v>27</v>
      </c>
      <c r="D114" s="10" t="s">
        <v>28</v>
      </c>
      <c r="E114" s="3">
        <f>Source!AQ89</f>
        <v>80.27</v>
      </c>
      <c r="F114" s="11"/>
      <c r="G114" s="12" t="str">
        <f>Source!DI89</f>
        <v/>
      </c>
      <c r="H114" s="3">
        <f>Source!AV89</f>
        <v>1</v>
      </c>
      <c r="I114" s="3"/>
      <c r="J114" s="11"/>
      <c r="K114" s="11">
        <f>Source!U89</f>
        <v>274.52</v>
      </c>
    </row>
    <row r="115" spans="1:22" ht="14" x14ac:dyDescent="0.3">
      <c r="A115" s="15"/>
      <c r="B115" s="15"/>
      <c r="C115" s="15"/>
      <c r="D115" s="15"/>
      <c r="E115" s="15"/>
      <c r="F115" s="15"/>
      <c r="G115" s="15"/>
      <c r="H115" s="15"/>
      <c r="I115" s="76">
        <f>J109+J110+J112+J113+SUM(J111:J111)</f>
        <v>297472.28000000003</v>
      </c>
      <c r="J115" s="76"/>
      <c r="K115" s="16">
        <f>IF(Source!I89&lt;&gt;0, ROUND(I115/Source!I89, 2), 0)</f>
        <v>86980.2</v>
      </c>
      <c r="P115" s="17">
        <f>I115</f>
        <v>297472.28000000003</v>
      </c>
    </row>
    <row r="116" spans="1:22" ht="84" x14ac:dyDescent="0.35">
      <c r="A116" s="9">
        <v>11</v>
      </c>
      <c r="B116" s="9" t="str">
        <f>Source!F91</f>
        <v>2.1-3203-35-1/1</v>
      </c>
      <c r="C116" s="9" t="str">
        <f>Source!G91</f>
        <v>Устройство демпфирующего теплоизоляционного материала типа "Изолонтейп Дор" между бортовыми камнями при установке и ремонте бетонного или гранитного бортового камня</v>
      </c>
      <c r="D116" s="10" t="str">
        <f>Source!H91</f>
        <v>100 шт.</v>
      </c>
      <c r="E116" s="3">
        <f>Source!I91</f>
        <v>6.9</v>
      </c>
      <c r="F116" s="11"/>
      <c r="G116" s="12"/>
      <c r="H116" s="3"/>
      <c r="I116" s="3"/>
      <c r="J116" s="11"/>
      <c r="K116" s="11"/>
      <c r="Q116" s="2">
        <f>ROUND((Source!BZ91/100)*ROUND((Source!AF91*Source!AV91)*Source!I91, 2), 2)</f>
        <v>1179.05</v>
      </c>
      <c r="R116" s="2">
        <f>Source!X91</f>
        <v>1179.05</v>
      </c>
      <c r="S116" s="2">
        <f>ROUND((Source!CA91/100)*ROUND((Source!AF91*Source!AV91)*Source!I91, 2), 2)</f>
        <v>168.44</v>
      </c>
      <c r="T116" s="2">
        <f>Source!Y91</f>
        <v>168.44</v>
      </c>
      <c r="U116" s="2">
        <f>ROUND((175/100)*ROUND((Source!AE91*Source!AV91)*Source!I91, 2), 2)</f>
        <v>0</v>
      </c>
      <c r="V116" s="2">
        <f>ROUND((108/100)*ROUND(Source!CS91*Source!I91, 2), 2)</f>
        <v>0</v>
      </c>
    </row>
    <row r="117" spans="1:22" x14ac:dyDescent="0.25">
      <c r="C117" s="13" t="str">
        <f>"Объем: "&amp;Source!I91&amp;"=690/"&amp;"100"</f>
        <v>Объем: 6,9=690/100</v>
      </c>
    </row>
    <row r="118" spans="1:22" ht="14.5" x14ac:dyDescent="0.35">
      <c r="A118" s="9"/>
      <c r="B118" s="9"/>
      <c r="C118" s="9" t="s">
        <v>19</v>
      </c>
      <c r="D118" s="10"/>
      <c r="E118" s="3"/>
      <c r="F118" s="11">
        <f>Source!AO91</f>
        <v>244.11</v>
      </c>
      <c r="G118" s="12" t="str">
        <f>Source!DG91</f>
        <v/>
      </c>
      <c r="H118" s="3">
        <f>Source!AV91</f>
        <v>1</v>
      </c>
      <c r="I118" s="3">
        <f>IF(Source!BA91&lt;&gt; 0, Source!BA91, 1)</f>
        <v>1</v>
      </c>
      <c r="J118" s="11">
        <f>Source!S91</f>
        <v>1684.36</v>
      </c>
      <c r="K118" s="11"/>
    </row>
    <row r="119" spans="1:22" ht="14.5" x14ac:dyDescent="0.35">
      <c r="A119" s="9"/>
      <c r="B119" s="9"/>
      <c r="C119" s="9" t="s">
        <v>22</v>
      </c>
      <c r="D119" s="10"/>
      <c r="E119" s="3"/>
      <c r="F119" s="11">
        <f>Source!AL91</f>
        <v>14039.02</v>
      </c>
      <c r="G119" s="12" t="str">
        <f>Source!DD91</f>
        <v/>
      </c>
      <c r="H119" s="3">
        <f>Source!AW91</f>
        <v>1</v>
      </c>
      <c r="I119" s="3">
        <f>IF(Source!BC91&lt;&gt; 0, Source!BC91, 1)</f>
        <v>1</v>
      </c>
      <c r="J119" s="11">
        <f>Source!P91</f>
        <v>96869.24</v>
      </c>
      <c r="K119" s="11"/>
    </row>
    <row r="120" spans="1:22" ht="14.5" x14ac:dyDescent="0.35">
      <c r="A120" s="9"/>
      <c r="B120" s="9"/>
      <c r="C120" s="9" t="s">
        <v>23</v>
      </c>
      <c r="D120" s="10" t="s">
        <v>24</v>
      </c>
      <c r="E120" s="3">
        <f>Source!AT91</f>
        <v>70</v>
      </c>
      <c r="F120" s="11"/>
      <c r="G120" s="12"/>
      <c r="H120" s="3"/>
      <c r="I120" s="3"/>
      <c r="J120" s="11">
        <f>SUM(R116:R119)</f>
        <v>1179.05</v>
      </c>
      <c r="K120" s="11"/>
    </row>
    <row r="121" spans="1:22" ht="14.5" x14ac:dyDescent="0.35">
      <c r="A121" s="9"/>
      <c r="B121" s="9"/>
      <c r="C121" s="9" t="s">
        <v>25</v>
      </c>
      <c r="D121" s="10" t="s">
        <v>24</v>
      </c>
      <c r="E121" s="3">
        <f>Source!AU91</f>
        <v>10</v>
      </c>
      <c r="F121" s="11"/>
      <c r="G121" s="12"/>
      <c r="H121" s="3"/>
      <c r="I121" s="3"/>
      <c r="J121" s="11">
        <f>SUM(T116:T120)</f>
        <v>168.44</v>
      </c>
      <c r="K121" s="11"/>
    </row>
    <row r="122" spans="1:22" ht="14.5" x14ac:dyDescent="0.35">
      <c r="A122" s="9"/>
      <c r="B122" s="9"/>
      <c r="C122" s="9" t="s">
        <v>27</v>
      </c>
      <c r="D122" s="10" t="s">
        <v>28</v>
      </c>
      <c r="E122" s="3">
        <f>Source!AQ91</f>
        <v>1.1499999999999999</v>
      </c>
      <c r="F122" s="11"/>
      <c r="G122" s="12" t="str">
        <f>Source!DI91</f>
        <v/>
      </c>
      <c r="H122" s="3">
        <f>Source!AV91</f>
        <v>1</v>
      </c>
      <c r="I122" s="3"/>
      <c r="J122" s="11"/>
      <c r="K122" s="11">
        <f>Source!U91</f>
        <v>7.94</v>
      </c>
    </row>
    <row r="123" spans="1:22" ht="14" x14ac:dyDescent="0.3">
      <c r="A123" s="15"/>
      <c r="B123" s="15"/>
      <c r="C123" s="15"/>
      <c r="D123" s="15"/>
      <c r="E123" s="15"/>
      <c r="F123" s="15"/>
      <c r="G123" s="15"/>
      <c r="H123" s="15"/>
      <c r="I123" s="76">
        <f>J118+J119+J120+J121</f>
        <v>99901.09</v>
      </c>
      <c r="J123" s="76"/>
      <c r="K123" s="16">
        <f>IF(Source!I91&lt;&gt;0, ROUND(I123/Source!I91, 2), 0)</f>
        <v>14478.42</v>
      </c>
      <c r="P123" s="17">
        <f>I123</f>
        <v>99901.09</v>
      </c>
    </row>
    <row r="125" spans="1:22" ht="14" x14ac:dyDescent="0.3">
      <c r="A125" s="67" t="s">
        <v>475</v>
      </c>
      <c r="B125" s="67"/>
      <c r="C125" s="67"/>
      <c r="D125" s="67"/>
      <c r="E125" s="67"/>
      <c r="F125" s="67"/>
      <c r="G125" s="67"/>
      <c r="H125" s="67"/>
      <c r="I125" s="68">
        <f>SUM(P86:P124)</f>
        <v>935756.27</v>
      </c>
      <c r="J125" s="69"/>
      <c r="K125" s="19"/>
    </row>
    <row r="129" spans="1:22" ht="16.5" x14ac:dyDescent="0.35">
      <c r="A129" s="77" t="str">
        <f>CONCATENATE("Раздел: ",IF(Source!G180&lt;&gt;"Новый раздел", Source!G180, ""))</f>
        <v>Раздел: Ремонт газонов -300м2</v>
      </c>
      <c r="B129" s="77"/>
      <c r="C129" s="77"/>
      <c r="D129" s="77"/>
      <c r="E129" s="77"/>
      <c r="F129" s="77"/>
      <c r="G129" s="77"/>
      <c r="H129" s="77"/>
      <c r="I129" s="77"/>
      <c r="J129" s="77"/>
      <c r="K129" s="77"/>
    </row>
    <row r="130" spans="1:22" ht="56" x14ac:dyDescent="0.35">
      <c r="A130" s="9">
        <v>14</v>
      </c>
      <c r="B130" s="9" t="str">
        <f>Source!F184</f>
        <v>5.4-3203-3-3/1</v>
      </c>
      <c r="C130" s="9" t="str">
        <f>Source!G184</f>
        <v>Подготовка почвы для устройства партерного и обыкновенного газонов с внесением растительной земли слоем 15 см механизированным способом</v>
      </c>
      <c r="D130" s="10" t="str">
        <f>Source!H184</f>
        <v>100 м2</v>
      </c>
      <c r="E130" s="3">
        <f>Source!I184</f>
        <v>2.25</v>
      </c>
      <c r="F130" s="11"/>
      <c r="G130" s="12"/>
      <c r="H130" s="3"/>
      <c r="I130" s="3"/>
      <c r="J130" s="11"/>
      <c r="K130" s="11"/>
      <c r="Q130" s="2">
        <f>ROUND((Source!BZ184/100)*ROUND((Source!AF184*Source!AV184)*Source!I184, 2), 2)</f>
        <v>9424.52</v>
      </c>
      <c r="R130" s="2">
        <f>Source!X184</f>
        <v>9424.52</v>
      </c>
      <c r="S130" s="2">
        <f>ROUND((Source!CA184/100)*ROUND((Source!AF184*Source!AV184)*Source!I184, 2), 2)</f>
        <v>1346.36</v>
      </c>
      <c r="T130" s="2">
        <f>Source!Y184</f>
        <v>1346.36</v>
      </c>
      <c r="U130" s="2">
        <f>ROUND((175/100)*ROUND((Source!AE184*Source!AV184)*Source!I184, 2), 2)</f>
        <v>89.86</v>
      </c>
      <c r="V130" s="2">
        <f>ROUND((108/100)*ROUND(Source!CS184*Source!I184, 2), 2)</f>
        <v>55.46</v>
      </c>
    </row>
    <row r="131" spans="1:22" x14ac:dyDescent="0.25">
      <c r="C131" s="13" t="str">
        <f>"Объем: "&amp;Source!I184&amp;"=225/"&amp;"100"</f>
        <v>Объем: 2,25=225/100</v>
      </c>
    </row>
    <row r="132" spans="1:22" ht="14.5" x14ac:dyDescent="0.35">
      <c r="A132" s="9"/>
      <c r="B132" s="9"/>
      <c r="C132" s="9" t="s">
        <v>19</v>
      </c>
      <c r="D132" s="10"/>
      <c r="E132" s="3"/>
      <c r="F132" s="11">
        <f>Source!AO184</f>
        <v>5983.82</v>
      </c>
      <c r="G132" s="12" t="str">
        <f>Source!DG184</f>
        <v/>
      </c>
      <c r="H132" s="3">
        <f>Source!AV184</f>
        <v>1</v>
      </c>
      <c r="I132" s="3">
        <f>IF(Source!BA184&lt;&gt; 0, Source!BA184, 1)</f>
        <v>1</v>
      </c>
      <c r="J132" s="11">
        <f>Source!S184</f>
        <v>13463.6</v>
      </c>
      <c r="K132" s="11"/>
    </row>
    <row r="133" spans="1:22" ht="14.5" x14ac:dyDescent="0.35">
      <c r="A133" s="9"/>
      <c r="B133" s="9"/>
      <c r="C133" s="9" t="s">
        <v>20</v>
      </c>
      <c r="D133" s="10"/>
      <c r="E133" s="3"/>
      <c r="F133" s="11">
        <f>Source!AM184</f>
        <v>64.66</v>
      </c>
      <c r="G133" s="12" t="str">
        <f>Source!DE184</f>
        <v/>
      </c>
      <c r="H133" s="3">
        <f>Source!AV184</f>
        <v>1</v>
      </c>
      <c r="I133" s="3">
        <f>IF(Source!BB184&lt;&gt; 0, Source!BB184, 1)</f>
        <v>1</v>
      </c>
      <c r="J133" s="11">
        <f>Source!Q184</f>
        <v>145.49</v>
      </c>
      <c r="K133" s="11"/>
    </row>
    <row r="134" spans="1:22" ht="14.5" x14ac:dyDescent="0.35">
      <c r="A134" s="9"/>
      <c r="B134" s="9"/>
      <c r="C134" s="9" t="s">
        <v>21</v>
      </c>
      <c r="D134" s="10"/>
      <c r="E134" s="3"/>
      <c r="F134" s="11">
        <f>Source!AN184</f>
        <v>22.82</v>
      </c>
      <c r="G134" s="12" t="str">
        <f>Source!DF184</f>
        <v/>
      </c>
      <c r="H134" s="3">
        <f>Source!AV184</f>
        <v>1</v>
      </c>
      <c r="I134" s="3">
        <f>IF(Source!BS184&lt;&gt; 0, Source!BS184, 1)</f>
        <v>1</v>
      </c>
      <c r="J134" s="14">
        <f>Source!R184</f>
        <v>51.35</v>
      </c>
      <c r="K134" s="11"/>
    </row>
    <row r="135" spans="1:22" ht="14.5" x14ac:dyDescent="0.35">
      <c r="A135" s="9"/>
      <c r="B135" s="9"/>
      <c r="C135" s="9" t="s">
        <v>22</v>
      </c>
      <c r="D135" s="10"/>
      <c r="E135" s="3"/>
      <c r="F135" s="11">
        <f>Source!AL184</f>
        <v>11857.5</v>
      </c>
      <c r="G135" s="12" t="str">
        <f>Source!DD184</f>
        <v/>
      </c>
      <c r="H135" s="3">
        <f>Source!AW184</f>
        <v>1</v>
      </c>
      <c r="I135" s="3">
        <f>IF(Source!BC184&lt;&gt; 0, Source!BC184, 1)</f>
        <v>1</v>
      </c>
      <c r="J135" s="11">
        <f>Source!P184</f>
        <v>26679.38</v>
      </c>
      <c r="K135" s="11"/>
    </row>
    <row r="136" spans="1:22" ht="14.5" x14ac:dyDescent="0.35">
      <c r="A136" s="9"/>
      <c r="B136" s="9"/>
      <c r="C136" s="9" t="s">
        <v>23</v>
      </c>
      <c r="D136" s="10" t="s">
        <v>24</v>
      </c>
      <c r="E136" s="3">
        <f>Source!AT184</f>
        <v>70</v>
      </c>
      <c r="F136" s="11"/>
      <c r="G136" s="12"/>
      <c r="H136" s="3"/>
      <c r="I136" s="3"/>
      <c r="J136" s="11">
        <f>SUM(R130:R135)</f>
        <v>9424.52</v>
      </c>
      <c r="K136" s="11"/>
    </row>
    <row r="137" spans="1:22" ht="14.5" x14ac:dyDescent="0.35">
      <c r="A137" s="9"/>
      <c r="B137" s="9"/>
      <c r="C137" s="9" t="s">
        <v>25</v>
      </c>
      <c r="D137" s="10" t="s">
        <v>24</v>
      </c>
      <c r="E137" s="3">
        <f>Source!AU184</f>
        <v>10</v>
      </c>
      <c r="F137" s="11"/>
      <c r="G137" s="12"/>
      <c r="H137" s="3"/>
      <c r="I137" s="3"/>
      <c r="J137" s="11">
        <f>SUM(T130:T136)</f>
        <v>1346.36</v>
      </c>
      <c r="K137" s="11"/>
    </row>
    <row r="138" spans="1:22" ht="14.5" x14ac:dyDescent="0.35">
      <c r="A138" s="9"/>
      <c r="B138" s="9"/>
      <c r="C138" s="9" t="s">
        <v>26</v>
      </c>
      <c r="D138" s="10" t="s">
        <v>24</v>
      </c>
      <c r="E138" s="3">
        <f>108</f>
        <v>108</v>
      </c>
      <c r="F138" s="11"/>
      <c r="G138" s="12"/>
      <c r="H138" s="3"/>
      <c r="I138" s="3"/>
      <c r="J138" s="11">
        <f>SUM(V130:V137)</f>
        <v>55.46</v>
      </c>
      <c r="K138" s="11"/>
    </row>
    <row r="139" spans="1:22" ht="14.5" x14ac:dyDescent="0.35">
      <c r="A139" s="9"/>
      <c r="B139" s="9"/>
      <c r="C139" s="9" t="s">
        <v>27</v>
      </c>
      <c r="D139" s="10" t="s">
        <v>28</v>
      </c>
      <c r="E139" s="3">
        <f>Source!AQ184</f>
        <v>30.8</v>
      </c>
      <c r="F139" s="11"/>
      <c r="G139" s="12" t="str">
        <f>Source!DI184</f>
        <v/>
      </c>
      <c r="H139" s="3">
        <f>Source!AV184</f>
        <v>1</v>
      </c>
      <c r="I139" s="3"/>
      <c r="J139" s="11"/>
      <c r="K139" s="11">
        <f>Source!U184</f>
        <v>69.3</v>
      </c>
    </row>
    <row r="140" spans="1:22" ht="14" x14ac:dyDescent="0.3">
      <c r="A140" s="15"/>
      <c r="B140" s="15"/>
      <c r="C140" s="15"/>
      <c r="D140" s="15"/>
      <c r="E140" s="15"/>
      <c r="F140" s="15"/>
      <c r="G140" s="15"/>
      <c r="H140" s="15"/>
      <c r="I140" s="76">
        <f>J132+J133+J135+J136+J137+J138</f>
        <v>51114.81</v>
      </c>
      <c r="J140" s="76"/>
      <c r="K140" s="16">
        <f>IF(Source!I184&lt;&gt;0, ROUND(I140/Source!I184, 2), 0)</f>
        <v>22717.69</v>
      </c>
      <c r="P140" s="17">
        <f>I140</f>
        <v>51114.81</v>
      </c>
    </row>
    <row r="141" spans="1:22" ht="56" x14ac:dyDescent="0.35">
      <c r="A141" s="9">
        <v>15</v>
      </c>
      <c r="B141" s="9" t="str">
        <f>Source!F185</f>
        <v>5.4-3203-3-4/1</v>
      </c>
      <c r="C141" s="9" t="str">
        <f>Source!G185</f>
        <v>Подготовка почвы для устройства партерного и обыкновенного газонов с внесением растительной земли слоем 15 см вручную</v>
      </c>
      <c r="D141" s="10" t="str">
        <f>Source!H185</f>
        <v>100 м2</v>
      </c>
      <c r="E141" s="3">
        <f>Source!I185</f>
        <v>0.75</v>
      </c>
      <c r="F141" s="11"/>
      <c r="G141" s="12"/>
      <c r="H141" s="3"/>
      <c r="I141" s="3"/>
      <c r="J141" s="11"/>
      <c r="K141" s="11"/>
      <c r="Q141" s="2">
        <f>ROUND((Source!BZ185/100)*ROUND((Source!AF185*Source!AV185)*Source!I185, 2), 2)</f>
        <v>4691.8599999999997</v>
      </c>
      <c r="R141" s="2">
        <f>Source!X185</f>
        <v>4691.8599999999997</v>
      </c>
      <c r="S141" s="2">
        <f>ROUND((Source!CA185/100)*ROUND((Source!AF185*Source!AV185)*Source!I185, 2), 2)</f>
        <v>670.27</v>
      </c>
      <c r="T141" s="2">
        <f>Source!Y185</f>
        <v>670.27</v>
      </c>
      <c r="U141" s="2">
        <f>ROUND((175/100)*ROUND((Source!AE185*Source!AV185)*Source!I185, 2), 2)</f>
        <v>0</v>
      </c>
      <c r="V141" s="2">
        <f>ROUND((108/100)*ROUND(Source!CS185*Source!I185, 2), 2)</f>
        <v>0</v>
      </c>
    </row>
    <row r="142" spans="1:22" x14ac:dyDescent="0.25">
      <c r="C142" s="13" t="str">
        <f>"Объем: "&amp;Source!I185&amp;"=75/"&amp;"100"</f>
        <v>Объем: 0,75=75/100</v>
      </c>
    </row>
    <row r="143" spans="1:22" ht="14.5" x14ac:dyDescent="0.35">
      <c r="A143" s="9"/>
      <c r="B143" s="9"/>
      <c r="C143" s="9" t="s">
        <v>19</v>
      </c>
      <c r="D143" s="10"/>
      <c r="E143" s="3"/>
      <c r="F143" s="11">
        <f>Source!AO185</f>
        <v>8936.8799999999992</v>
      </c>
      <c r="G143" s="12" t="str">
        <f>Source!DG185</f>
        <v/>
      </c>
      <c r="H143" s="3">
        <f>Source!AV185</f>
        <v>1</v>
      </c>
      <c r="I143" s="3">
        <f>IF(Source!BA185&lt;&gt; 0, Source!BA185, 1)</f>
        <v>1</v>
      </c>
      <c r="J143" s="11">
        <f>Source!S185</f>
        <v>6702.66</v>
      </c>
      <c r="K143" s="11"/>
    </row>
    <row r="144" spans="1:22" ht="14.5" x14ac:dyDescent="0.35">
      <c r="A144" s="9"/>
      <c r="B144" s="9"/>
      <c r="C144" s="9" t="s">
        <v>22</v>
      </c>
      <c r="D144" s="10"/>
      <c r="E144" s="3"/>
      <c r="F144" s="11">
        <f>Source!AL185</f>
        <v>11857.5</v>
      </c>
      <c r="G144" s="12" t="str">
        <f>Source!DD185</f>
        <v/>
      </c>
      <c r="H144" s="3">
        <f>Source!AW185</f>
        <v>1</v>
      </c>
      <c r="I144" s="3">
        <f>IF(Source!BC185&lt;&gt; 0, Source!BC185, 1)</f>
        <v>1</v>
      </c>
      <c r="J144" s="11">
        <f>Source!P185</f>
        <v>8893.1299999999992</v>
      </c>
      <c r="K144" s="11"/>
    </row>
    <row r="145" spans="1:22" ht="14.5" x14ac:dyDescent="0.35">
      <c r="A145" s="9"/>
      <c r="B145" s="9"/>
      <c r="C145" s="9" t="s">
        <v>23</v>
      </c>
      <c r="D145" s="10" t="s">
        <v>24</v>
      </c>
      <c r="E145" s="3">
        <f>Source!AT185</f>
        <v>70</v>
      </c>
      <c r="F145" s="11"/>
      <c r="G145" s="12"/>
      <c r="H145" s="3"/>
      <c r="I145" s="3"/>
      <c r="J145" s="11">
        <f>SUM(R141:R144)</f>
        <v>4691.8599999999997</v>
      </c>
      <c r="K145" s="11"/>
    </row>
    <row r="146" spans="1:22" ht="14.5" x14ac:dyDescent="0.35">
      <c r="A146" s="9"/>
      <c r="B146" s="9"/>
      <c r="C146" s="9" t="s">
        <v>25</v>
      </c>
      <c r="D146" s="10" t="s">
        <v>24</v>
      </c>
      <c r="E146" s="3">
        <f>Source!AU185</f>
        <v>10</v>
      </c>
      <c r="F146" s="11"/>
      <c r="G146" s="12"/>
      <c r="H146" s="3"/>
      <c r="I146" s="3"/>
      <c r="J146" s="11">
        <f>SUM(T141:T145)</f>
        <v>670.27</v>
      </c>
      <c r="K146" s="11"/>
    </row>
    <row r="147" spans="1:22" ht="14.5" x14ac:dyDescent="0.35">
      <c r="A147" s="9"/>
      <c r="B147" s="9"/>
      <c r="C147" s="9" t="s">
        <v>27</v>
      </c>
      <c r="D147" s="10" t="s">
        <v>28</v>
      </c>
      <c r="E147" s="3">
        <f>Source!AQ185</f>
        <v>46</v>
      </c>
      <c r="F147" s="11"/>
      <c r="G147" s="12" t="str">
        <f>Source!DI185</f>
        <v/>
      </c>
      <c r="H147" s="3">
        <f>Source!AV185</f>
        <v>1</v>
      </c>
      <c r="I147" s="3"/>
      <c r="J147" s="11"/>
      <c r="K147" s="11">
        <f>Source!U185</f>
        <v>34.5</v>
      </c>
    </row>
    <row r="148" spans="1:22" ht="14" x14ac:dyDescent="0.3">
      <c r="A148" s="15"/>
      <c r="B148" s="15"/>
      <c r="C148" s="15"/>
      <c r="D148" s="15"/>
      <c r="E148" s="15"/>
      <c r="F148" s="15"/>
      <c r="G148" s="15"/>
      <c r="H148" s="15"/>
      <c r="I148" s="76">
        <f>J143+J144+J145+J146</f>
        <v>20957.919999999998</v>
      </c>
      <c r="J148" s="76"/>
      <c r="K148" s="16">
        <f>IF(Source!I185&lt;&gt;0, ROUND(I148/Source!I185, 2), 0)</f>
        <v>27943.89</v>
      </c>
      <c r="P148" s="17">
        <f>I148</f>
        <v>20957.919999999998</v>
      </c>
    </row>
    <row r="149" spans="1:22" ht="56" x14ac:dyDescent="0.35">
      <c r="A149" s="9">
        <v>16</v>
      </c>
      <c r="B149" s="9" t="str">
        <f>Source!F186</f>
        <v>5.4-3203-3-5/1</v>
      </c>
      <c r="C149" s="9" t="str">
        <f>Source!G186</f>
        <v>Подготовка почвы для устройства партерного и обыкновенного газонов на каждые 5 см изменения толщины слоя добавлять или исключать</v>
      </c>
      <c r="D149" s="10" t="str">
        <f>Source!H186</f>
        <v>100 м2</v>
      </c>
      <c r="E149" s="3">
        <f>Source!I186</f>
        <v>-3</v>
      </c>
      <c r="F149" s="11"/>
      <c r="G149" s="12"/>
      <c r="H149" s="3"/>
      <c r="I149" s="3"/>
      <c r="J149" s="11"/>
      <c r="K149" s="11"/>
      <c r="Q149" s="2">
        <f>ROUND((Source!BZ186/100)*ROUND((Source!AF186*Source!AV186)*Source!I186, 2), 2)</f>
        <v>-2566.2399999999998</v>
      </c>
      <c r="R149" s="2">
        <f>Source!X186</f>
        <v>-2566.2399999999998</v>
      </c>
      <c r="S149" s="2">
        <f>ROUND((Source!CA186/100)*ROUND((Source!AF186*Source!AV186)*Source!I186, 2), 2)</f>
        <v>-366.61</v>
      </c>
      <c r="T149" s="2">
        <f>Source!Y186</f>
        <v>-366.61</v>
      </c>
      <c r="U149" s="2">
        <f>ROUND((175/100)*ROUND((Source!AE186*Source!AV186)*Source!I186, 2), 2)</f>
        <v>0</v>
      </c>
      <c r="V149" s="2">
        <f>ROUND((108/100)*ROUND(Source!CS186*Source!I186, 2), 2)</f>
        <v>0</v>
      </c>
    </row>
    <row r="150" spans="1:22" x14ac:dyDescent="0.25">
      <c r="C150" s="13" t="str">
        <f>"Объем: "&amp;Source!I186&amp;"=-"&amp;"300/"&amp;"100"</f>
        <v>Объем: -3=-300/100</v>
      </c>
    </row>
    <row r="151" spans="1:22" ht="14.5" x14ac:dyDescent="0.35">
      <c r="A151" s="9"/>
      <c r="B151" s="9"/>
      <c r="C151" s="9" t="s">
        <v>19</v>
      </c>
      <c r="D151" s="10"/>
      <c r="E151" s="3"/>
      <c r="F151" s="11">
        <f>Source!AO186</f>
        <v>1222.02</v>
      </c>
      <c r="G151" s="12" t="str">
        <f>Source!DG186</f>
        <v/>
      </c>
      <c r="H151" s="3">
        <f>Source!AV186</f>
        <v>1</v>
      </c>
      <c r="I151" s="3">
        <f>IF(Source!BA186&lt;&gt; 0, Source!BA186, 1)</f>
        <v>1</v>
      </c>
      <c r="J151" s="11">
        <f>Source!S186</f>
        <v>-3666.06</v>
      </c>
      <c r="K151" s="11"/>
    </row>
    <row r="152" spans="1:22" ht="14.5" x14ac:dyDescent="0.35">
      <c r="A152" s="9"/>
      <c r="B152" s="9"/>
      <c r="C152" s="9" t="s">
        <v>22</v>
      </c>
      <c r="D152" s="10"/>
      <c r="E152" s="3"/>
      <c r="F152" s="11">
        <f>Source!AL186</f>
        <v>3952.5</v>
      </c>
      <c r="G152" s="12" t="str">
        <f>Source!DD186</f>
        <v/>
      </c>
      <c r="H152" s="3">
        <f>Source!AW186</f>
        <v>1</v>
      </c>
      <c r="I152" s="3">
        <f>IF(Source!BC186&lt;&gt; 0, Source!BC186, 1)</f>
        <v>1</v>
      </c>
      <c r="J152" s="11">
        <f>Source!P186</f>
        <v>-11857.5</v>
      </c>
      <c r="K152" s="11"/>
    </row>
    <row r="153" spans="1:22" ht="14.5" x14ac:dyDescent="0.35">
      <c r="A153" s="9"/>
      <c r="B153" s="9"/>
      <c r="C153" s="9" t="s">
        <v>23</v>
      </c>
      <c r="D153" s="10" t="s">
        <v>24</v>
      </c>
      <c r="E153" s="3">
        <f>Source!AT186</f>
        <v>70</v>
      </c>
      <c r="F153" s="11"/>
      <c r="G153" s="12"/>
      <c r="H153" s="3"/>
      <c r="I153" s="3"/>
      <c r="J153" s="11">
        <f>SUM(R149:R152)</f>
        <v>-2566.2399999999998</v>
      </c>
      <c r="K153" s="11"/>
    </row>
    <row r="154" spans="1:22" ht="14.5" x14ac:dyDescent="0.35">
      <c r="A154" s="9"/>
      <c r="B154" s="9"/>
      <c r="C154" s="9" t="s">
        <v>25</v>
      </c>
      <c r="D154" s="10" t="s">
        <v>24</v>
      </c>
      <c r="E154" s="3">
        <f>Source!AU186</f>
        <v>10</v>
      </c>
      <c r="F154" s="11"/>
      <c r="G154" s="12"/>
      <c r="H154" s="3"/>
      <c r="I154" s="3"/>
      <c r="J154" s="11">
        <f>SUM(T149:T153)</f>
        <v>-366.61</v>
      </c>
      <c r="K154" s="11"/>
    </row>
    <row r="155" spans="1:22" ht="14.5" x14ac:dyDescent="0.35">
      <c r="A155" s="9"/>
      <c r="B155" s="9"/>
      <c r="C155" s="9" t="s">
        <v>27</v>
      </c>
      <c r="D155" s="10" t="s">
        <v>28</v>
      </c>
      <c r="E155" s="3">
        <f>Source!AQ186</f>
        <v>6.29</v>
      </c>
      <c r="F155" s="11"/>
      <c r="G155" s="12" t="str">
        <f>Source!DI186</f>
        <v/>
      </c>
      <c r="H155" s="3">
        <f>Source!AV186</f>
        <v>1</v>
      </c>
      <c r="I155" s="3"/>
      <c r="J155" s="11"/>
      <c r="K155" s="11">
        <f>Source!U186</f>
        <v>-18.87</v>
      </c>
    </row>
    <row r="156" spans="1:22" ht="14" x14ac:dyDescent="0.3">
      <c r="A156" s="15"/>
      <c r="B156" s="15"/>
      <c r="C156" s="15"/>
      <c r="D156" s="15"/>
      <c r="E156" s="15"/>
      <c r="F156" s="15"/>
      <c r="G156" s="15"/>
      <c r="H156" s="15"/>
      <c r="I156" s="76">
        <f>J151+J152+J153+J154</f>
        <v>-18456.41</v>
      </c>
      <c r="J156" s="76"/>
      <c r="K156" s="16">
        <f>IF(Source!I186&lt;&gt;0, ROUND(I156/Source!I186, 2), 0)</f>
        <v>6152.14</v>
      </c>
      <c r="P156" s="17">
        <f>I156</f>
        <v>-18456.41</v>
      </c>
    </row>
    <row r="157" spans="1:22" ht="28" x14ac:dyDescent="0.35">
      <c r="A157" s="9">
        <v>17</v>
      </c>
      <c r="B157" s="9" t="str">
        <f>Source!F187</f>
        <v>5.4-3203-3-6/1</v>
      </c>
      <c r="C157" s="9" t="str">
        <f>Source!G187</f>
        <v>Посев газонов партерных, мавританских, и обыкновенных вручную</v>
      </c>
      <c r="D157" s="10" t="str">
        <f>Source!H187</f>
        <v>100 м2</v>
      </c>
      <c r="E157" s="3">
        <f>Source!I187</f>
        <v>3</v>
      </c>
      <c r="F157" s="11"/>
      <c r="G157" s="12"/>
      <c r="H157" s="3"/>
      <c r="I157" s="3"/>
      <c r="J157" s="11"/>
      <c r="K157" s="11"/>
      <c r="Q157" s="2">
        <f>ROUND((Source!BZ187/100)*ROUND((Source!AF187*Source!AV187)*Source!I187, 2), 2)</f>
        <v>2692.43</v>
      </c>
      <c r="R157" s="2">
        <f>Source!X187</f>
        <v>2692.43</v>
      </c>
      <c r="S157" s="2">
        <f>ROUND((Source!CA187/100)*ROUND((Source!AF187*Source!AV187)*Source!I187, 2), 2)</f>
        <v>384.63</v>
      </c>
      <c r="T157" s="2">
        <f>Source!Y187</f>
        <v>384.63</v>
      </c>
      <c r="U157" s="2">
        <f>ROUND((175/100)*ROUND((Source!AE187*Source!AV187)*Source!I187, 2), 2)</f>
        <v>0</v>
      </c>
      <c r="V157" s="2">
        <f>ROUND((108/100)*ROUND(Source!CS187*Source!I187, 2), 2)</f>
        <v>0</v>
      </c>
    </row>
    <row r="158" spans="1:22" x14ac:dyDescent="0.25">
      <c r="C158" s="13" t="str">
        <f>"Объем: "&amp;Source!I187&amp;"=300/"&amp;"100"</f>
        <v>Объем: 3=300/100</v>
      </c>
    </row>
    <row r="159" spans="1:22" ht="14.5" x14ac:dyDescent="0.35">
      <c r="A159" s="9"/>
      <c r="B159" s="9"/>
      <c r="C159" s="9" t="s">
        <v>19</v>
      </c>
      <c r="D159" s="10"/>
      <c r="E159" s="3"/>
      <c r="F159" s="11">
        <f>Source!AO187</f>
        <v>1282.1099999999999</v>
      </c>
      <c r="G159" s="12" t="str">
        <f>Source!DG187</f>
        <v/>
      </c>
      <c r="H159" s="3">
        <f>Source!AV187</f>
        <v>1</v>
      </c>
      <c r="I159" s="3">
        <f>IF(Source!BA187&lt;&gt; 0, Source!BA187, 1)</f>
        <v>1</v>
      </c>
      <c r="J159" s="11">
        <f>Source!S187</f>
        <v>3846.33</v>
      </c>
      <c r="K159" s="11"/>
    </row>
    <row r="160" spans="1:22" ht="14.5" x14ac:dyDescent="0.35">
      <c r="A160" s="9"/>
      <c r="B160" s="9"/>
      <c r="C160" s="9" t="s">
        <v>22</v>
      </c>
      <c r="D160" s="10"/>
      <c r="E160" s="3"/>
      <c r="F160" s="11">
        <f>Source!AL187</f>
        <v>1688.54</v>
      </c>
      <c r="G160" s="12" t="str">
        <f>Source!DD187</f>
        <v/>
      </c>
      <c r="H160" s="3">
        <f>Source!AW187</f>
        <v>1</v>
      </c>
      <c r="I160" s="3">
        <f>IF(Source!BC187&lt;&gt; 0, Source!BC187, 1)</f>
        <v>1</v>
      </c>
      <c r="J160" s="11">
        <f>Source!P187</f>
        <v>5065.62</v>
      </c>
      <c r="K160" s="11"/>
    </row>
    <row r="161" spans="1:22" ht="14.5" x14ac:dyDescent="0.35">
      <c r="A161" s="9"/>
      <c r="B161" s="9"/>
      <c r="C161" s="9" t="s">
        <v>23</v>
      </c>
      <c r="D161" s="10" t="s">
        <v>24</v>
      </c>
      <c r="E161" s="3">
        <f>Source!AT187</f>
        <v>70</v>
      </c>
      <c r="F161" s="11"/>
      <c r="G161" s="12"/>
      <c r="H161" s="3"/>
      <c r="I161" s="3"/>
      <c r="J161" s="11">
        <f>SUM(R157:R160)</f>
        <v>2692.43</v>
      </c>
      <c r="K161" s="11"/>
    </row>
    <row r="162" spans="1:22" ht="14.5" x14ac:dyDescent="0.35">
      <c r="A162" s="9"/>
      <c r="B162" s="9"/>
      <c r="C162" s="9" t="s">
        <v>25</v>
      </c>
      <c r="D162" s="10" t="s">
        <v>24</v>
      </c>
      <c r="E162" s="3">
        <f>Source!AU187</f>
        <v>10</v>
      </c>
      <c r="F162" s="11"/>
      <c r="G162" s="12"/>
      <c r="H162" s="3"/>
      <c r="I162" s="3"/>
      <c r="J162" s="11">
        <f>SUM(T157:T161)</f>
        <v>384.63</v>
      </c>
      <c r="K162" s="11"/>
    </row>
    <row r="163" spans="1:22" ht="14.5" x14ac:dyDescent="0.35">
      <c r="A163" s="9"/>
      <c r="B163" s="9"/>
      <c r="C163" s="9" t="s">
        <v>27</v>
      </c>
      <c r="D163" s="10" t="s">
        <v>28</v>
      </c>
      <c r="E163" s="3">
        <f>Source!AQ187</f>
        <v>6.04</v>
      </c>
      <c r="F163" s="11"/>
      <c r="G163" s="12" t="str">
        <f>Source!DI187</f>
        <v/>
      </c>
      <c r="H163" s="3">
        <f>Source!AV187</f>
        <v>1</v>
      </c>
      <c r="I163" s="3"/>
      <c r="J163" s="11"/>
      <c r="K163" s="11">
        <f>Source!U187</f>
        <v>18.12</v>
      </c>
    </row>
    <row r="164" spans="1:22" ht="14" x14ac:dyDescent="0.3">
      <c r="A164" s="15"/>
      <c r="B164" s="15"/>
      <c r="C164" s="15"/>
      <c r="D164" s="15"/>
      <c r="E164" s="15"/>
      <c r="F164" s="15"/>
      <c r="G164" s="15"/>
      <c r="H164" s="15"/>
      <c r="I164" s="76">
        <f>J159+J160+J161+J162</f>
        <v>11989.01</v>
      </c>
      <c r="J164" s="76"/>
      <c r="K164" s="16">
        <f>IF(Source!I187&lt;&gt;0, ROUND(I164/Source!I187, 2), 0)</f>
        <v>3996.34</v>
      </c>
      <c r="P164" s="17">
        <f>I164</f>
        <v>11989.01</v>
      </c>
    </row>
    <row r="166" spans="1:22" ht="14" x14ac:dyDescent="0.3">
      <c r="A166" s="67" t="str">
        <f>CONCATENATE("Итого по разделу: ",IF(Source!G189&lt;&gt;"Новый раздел", Source!G189, ""))</f>
        <v>Итого по разделу: Ремонт газонов -300м2</v>
      </c>
      <c r="B166" s="67"/>
      <c r="C166" s="67"/>
      <c r="D166" s="67"/>
      <c r="E166" s="67"/>
      <c r="F166" s="67"/>
      <c r="G166" s="67"/>
      <c r="H166" s="67"/>
      <c r="I166" s="68">
        <f>SUM(P129:P165)</f>
        <v>65605.33</v>
      </c>
      <c r="J166" s="69"/>
      <c r="K166" s="19"/>
    </row>
    <row r="169" spans="1:22" ht="16.5" x14ac:dyDescent="0.35">
      <c r="A169" s="77" t="str">
        <f>CONCATENATE("Раздел: ",IF(Source!G219&lt;&gt;"Новый раздел", Source!G219, ""))</f>
        <v>Раздел: Устройство дорожно-тропиночной сети с асфальтобетонным покрытием -42 м2</v>
      </c>
      <c r="B169" s="77"/>
      <c r="C169" s="77"/>
      <c r="D169" s="77"/>
      <c r="E169" s="77"/>
      <c r="F169" s="77"/>
      <c r="G169" s="77"/>
      <c r="H169" s="77"/>
      <c r="I169" s="77"/>
      <c r="J169" s="77"/>
      <c r="K169" s="77"/>
    </row>
    <row r="170" spans="1:22" ht="70" x14ac:dyDescent="0.35">
      <c r="A170" s="9">
        <v>18</v>
      </c>
      <c r="B170" s="9" t="str">
        <f>Source!F223</f>
        <v>2.49-3101-3-3/1</v>
      </c>
      <c r="C170" s="9" t="str">
        <f>Source!G223</f>
        <v>Разработка грунта с погрузкой на автомобили-самосвалы экскаваторами с ковшом вместимостью 0,5 м3, группа грунтов 1-3  (42 м2х0,25=10,5 м3х0,9=9,45м3)</v>
      </c>
      <c r="D170" s="10" t="str">
        <f>Source!H223</f>
        <v>100 м3</v>
      </c>
      <c r="E170" s="3">
        <f>Source!I223</f>
        <v>9.4500000000000001E-2</v>
      </c>
      <c r="F170" s="11"/>
      <c r="G170" s="12"/>
      <c r="H170" s="3"/>
      <c r="I170" s="3"/>
      <c r="J170" s="11"/>
      <c r="K170" s="11"/>
      <c r="Q170" s="2">
        <f>ROUND((Source!BZ223/100)*ROUND((Source!AF223*Source!AV223)*Source!I223, 2), 2)</f>
        <v>19.96</v>
      </c>
      <c r="R170" s="2">
        <f>Source!X223</f>
        <v>19.96</v>
      </c>
      <c r="S170" s="2">
        <f>ROUND((Source!CA223/100)*ROUND((Source!AF223*Source!AV223)*Source!I223, 2), 2)</f>
        <v>2.85</v>
      </c>
      <c r="T170" s="2">
        <f>Source!Y223</f>
        <v>2.85</v>
      </c>
      <c r="U170" s="2">
        <f>ROUND((175/100)*ROUND((Source!AE223*Source!AV223)*Source!I223, 2), 2)</f>
        <v>596.28</v>
      </c>
      <c r="V170" s="2">
        <f>ROUND((108/100)*ROUND(Source!CS223*Source!I223, 2), 2)</f>
        <v>367.99</v>
      </c>
    </row>
    <row r="171" spans="1:22" x14ac:dyDescent="0.25">
      <c r="C171" s="13" t="str">
        <f>"Объем: "&amp;Source!I223&amp;"=9,45/"&amp;"100"</f>
        <v>Объем: 0,0945=9,45/100</v>
      </c>
    </row>
    <row r="172" spans="1:22" ht="14.5" x14ac:dyDescent="0.35">
      <c r="A172" s="9"/>
      <c r="B172" s="9"/>
      <c r="C172" s="9" t="s">
        <v>19</v>
      </c>
      <c r="D172" s="10"/>
      <c r="E172" s="3"/>
      <c r="F172" s="11">
        <f>Source!AO223</f>
        <v>301.75</v>
      </c>
      <c r="G172" s="12" t="str">
        <f>Source!DG223</f>
        <v/>
      </c>
      <c r="H172" s="3">
        <f>Source!AV223</f>
        <v>1</v>
      </c>
      <c r="I172" s="3">
        <f>IF(Source!BA223&lt;&gt; 0, Source!BA223, 1)</f>
        <v>1</v>
      </c>
      <c r="J172" s="11">
        <f>Source!S223</f>
        <v>28.52</v>
      </c>
      <c r="K172" s="11"/>
    </row>
    <row r="173" spans="1:22" ht="14.5" x14ac:dyDescent="0.35">
      <c r="A173" s="9"/>
      <c r="B173" s="9"/>
      <c r="C173" s="9" t="s">
        <v>20</v>
      </c>
      <c r="D173" s="10"/>
      <c r="E173" s="3"/>
      <c r="F173" s="11">
        <f>Source!AM223</f>
        <v>9240.8700000000008</v>
      </c>
      <c r="G173" s="12" t="str">
        <f>Source!DE223</f>
        <v/>
      </c>
      <c r="H173" s="3">
        <f>Source!AV223</f>
        <v>1</v>
      </c>
      <c r="I173" s="3">
        <f>IF(Source!BB223&lt;&gt; 0, Source!BB223, 1)</f>
        <v>1</v>
      </c>
      <c r="J173" s="11">
        <f>Source!Q223</f>
        <v>873.26</v>
      </c>
      <c r="K173" s="11"/>
    </row>
    <row r="174" spans="1:22" ht="14.5" x14ac:dyDescent="0.35">
      <c r="A174" s="9"/>
      <c r="B174" s="9"/>
      <c r="C174" s="9" t="s">
        <v>21</v>
      </c>
      <c r="D174" s="10"/>
      <c r="E174" s="3"/>
      <c r="F174" s="11">
        <f>Source!AN223</f>
        <v>3605.56</v>
      </c>
      <c r="G174" s="12" t="str">
        <f>Source!DF223</f>
        <v/>
      </c>
      <c r="H174" s="3">
        <f>Source!AV223</f>
        <v>1</v>
      </c>
      <c r="I174" s="3">
        <f>IF(Source!BS223&lt;&gt; 0, Source!BS223, 1)</f>
        <v>1</v>
      </c>
      <c r="J174" s="14">
        <f>Source!R223</f>
        <v>340.73</v>
      </c>
      <c r="K174" s="11"/>
    </row>
    <row r="175" spans="1:22" ht="14.5" x14ac:dyDescent="0.35">
      <c r="A175" s="9"/>
      <c r="B175" s="9"/>
      <c r="C175" s="9" t="s">
        <v>23</v>
      </c>
      <c r="D175" s="10" t="s">
        <v>24</v>
      </c>
      <c r="E175" s="3">
        <f>Source!AT223</f>
        <v>70</v>
      </c>
      <c r="F175" s="11"/>
      <c r="G175" s="12"/>
      <c r="H175" s="3"/>
      <c r="I175" s="3"/>
      <c r="J175" s="11">
        <f>SUM(R170:R174)</f>
        <v>19.96</v>
      </c>
      <c r="K175" s="11"/>
    </row>
    <row r="176" spans="1:22" ht="14.5" x14ac:dyDescent="0.35">
      <c r="A176" s="9"/>
      <c r="B176" s="9"/>
      <c r="C176" s="9" t="s">
        <v>25</v>
      </c>
      <c r="D176" s="10" t="s">
        <v>24</v>
      </c>
      <c r="E176" s="3">
        <f>Source!AU223</f>
        <v>10</v>
      </c>
      <c r="F176" s="11"/>
      <c r="G176" s="12"/>
      <c r="H176" s="3"/>
      <c r="I176" s="3"/>
      <c r="J176" s="11">
        <f>SUM(T170:T175)</f>
        <v>2.85</v>
      </c>
      <c r="K176" s="11"/>
    </row>
    <row r="177" spans="1:22" ht="14.5" x14ac:dyDescent="0.35">
      <c r="A177" s="9"/>
      <c r="B177" s="9"/>
      <c r="C177" s="9" t="s">
        <v>26</v>
      </c>
      <c r="D177" s="10" t="s">
        <v>24</v>
      </c>
      <c r="E177" s="3">
        <f>108</f>
        <v>108</v>
      </c>
      <c r="F177" s="11"/>
      <c r="G177" s="12"/>
      <c r="H177" s="3"/>
      <c r="I177" s="3"/>
      <c r="J177" s="11">
        <f>SUM(V170:V176)</f>
        <v>367.99</v>
      </c>
      <c r="K177" s="11"/>
    </row>
    <row r="178" spans="1:22" ht="14.5" x14ac:dyDescent="0.35">
      <c r="A178" s="9"/>
      <c r="B178" s="9"/>
      <c r="C178" s="9" t="s">
        <v>27</v>
      </c>
      <c r="D178" s="10" t="s">
        <v>28</v>
      </c>
      <c r="E178" s="3">
        <f>Source!AQ223</f>
        <v>1.59</v>
      </c>
      <c r="F178" s="11"/>
      <c r="G178" s="12" t="str">
        <f>Source!DI223</f>
        <v/>
      </c>
      <c r="H178" s="3">
        <f>Source!AV223</f>
        <v>1</v>
      </c>
      <c r="I178" s="3"/>
      <c r="J178" s="11"/>
      <c r="K178" s="11">
        <f>Source!U223</f>
        <v>0.15</v>
      </c>
    </row>
    <row r="179" spans="1:22" ht="14" x14ac:dyDescent="0.3">
      <c r="A179" s="15"/>
      <c r="B179" s="15"/>
      <c r="C179" s="15"/>
      <c r="D179" s="15"/>
      <c r="E179" s="15"/>
      <c r="F179" s="15"/>
      <c r="G179" s="15"/>
      <c r="H179" s="15"/>
      <c r="I179" s="76">
        <f>J172+J173+J175+J176+J177</f>
        <v>1292.58</v>
      </c>
      <c r="J179" s="76"/>
      <c r="K179" s="16">
        <f>IF(Source!I223&lt;&gt;0, ROUND(I179/Source!I223, 2), 0)</f>
        <v>13678.1</v>
      </c>
      <c r="P179" s="17">
        <f>I179</f>
        <v>1292.58</v>
      </c>
    </row>
    <row r="180" spans="1:22" ht="56" x14ac:dyDescent="0.35">
      <c r="A180" s="9">
        <v>19</v>
      </c>
      <c r="B180" s="9" t="str">
        <f>Source!F224</f>
        <v>2.49-3201-14-1/1</v>
      </c>
      <c r="C180" s="9" t="str">
        <f>Source!G224</f>
        <v>Разработка грунта вручную в траншеях глубиной до 2 м без креплений с откосами, группа грунтов 1-3 (42 м2х0,25=10,5 м3х0,1=1,05м3)</v>
      </c>
      <c r="D180" s="10" t="str">
        <f>Source!H224</f>
        <v>100 м3</v>
      </c>
      <c r="E180" s="3">
        <f>Source!I224</f>
        <v>1.0500000000000001E-2</v>
      </c>
      <c r="F180" s="11"/>
      <c r="G180" s="12"/>
      <c r="H180" s="3"/>
      <c r="I180" s="3"/>
      <c r="J180" s="11"/>
      <c r="K180" s="11"/>
      <c r="Q180" s="2">
        <f>ROUND((Source!BZ224/100)*ROUND((Source!AF224*Source!AV224)*Source!I224, 2), 2)</f>
        <v>323.76</v>
      </c>
      <c r="R180" s="2">
        <f>Source!X224</f>
        <v>323.76</v>
      </c>
      <c r="S180" s="2">
        <f>ROUND((Source!CA224/100)*ROUND((Source!AF224*Source!AV224)*Source!I224, 2), 2)</f>
        <v>46.25</v>
      </c>
      <c r="T180" s="2">
        <f>Source!Y224</f>
        <v>46.25</v>
      </c>
      <c r="U180" s="2">
        <f>ROUND((175/100)*ROUND((Source!AE224*Source!AV224)*Source!I224, 2), 2)</f>
        <v>0</v>
      </c>
      <c r="V180" s="2">
        <f>ROUND((108/100)*ROUND(Source!CS224*Source!I224, 2), 2)</f>
        <v>0</v>
      </c>
    </row>
    <row r="181" spans="1:22" x14ac:dyDescent="0.25">
      <c r="C181" s="13" t="str">
        <f>"Объем: "&amp;Source!I224&amp;"=1,05/"&amp;"100"</f>
        <v>Объем: 0,0105=1,05/100</v>
      </c>
    </row>
    <row r="182" spans="1:22" ht="14.5" x14ac:dyDescent="0.35">
      <c r="A182" s="9"/>
      <c r="B182" s="9"/>
      <c r="C182" s="9" t="s">
        <v>19</v>
      </c>
      <c r="D182" s="10"/>
      <c r="E182" s="3"/>
      <c r="F182" s="11">
        <f>Source!AO224</f>
        <v>44049.65</v>
      </c>
      <c r="G182" s="12" t="str">
        <f>Source!DG224</f>
        <v/>
      </c>
      <c r="H182" s="3">
        <f>Source!AV224</f>
        <v>1</v>
      </c>
      <c r="I182" s="3">
        <f>IF(Source!BA224&lt;&gt; 0, Source!BA224, 1)</f>
        <v>1</v>
      </c>
      <c r="J182" s="11">
        <f>Source!S224</f>
        <v>462.52</v>
      </c>
      <c r="K182" s="11"/>
    </row>
    <row r="183" spans="1:22" ht="14.5" x14ac:dyDescent="0.35">
      <c r="A183" s="9"/>
      <c r="B183" s="9"/>
      <c r="C183" s="9" t="s">
        <v>23</v>
      </c>
      <c r="D183" s="10" t="s">
        <v>24</v>
      </c>
      <c r="E183" s="3">
        <f>Source!AT224</f>
        <v>70</v>
      </c>
      <c r="F183" s="11"/>
      <c r="G183" s="12"/>
      <c r="H183" s="3"/>
      <c r="I183" s="3"/>
      <c r="J183" s="11">
        <f>SUM(R180:R182)</f>
        <v>323.76</v>
      </c>
      <c r="K183" s="11"/>
    </row>
    <row r="184" spans="1:22" ht="14.5" x14ac:dyDescent="0.35">
      <c r="A184" s="9"/>
      <c r="B184" s="9"/>
      <c r="C184" s="9" t="s">
        <v>25</v>
      </c>
      <c r="D184" s="10" t="s">
        <v>24</v>
      </c>
      <c r="E184" s="3">
        <f>Source!AU224</f>
        <v>10</v>
      </c>
      <c r="F184" s="11"/>
      <c r="G184" s="12"/>
      <c r="H184" s="3"/>
      <c r="I184" s="3"/>
      <c r="J184" s="11">
        <f>SUM(T180:T183)</f>
        <v>46.25</v>
      </c>
      <c r="K184" s="11"/>
    </row>
    <row r="185" spans="1:22" ht="14.5" x14ac:dyDescent="0.35">
      <c r="A185" s="9"/>
      <c r="B185" s="9"/>
      <c r="C185" s="9" t="s">
        <v>27</v>
      </c>
      <c r="D185" s="10" t="s">
        <v>28</v>
      </c>
      <c r="E185" s="3">
        <f>Source!AQ224</f>
        <v>221.6</v>
      </c>
      <c r="F185" s="11"/>
      <c r="G185" s="12" t="str">
        <f>Source!DI224</f>
        <v/>
      </c>
      <c r="H185" s="3">
        <f>Source!AV224</f>
        <v>1</v>
      </c>
      <c r="I185" s="3"/>
      <c r="J185" s="11"/>
      <c r="K185" s="11">
        <f>Source!U224</f>
        <v>2.33</v>
      </c>
    </row>
    <row r="186" spans="1:22" ht="14" x14ac:dyDescent="0.3">
      <c r="A186" s="15"/>
      <c r="B186" s="15"/>
      <c r="C186" s="15"/>
      <c r="D186" s="15"/>
      <c r="E186" s="15"/>
      <c r="F186" s="15"/>
      <c r="G186" s="15"/>
      <c r="H186" s="15"/>
      <c r="I186" s="76">
        <f>J182+J183+J184</f>
        <v>832.53</v>
      </c>
      <c r="J186" s="76"/>
      <c r="K186" s="16">
        <f>IF(Source!I224&lt;&gt;0, ROUND(I186/Source!I224, 2), 0)</f>
        <v>79288.570000000007</v>
      </c>
      <c r="P186" s="17">
        <f>I186</f>
        <v>832.53</v>
      </c>
    </row>
    <row r="187" spans="1:22" ht="70" x14ac:dyDescent="0.35">
      <c r="A187" s="9">
        <v>20</v>
      </c>
      <c r="B187" s="9" t="str">
        <f>Source!F225</f>
        <v>2.49-3101-3-3/1</v>
      </c>
      <c r="C187" s="9" t="str">
        <f>Source!G225</f>
        <v>Разработка грунта с погрузкой на автомобили-самосвалы экскаваторами с ковшом вместимостью 0,5 м3, группа грунтов 1-3  (1,05м3*0,9=0,945м3-погрузка грунта разработанного вручную)</v>
      </c>
      <c r="D187" s="10" t="str">
        <f>Source!H225</f>
        <v>100 м3</v>
      </c>
      <c r="E187" s="3">
        <f>Source!I225</f>
        <v>9.4500000000000001E-3</v>
      </c>
      <c r="F187" s="11"/>
      <c r="G187" s="12"/>
      <c r="H187" s="3"/>
      <c r="I187" s="3"/>
      <c r="J187" s="11"/>
      <c r="K187" s="11"/>
      <c r="Q187" s="2">
        <f>ROUND((Source!BZ225/100)*ROUND((Source!AF225*Source!AV225)*Source!I225, 2), 2)</f>
        <v>2</v>
      </c>
      <c r="R187" s="2">
        <f>Source!X225</f>
        <v>2</v>
      </c>
      <c r="S187" s="2">
        <f>ROUND((Source!CA225/100)*ROUND((Source!AF225*Source!AV225)*Source!I225, 2), 2)</f>
        <v>0.28999999999999998</v>
      </c>
      <c r="T187" s="2">
        <f>Source!Y225</f>
        <v>0.28999999999999998</v>
      </c>
      <c r="U187" s="2">
        <f>ROUND((175/100)*ROUND((Source!AE225*Source!AV225)*Source!I225, 2), 2)</f>
        <v>59.62</v>
      </c>
      <c r="V187" s="2">
        <f>ROUND((108/100)*ROUND(Source!CS225*Source!I225, 2), 2)</f>
        <v>36.799999999999997</v>
      </c>
    </row>
    <row r="188" spans="1:22" x14ac:dyDescent="0.25">
      <c r="C188" s="13" t="str">
        <f>"Объем: "&amp;Source!I225&amp;"=0,945/"&amp;"100"</f>
        <v>Объем: 0,00945=0,945/100</v>
      </c>
    </row>
    <row r="189" spans="1:22" ht="14.5" x14ac:dyDescent="0.35">
      <c r="A189" s="9"/>
      <c r="B189" s="9"/>
      <c r="C189" s="9" t="s">
        <v>19</v>
      </c>
      <c r="D189" s="10"/>
      <c r="E189" s="3"/>
      <c r="F189" s="11">
        <f>Source!AO225</f>
        <v>301.75</v>
      </c>
      <c r="G189" s="12" t="str">
        <f>Source!DG225</f>
        <v/>
      </c>
      <c r="H189" s="3">
        <f>Source!AV225</f>
        <v>1</v>
      </c>
      <c r="I189" s="3">
        <f>IF(Source!BA225&lt;&gt; 0, Source!BA225, 1)</f>
        <v>1</v>
      </c>
      <c r="J189" s="11">
        <f>Source!S225</f>
        <v>2.85</v>
      </c>
      <c r="K189" s="11"/>
    </row>
    <row r="190" spans="1:22" ht="14.5" x14ac:dyDescent="0.35">
      <c r="A190" s="9"/>
      <c r="B190" s="9"/>
      <c r="C190" s="9" t="s">
        <v>20</v>
      </c>
      <c r="D190" s="10"/>
      <c r="E190" s="3"/>
      <c r="F190" s="11">
        <f>Source!AM225</f>
        <v>9240.8700000000008</v>
      </c>
      <c r="G190" s="12" t="str">
        <f>Source!DE225</f>
        <v/>
      </c>
      <c r="H190" s="3">
        <f>Source!AV225</f>
        <v>1</v>
      </c>
      <c r="I190" s="3">
        <f>IF(Source!BB225&lt;&gt; 0, Source!BB225, 1)</f>
        <v>1</v>
      </c>
      <c r="J190" s="11">
        <f>Source!Q225</f>
        <v>87.33</v>
      </c>
      <c r="K190" s="11"/>
    </row>
    <row r="191" spans="1:22" ht="14.5" x14ac:dyDescent="0.35">
      <c r="A191" s="9"/>
      <c r="B191" s="9"/>
      <c r="C191" s="9" t="s">
        <v>21</v>
      </c>
      <c r="D191" s="10"/>
      <c r="E191" s="3"/>
      <c r="F191" s="11">
        <f>Source!AN225</f>
        <v>3605.56</v>
      </c>
      <c r="G191" s="12" t="str">
        <f>Source!DF225</f>
        <v/>
      </c>
      <c r="H191" s="3">
        <f>Source!AV225</f>
        <v>1</v>
      </c>
      <c r="I191" s="3">
        <f>IF(Source!BS225&lt;&gt; 0, Source!BS225, 1)</f>
        <v>1</v>
      </c>
      <c r="J191" s="14">
        <f>Source!R225</f>
        <v>34.07</v>
      </c>
      <c r="K191" s="11"/>
    </row>
    <row r="192" spans="1:22" ht="14.5" x14ac:dyDescent="0.35">
      <c r="A192" s="9"/>
      <c r="B192" s="9"/>
      <c r="C192" s="9" t="s">
        <v>23</v>
      </c>
      <c r="D192" s="10" t="s">
        <v>24</v>
      </c>
      <c r="E192" s="3">
        <f>Source!AT225</f>
        <v>70</v>
      </c>
      <c r="F192" s="11"/>
      <c r="G192" s="12"/>
      <c r="H192" s="3"/>
      <c r="I192" s="3"/>
      <c r="J192" s="11">
        <f>SUM(R187:R191)</f>
        <v>2</v>
      </c>
      <c r="K192" s="11"/>
    </row>
    <row r="193" spans="1:22" ht="14.5" x14ac:dyDescent="0.35">
      <c r="A193" s="9"/>
      <c r="B193" s="9"/>
      <c r="C193" s="9" t="s">
        <v>25</v>
      </c>
      <c r="D193" s="10" t="s">
        <v>24</v>
      </c>
      <c r="E193" s="3">
        <f>Source!AU225</f>
        <v>10</v>
      </c>
      <c r="F193" s="11"/>
      <c r="G193" s="12"/>
      <c r="H193" s="3"/>
      <c r="I193" s="3"/>
      <c r="J193" s="11">
        <f>SUM(T187:T192)</f>
        <v>0.28999999999999998</v>
      </c>
      <c r="K193" s="11"/>
    </row>
    <row r="194" spans="1:22" ht="14.5" x14ac:dyDescent="0.35">
      <c r="A194" s="9"/>
      <c r="B194" s="9"/>
      <c r="C194" s="9" t="s">
        <v>26</v>
      </c>
      <c r="D194" s="10" t="s">
        <v>24</v>
      </c>
      <c r="E194" s="3">
        <f>108</f>
        <v>108</v>
      </c>
      <c r="F194" s="11"/>
      <c r="G194" s="12"/>
      <c r="H194" s="3"/>
      <c r="I194" s="3"/>
      <c r="J194" s="11">
        <f>SUM(V187:V193)</f>
        <v>36.799999999999997</v>
      </c>
      <c r="K194" s="11"/>
    </row>
    <row r="195" spans="1:22" ht="14.5" x14ac:dyDescent="0.35">
      <c r="A195" s="9"/>
      <c r="B195" s="9"/>
      <c r="C195" s="9" t="s">
        <v>27</v>
      </c>
      <c r="D195" s="10" t="s">
        <v>28</v>
      </c>
      <c r="E195" s="3">
        <f>Source!AQ225</f>
        <v>1.59</v>
      </c>
      <c r="F195" s="11"/>
      <c r="G195" s="12" t="str">
        <f>Source!DI225</f>
        <v/>
      </c>
      <c r="H195" s="3">
        <f>Source!AV225</f>
        <v>1</v>
      </c>
      <c r="I195" s="3"/>
      <c r="J195" s="11"/>
      <c r="K195" s="11">
        <f>Source!U225</f>
        <v>0.02</v>
      </c>
    </row>
    <row r="196" spans="1:22" ht="14" x14ac:dyDescent="0.3">
      <c r="A196" s="15"/>
      <c r="B196" s="15"/>
      <c r="C196" s="15"/>
      <c r="D196" s="15"/>
      <c r="E196" s="15"/>
      <c r="F196" s="15"/>
      <c r="G196" s="15"/>
      <c r="H196" s="15"/>
      <c r="I196" s="76">
        <f>J189+J190+J192+J193+J194</f>
        <v>129.27000000000001</v>
      </c>
      <c r="J196" s="76"/>
      <c r="K196" s="16">
        <f>IF(Source!I225&lt;&gt;0, ROUND(I196/Source!I225, 2), 0)</f>
        <v>13679.37</v>
      </c>
      <c r="P196" s="17">
        <f>I196</f>
        <v>129.27000000000001</v>
      </c>
    </row>
    <row r="197" spans="1:22" ht="42" x14ac:dyDescent="0.35">
      <c r="A197" s="9">
        <v>21</v>
      </c>
      <c r="B197" s="9" t="str">
        <f>Source!F226</f>
        <v>1.1-3101-6-1/1</v>
      </c>
      <c r="C197" s="9" t="str">
        <f>Source!G226</f>
        <v>Погрузка грунта вручную в автомобили-самосвалы с выгрузкой (1,05м3х0,1=0,105м3)</v>
      </c>
      <c r="D197" s="10" t="str">
        <f>Source!H226</f>
        <v>100 м3</v>
      </c>
      <c r="E197" s="3">
        <f>Source!I226</f>
        <v>1.0499999999999999E-3</v>
      </c>
      <c r="F197" s="11"/>
      <c r="G197" s="12"/>
      <c r="H197" s="3"/>
      <c r="I197" s="3"/>
      <c r="J197" s="11"/>
      <c r="K197" s="11"/>
      <c r="Q197" s="2">
        <f>ROUND((Source!BZ226/100)*ROUND((Source!AF226*Source!AV226)*Source!I226, 2), 2)</f>
        <v>8.41</v>
      </c>
      <c r="R197" s="2">
        <f>Source!X226</f>
        <v>8.41</v>
      </c>
      <c r="S197" s="2">
        <f>ROUND((Source!CA226/100)*ROUND((Source!AF226*Source!AV226)*Source!I226, 2), 2)</f>
        <v>1.2</v>
      </c>
      <c r="T197" s="2">
        <f>Source!Y226</f>
        <v>1.2</v>
      </c>
      <c r="U197" s="2">
        <f>ROUND((175/100)*ROUND((Source!AE226*Source!AV226)*Source!I226, 2), 2)</f>
        <v>0</v>
      </c>
      <c r="V197" s="2">
        <f>ROUND((108/100)*ROUND(Source!CS226*Source!I226, 2), 2)</f>
        <v>0</v>
      </c>
    </row>
    <row r="198" spans="1:22" x14ac:dyDescent="0.25">
      <c r="C198" s="13" t="str">
        <f>"Объем: "&amp;Source!I226&amp;"=0,105/"&amp;"100"</f>
        <v>Объем: 0,00105=0,105/100</v>
      </c>
    </row>
    <row r="199" spans="1:22" ht="14.5" x14ac:dyDescent="0.35">
      <c r="A199" s="9"/>
      <c r="B199" s="9"/>
      <c r="C199" s="9" t="s">
        <v>19</v>
      </c>
      <c r="D199" s="10"/>
      <c r="E199" s="3"/>
      <c r="F199" s="11">
        <f>Source!AO226</f>
        <v>11436.57</v>
      </c>
      <c r="G199" s="12" t="str">
        <f>Source!DG226</f>
        <v/>
      </c>
      <c r="H199" s="3">
        <f>Source!AV226</f>
        <v>1</v>
      </c>
      <c r="I199" s="3">
        <f>IF(Source!BA226&lt;&gt; 0, Source!BA226, 1)</f>
        <v>1</v>
      </c>
      <c r="J199" s="11">
        <f>Source!S226</f>
        <v>12.01</v>
      </c>
      <c r="K199" s="11"/>
    </row>
    <row r="200" spans="1:22" ht="14.5" x14ac:dyDescent="0.35">
      <c r="A200" s="9"/>
      <c r="B200" s="9"/>
      <c r="C200" s="9" t="s">
        <v>23</v>
      </c>
      <c r="D200" s="10" t="s">
        <v>24</v>
      </c>
      <c r="E200" s="3">
        <f>Source!AT226</f>
        <v>70</v>
      </c>
      <c r="F200" s="11"/>
      <c r="G200" s="12"/>
      <c r="H200" s="3"/>
      <c r="I200" s="3"/>
      <c r="J200" s="11">
        <f>SUM(R197:R199)</f>
        <v>8.41</v>
      </c>
      <c r="K200" s="11"/>
    </row>
    <row r="201" spans="1:22" ht="14.5" x14ac:dyDescent="0.35">
      <c r="A201" s="9"/>
      <c r="B201" s="9"/>
      <c r="C201" s="9" t="s">
        <v>25</v>
      </c>
      <c r="D201" s="10" t="s">
        <v>24</v>
      </c>
      <c r="E201" s="3">
        <f>Source!AU226</f>
        <v>10</v>
      </c>
      <c r="F201" s="11"/>
      <c r="G201" s="12"/>
      <c r="H201" s="3"/>
      <c r="I201" s="3"/>
      <c r="J201" s="11">
        <f>SUM(T197:T200)</f>
        <v>1.2</v>
      </c>
      <c r="K201" s="11"/>
    </row>
    <row r="202" spans="1:22" ht="14.5" x14ac:dyDescent="0.35">
      <c r="A202" s="9"/>
      <c r="B202" s="9"/>
      <c r="C202" s="9" t="s">
        <v>27</v>
      </c>
      <c r="D202" s="10" t="s">
        <v>28</v>
      </c>
      <c r="E202" s="3">
        <f>Source!AQ226</f>
        <v>83</v>
      </c>
      <c r="F202" s="11"/>
      <c r="G202" s="12" t="str">
        <f>Source!DI226</f>
        <v/>
      </c>
      <c r="H202" s="3">
        <f>Source!AV226</f>
        <v>1</v>
      </c>
      <c r="I202" s="3"/>
      <c r="J202" s="11"/>
      <c r="K202" s="11">
        <f>Source!U226</f>
        <v>0.09</v>
      </c>
    </row>
    <row r="203" spans="1:22" ht="14" x14ac:dyDescent="0.3">
      <c r="A203" s="15"/>
      <c r="B203" s="15"/>
      <c r="C203" s="15"/>
      <c r="D203" s="15"/>
      <c r="E203" s="15"/>
      <c r="F203" s="15"/>
      <c r="G203" s="15"/>
      <c r="H203" s="15"/>
      <c r="I203" s="76">
        <f>J199+J200+J201</f>
        <v>21.62</v>
      </c>
      <c r="J203" s="76"/>
      <c r="K203" s="16">
        <f>IF(Source!I226&lt;&gt;0, ROUND(I203/Source!I226, 2), 0)</f>
        <v>20590.48</v>
      </c>
      <c r="P203" s="17">
        <f>I203</f>
        <v>21.62</v>
      </c>
    </row>
    <row r="204" spans="1:22" ht="42" x14ac:dyDescent="0.35">
      <c r="A204" s="9">
        <v>22</v>
      </c>
      <c r="B204" s="9" t="str">
        <f>Source!F227</f>
        <v>2.49-3401-1-1/1</v>
      </c>
      <c r="C204" s="9" t="str">
        <f>Source!G227</f>
        <v>Перевозка грунта автосамосвалами грузоподъемностью до 10 т на расстояние 1 км</v>
      </c>
      <c r="D204" s="10" t="str">
        <f>Source!H227</f>
        <v>м3</v>
      </c>
      <c r="E204" s="3">
        <f>Source!I227</f>
        <v>10.5</v>
      </c>
      <c r="F204" s="11"/>
      <c r="G204" s="12"/>
      <c r="H204" s="3"/>
      <c r="I204" s="3"/>
      <c r="J204" s="11"/>
      <c r="K204" s="11"/>
      <c r="Q204" s="2">
        <f>ROUND((Source!BZ227/100)*ROUND((Source!AF227*Source!AV227)*Source!I227, 2), 2)</f>
        <v>0</v>
      </c>
      <c r="R204" s="2">
        <f>Source!X227</f>
        <v>0</v>
      </c>
      <c r="S204" s="2">
        <f>ROUND((Source!CA227/100)*ROUND((Source!AF227*Source!AV227)*Source!I227, 2), 2)</f>
        <v>0</v>
      </c>
      <c r="T204" s="2">
        <f>Source!Y227</f>
        <v>0</v>
      </c>
      <c r="U204" s="2">
        <f>ROUND((175/100)*ROUND((Source!AE227*Source!AV227)*Source!I227, 2), 2)</f>
        <v>495.02</v>
      </c>
      <c r="V204" s="2">
        <f>ROUND((108/100)*ROUND(Source!CS227*Source!I227, 2), 2)</f>
        <v>305.5</v>
      </c>
    </row>
    <row r="205" spans="1:22" ht="14.5" x14ac:dyDescent="0.35">
      <c r="A205" s="9"/>
      <c r="B205" s="9"/>
      <c r="C205" s="9" t="s">
        <v>20</v>
      </c>
      <c r="D205" s="10"/>
      <c r="E205" s="3"/>
      <c r="F205" s="11">
        <f>Source!AM227</f>
        <v>50.12</v>
      </c>
      <c r="G205" s="12" t="str">
        <f>Source!DE227</f>
        <v/>
      </c>
      <c r="H205" s="3">
        <f>Source!AV227</f>
        <v>1</v>
      </c>
      <c r="I205" s="3">
        <f>IF(Source!BB227&lt;&gt; 0, Source!BB227, 1)</f>
        <v>1</v>
      </c>
      <c r="J205" s="11">
        <f>Source!Q227</f>
        <v>526.26</v>
      </c>
      <c r="K205" s="11"/>
    </row>
    <row r="206" spans="1:22" ht="14.5" x14ac:dyDescent="0.35">
      <c r="A206" s="9"/>
      <c r="B206" s="9"/>
      <c r="C206" s="9" t="s">
        <v>21</v>
      </c>
      <c r="D206" s="10"/>
      <c r="E206" s="3"/>
      <c r="F206" s="11">
        <f>Source!AN227</f>
        <v>26.94</v>
      </c>
      <c r="G206" s="12" t="str">
        <f>Source!DF227</f>
        <v/>
      </c>
      <c r="H206" s="3">
        <f>Source!AV227</f>
        <v>1</v>
      </c>
      <c r="I206" s="3">
        <f>IF(Source!BS227&lt;&gt; 0, Source!BS227, 1)</f>
        <v>1</v>
      </c>
      <c r="J206" s="14">
        <f>Source!R227</f>
        <v>282.87</v>
      </c>
      <c r="K206" s="11"/>
    </row>
    <row r="207" spans="1:22" ht="14" x14ac:dyDescent="0.3">
      <c r="A207" s="15"/>
      <c r="B207" s="15"/>
      <c r="C207" s="15"/>
      <c r="D207" s="15"/>
      <c r="E207" s="15"/>
      <c r="F207" s="15"/>
      <c r="G207" s="15"/>
      <c r="H207" s="15"/>
      <c r="I207" s="76">
        <f>J205</f>
        <v>526.26</v>
      </c>
      <c r="J207" s="76"/>
      <c r="K207" s="16">
        <f>IF(Source!I227&lt;&gt;0, ROUND(I207/Source!I227, 2), 0)</f>
        <v>50.12</v>
      </c>
      <c r="P207" s="17">
        <f>I207</f>
        <v>526.26</v>
      </c>
    </row>
    <row r="208" spans="1:22" ht="56" x14ac:dyDescent="0.35">
      <c r="A208" s="9">
        <v>23</v>
      </c>
      <c r="B208" s="9" t="str">
        <f>Source!F228</f>
        <v>2.49-3401-1-2/1</v>
      </c>
      <c r="C208" s="9" t="str">
        <f>Source!G228</f>
        <v>Перевозка грунта автосамосвалами грузоподъемностью до 10 т - добавляется на каждый последующий 1 км до 100 км (к поз. 49-3401-1-1)</v>
      </c>
      <c r="D208" s="10" t="str">
        <f>Source!H228</f>
        <v>м3</v>
      </c>
      <c r="E208" s="3">
        <f>Source!I228</f>
        <v>10.5</v>
      </c>
      <c r="F208" s="11"/>
      <c r="G208" s="12"/>
      <c r="H208" s="3"/>
      <c r="I208" s="3"/>
      <c r="J208" s="11"/>
      <c r="K208" s="11"/>
      <c r="Q208" s="2">
        <f>ROUND((Source!BZ228/100)*ROUND((Source!AF228*Source!AV228)*Source!I228, 2), 2)</f>
        <v>0</v>
      </c>
      <c r="R208" s="2">
        <f>Source!X228</f>
        <v>0</v>
      </c>
      <c r="S208" s="2">
        <f>ROUND((Source!CA228/100)*ROUND((Source!AF228*Source!AV228)*Source!I228, 2), 2)</f>
        <v>0</v>
      </c>
      <c r="T208" s="2">
        <f>Source!Y228</f>
        <v>0</v>
      </c>
      <c r="U208" s="2">
        <f>ROUND((175/100)*ROUND((Source!AE228*Source!AV228)*Source!I228, 2), 2)</f>
        <v>8303.2999999999993</v>
      </c>
      <c r="V208" s="2">
        <f>ROUND((108/100)*ROUND(Source!CS228*Source!I228, 2), 2)</f>
        <v>5124.32</v>
      </c>
    </row>
    <row r="209" spans="1:22" ht="14.5" x14ac:dyDescent="0.35">
      <c r="A209" s="9"/>
      <c r="B209" s="9"/>
      <c r="C209" s="9" t="s">
        <v>20</v>
      </c>
      <c r="D209" s="10"/>
      <c r="E209" s="3"/>
      <c r="F209" s="11">
        <f>Source!AM228</f>
        <v>16.170000000000002</v>
      </c>
      <c r="G209" s="12" t="str">
        <f>Source!DE228</f>
        <v>)*52</v>
      </c>
      <c r="H209" s="3">
        <f>Source!AV228</f>
        <v>1</v>
      </c>
      <c r="I209" s="3">
        <f>IF(Source!BB228&lt;&gt; 0, Source!BB228, 1)</f>
        <v>1</v>
      </c>
      <c r="J209" s="11">
        <f>Source!Q228</f>
        <v>8828.82</v>
      </c>
      <c r="K209" s="11"/>
    </row>
    <row r="210" spans="1:22" ht="14.5" x14ac:dyDescent="0.35">
      <c r="A210" s="9"/>
      <c r="B210" s="9"/>
      <c r="C210" s="9" t="s">
        <v>21</v>
      </c>
      <c r="D210" s="10"/>
      <c r="E210" s="3"/>
      <c r="F210" s="11">
        <f>Source!AN228</f>
        <v>8.69</v>
      </c>
      <c r="G210" s="12" t="str">
        <f>Source!DF228</f>
        <v>)*52</v>
      </c>
      <c r="H210" s="3">
        <f>Source!AV228</f>
        <v>1</v>
      </c>
      <c r="I210" s="3">
        <f>IF(Source!BS228&lt;&gt; 0, Source!BS228, 1)</f>
        <v>1</v>
      </c>
      <c r="J210" s="14">
        <f>Source!R228</f>
        <v>4744.74</v>
      </c>
      <c r="K210" s="11"/>
    </row>
    <row r="211" spans="1:22" ht="14" x14ac:dyDescent="0.3">
      <c r="A211" s="15"/>
      <c r="B211" s="15"/>
      <c r="C211" s="15"/>
      <c r="D211" s="15"/>
      <c r="E211" s="15"/>
      <c r="F211" s="15"/>
      <c r="G211" s="15"/>
      <c r="H211" s="15"/>
      <c r="I211" s="76">
        <f>J209</f>
        <v>8828.82</v>
      </c>
      <c r="J211" s="76"/>
      <c r="K211" s="16">
        <f>IF(Source!I228&lt;&gt;0, ROUND(I211/Source!I228, 2), 0)</f>
        <v>840.84</v>
      </c>
      <c r="P211" s="17">
        <f>I211</f>
        <v>8828.82</v>
      </c>
    </row>
    <row r="212" spans="1:22" ht="42" x14ac:dyDescent="0.35">
      <c r="A212" s="9">
        <v>24</v>
      </c>
      <c r="B212" s="9" t="str">
        <f>Source!F229</f>
        <v>2.1-3303-1-1/1</v>
      </c>
      <c r="C212" s="9" t="str">
        <f>Source!G229</f>
        <v>Устройство подстилающих и выравнивающих слоев оснований из песка (10см)</v>
      </c>
      <c r="D212" s="10" t="str">
        <f>Source!H229</f>
        <v>100 м3</v>
      </c>
      <c r="E212" s="3">
        <f>Source!I229</f>
        <v>4.2000000000000003E-2</v>
      </c>
      <c r="F212" s="11"/>
      <c r="G212" s="12"/>
      <c r="H212" s="3"/>
      <c r="I212" s="3"/>
      <c r="J212" s="11"/>
      <c r="K212" s="11"/>
      <c r="Q212" s="2">
        <f>ROUND((Source!BZ229/100)*ROUND((Source!AF229*Source!AV229)*Source!I229, 2), 2)</f>
        <v>95.68</v>
      </c>
      <c r="R212" s="2">
        <f>Source!X229</f>
        <v>95.68</v>
      </c>
      <c r="S212" s="2">
        <f>ROUND((Source!CA229/100)*ROUND((Source!AF229*Source!AV229)*Source!I229, 2), 2)</f>
        <v>13.67</v>
      </c>
      <c r="T212" s="2">
        <f>Source!Y229</f>
        <v>13.67</v>
      </c>
      <c r="U212" s="2">
        <f>ROUND((175/100)*ROUND((Source!AE229*Source!AV229)*Source!I229, 2), 2)</f>
        <v>248.73</v>
      </c>
      <c r="V212" s="2">
        <f>ROUND((108/100)*ROUND(Source!CS229*Source!I229, 2), 2)</f>
        <v>153.5</v>
      </c>
    </row>
    <row r="213" spans="1:22" x14ac:dyDescent="0.25">
      <c r="C213" s="13" t="str">
        <f>"Объем: "&amp;Source!I229&amp;"=4,2/"&amp;"100"</f>
        <v>Объем: 0,042=4,2/100</v>
      </c>
    </row>
    <row r="214" spans="1:22" ht="14.5" x14ac:dyDescent="0.35">
      <c r="A214" s="9"/>
      <c r="B214" s="9"/>
      <c r="C214" s="9" t="s">
        <v>19</v>
      </c>
      <c r="D214" s="10"/>
      <c r="E214" s="3"/>
      <c r="F214" s="11">
        <f>Source!AO229</f>
        <v>3254.54</v>
      </c>
      <c r="G214" s="12" t="str">
        <f>Source!DG229</f>
        <v/>
      </c>
      <c r="H214" s="3">
        <f>Source!AV229</f>
        <v>1</v>
      </c>
      <c r="I214" s="3">
        <f>IF(Source!BA229&lt;&gt; 0, Source!BA229, 1)</f>
        <v>1</v>
      </c>
      <c r="J214" s="11">
        <f>Source!S229</f>
        <v>136.69</v>
      </c>
      <c r="K214" s="11"/>
    </row>
    <row r="215" spans="1:22" ht="14.5" x14ac:dyDescent="0.35">
      <c r="A215" s="9"/>
      <c r="B215" s="9"/>
      <c r="C215" s="9" t="s">
        <v>20</v>
      </c>
      <c r="D215" s="10"/>
      <c r="E215" s="3"/>
      <c r="F215" s="11">
        <f>Source!AM229</f>
        <v>7899.44</v>
      </c>
      <c r="G215" s="12" t="str">
        <f>Source!DE229</f>
        <v/>
      </c>
      <c r="H215" s="3">
        <f>Source!AV229</f>
        <v>1</v>
      </c>
      <c r="I215" s="3">
        <f>IF(Source!BB229&lt;&gt; 0, Source!BB229, 1)</f>
        <v>1</v>
      </c>
      <c r="J215" s="11">
        <f>Source!Q229</f>
        <v>331.78</v>
      </c>
      <c r="K215" s="11"/>
    </row>
    <row r="216" spans="1:22" ht="14.5" x14ac:dyDescent="0.35">
      <c r="A216" s="9"/>
      <c r="B216" s="9"/>
      <c r="C216" s="9" t="s">
        <v>21</v>
      </c>
      <c r="D216" s="10"/>
      <c r="E216" s="3"/>
      <c r="F216" s="11">
        <f>Source!AN229</f>
        <v>3384.14</v>
      </c>
      <c r="G216" s="12" t="str">
        <f>Source!DF229</f>
        <v/>
      </c>
      <c r="H216" s="3">
        <f>Source!AV229</f>
        <v>1</v>
      </c>
      <c r="I216" s="3">
        <f>IF(Source!BS229&lt;&gt; 0, Source!BS229, 1)</f>
        <v>1</v>
      </c>
      <c r="J216" s="14">
        <f>Source!R229</f>
        <v>142.13</v>
      </c>
      <c r="K216" s="11"/>
    </row>
    <row r="217" spans="1:22" ht="14.5" x14ac:dyDescent="0.35">
      <c r="A217" s="9"/>
      <c r="B217" s="9"/>
      <c r="C217" s="9" t="s">
        <v>22</v>
      </c>
      <c r="D217" s="10"/>
      <c r="E217" s="3"/>
      <c r="F217" s="11">
        <f>Source!AL229</f>
        <v>56283.75</v>
      </c>
      <c r="G217" s="12" t="str">
        <f>Source!DD229</f>
        <v/>
      </c>
      <c r="H217" s="3">
        <f>Source!AW229</f>
        <v>1</v>
      </c>
      <c r="I217" s="3">
        <f>IF(Source!BC229&lt;&gt; 0, Source!BC229, 1)</f>
        <v>1</v>
      </c>
      <c r="J217" s="11">
        <f>Source!P229</f>
        <v>2363.92</v>
      </c>
      <c r="K217" s="11"/>
    </row>
    <row r="218" spans="1:22" ht="14.5" x14ac:dyDescent="0.35">
      <c r="A218" s="9"/>
      <c r="B218" s="9"/>
      <c r="C218" s="9" t="s">
        <v>23</v>
      </c>
      <c r="D218" s="10" t="s">
        <v>24</v>
      </c>
      <c r="E218" s="3">
        <f>Source!AT229</f>
        <v>70</v>
      </c>
      <c r="F218" s="11"/>
      <c r="G218" s="12"/>
      <c r="H218" s="3"/>
      <c r="I218" s="3"/>
      <c r="J218" s="11">
        <f>SUM(R212:R217)</f>
        <v>95.68</v>
      </c>
      <c r="K218" s="11"/>
    </row>
    <row r="219" spans="1:22" ht="14.5" x14ac:dyDescent="0.35">
      <c r="A219" s="9"/>
      <c r="B219" s="9"/>
      <c r="C219" s="9" t="s">
        <v>25</v>
      </c>
      <c r="D219" s="10" t="s">
        <v>24</v>
      </c>
      <c r="E219" s="3">
        <f>Source!AU229</f>
        <v>10</v>
      </c>
      <c r="F219" s="11"/>
      <c r="G219" s="12"/>
      <c r="H219" s="3"/>
      <c r="I219" s="3"/>
      <c r="J219" s="11">
        <f>SUM(T212:T218)</f>
        <v>13.67</v>
      </c>
      <c r="K219" s="11"/>
    </row>
    <row r="220" spans="1:22" ht="14.5" x14ac:dyDescent="0.35">
      <c r="A220" s="9"/>
      <c r="B220" s="9"/>
      <c r="C220" s="9" t="s">
        <v>26</v>
      </c>
      <c r="D220" s="10" t="s">
        <v>24</v>
      </c>
      <c r="E220" s="3">
        <f>108</f>
        <v>108</v>
      </c>
      <c r="F220" s="11"/>
      <c r="G220" s="12"/>
      <c r="H220" s="3"/>
      <c r="I220" s="3"/>
      <c r="J220" s="11">
        <f>SUM(V212:V219)</f>
        <v>153.5</v>
      </c>
      <c r="K220" s="11"/>
    </row>
    <row r="221" spans="1:22" ht="14.5" x14ac:dyDescent="0.35">
      <c r="A221" s="9"/>
      <c r="B221" s="9"/>
      <c r="C221" s="9" t="s">
        <v>27</v>
      </c>
      <c r="D221" s="10" t="s">
        <v>28</v>
      </c>
      <c r="E221" s="3">
        <f>Source!AQ229</f>
        <v>16.559999999999999</v>
      </c>
      <c r="F221" s="11"/>
      <c r="G221" s="12" t="str">
        <f>Source!DI229</f>
        <v/>
      </c>
      <c r="H221" s="3">
        <f>Source!AV229</f>
        <v>1</v>
      </c>
      <c r="I221" s="3"/>
      <c r="J221" s="11"/>
      <c r="K221" s="11">
        <f>Source!U229</f>
        <v>0.7</v>
      </c>
    </row>
    <row r="222" spans="1:22" ht="14" x14ac:dyDescent="0.3">
      <c r="A222" s="15"/>
      <c r="B222" s="15"/>
      <c r="C222" s="15"/>
      <c r="D222" s="15"/>
      <c r="E222" s="15"/>
      <c r="F222" s="15"/>
      <c r="G222" s="15"/>
      <c r="H222" s="15"/>
      <c r="I222" s="76">
        <f>J214+J215+J217+J218+J219+J220</f>
        <v>3095.24</v>
      </c>
      <c r="J222" s="76"/>
      <c r="K222" s="16">
        <f>IF(Source!I229&lt;&gt;0, ROUND(I222/Source!I229, 2), 0)</f>
        <v>73696.19</v>
      </c>
      <c r="P222" s="17">
        <f>I222</f>
        <v>3095.24</v>
      </c>
    </row>
    <row r="223" spans="1:22" ht="42" x14ac:dyDescent="0.35">
      <c r="A223" s="9">
        <v>25</v>
      </c>
      <c r="B223" s="9" t="str">
        <f>Source!F230</f>
        <v>2.1-3303-1-2/1</v>
      </c>
      <c r="C223" s="9" t="str">
        <f>Source!G230</f>
        <v>Устройство подстилающих и выравнивающих слоев оснований из щебня (10 см)</v>
      </c>
      <c r="D223" s="10" t="str">
        <f>Source!H230</f>
        <v>100 м3</v>
      </c>
      <c r="E223" s="3">
        <f>Source!I230</f>
        <v>4.2000000000000003E-2</v>
      </c>
      <c r="F223" s="11"/>
      <c r="G223" s="12"/>
      <c r="H223" s="3"/>
      <c r="I223" s="3"/>
      <c r="J223" s="11"/>
      <c r="K223" s="11"/>
      <c r="Q223" s="2">
        <f>ROUND((Source!BZ230/100)*ROUND((Source!AF230*Source!AV230)*Source!I230, 2), 2)</f>
        <v>143.53</v>
      </c>
      <c r="R223" s="2">
        <f>Source!X230</f>
        <v>143.53</v>
      </c>
      <c r="S223" s="2">
        <f>ROUND((Source!CA230/100)*ROUND((Source!AF230*Source!AV230)*Source!I230, 2), 2)</f>
        <v>20.5</v>
      </c>
      <c r="T223" s="2">
        <f>Source!Y230</f>
        <v>20.5</v>
      </c>
      <c r="U223" s="2">
        <f>ROUND((175/100)*ROUND((Source!AE230*Source!AV230)*Source!I230, 2), 2)</f>
        <v>1637.28</v>
      </c>
      <c r="V223" s="2">
        <f>ROUND((108/100)*ROUND(Source!CS230*Source!I230, 2), 2)</f>
        <v>1010.44</v>
      </c>
    </row>
    <row r="224" spans="1:22" x14ac:dyDescent="0.25">
      <c r="C224" s="13" t="str">
        <f>"Объем: "&amp;Source!I230&amp;"=4,2/"&amp;"100"</f>
        <v>Объем: 0,042=4,2/100</v>
      </c>
    </row>
    <row r="225" spans="1:22" ht="14.5" x14ac:dyDescent="0.35">
      <c r="A225" s="9"/>
      <c r="B225" s="9"/>
      <c r="C225" s="9" t="s">
        <v>19</v>
      </c>
      <c r="D225" s="10"/>
      <c r="E225" s="3"/>
      <c r="F225" s="11">
        <f>Source!AO230</f>
        <v>4881.8100000000004</v>
      </c>
      <c r="G225" s="12" t="str">
        <f>Source!DG230</f>
        <v/>
      </c>
      <c r="H225" s="3">
        <f>Source!AV230</f>
        <v>1</v>
      </c>
      <c r="I225" s="3">
        <f>IF(Source!BA230&lt;&gt; 0, Source!BA230, 1)</f>
        <v>1</v>
      </c>
      <c r="J225" s="11">
        <f>Source!S230</f>
        <v>205.04</v>
      </c>
      <c r="K225" s="11"/>
    </row>
    <row r="226" spans="1:22" ht="14.5" x14ac:dyDescent="0.35">
      <c r="A226" s="9"/>
      <c r="B226" s="9"/>
      <c r="C226" s="9" t="s">
        <v>20</v>
      </c>
      <c r="D226" s="10"/>
      <c r="E226" s="3"/>
      <c r="F226" s="11">
        <f>Source!AM230</f>
        <v>56129.71</v>
      </c>
      <c r="G226" s="12" t="str">
        <f>Source!DE230</f>
        <v/>
      </c>
      <c r="H226" s="3">
        <f>Source!AV230</f>
        <v>1</v>
      </c>
      <c r="I226" s="3">
        <f>IF(Source!BB230&lt;&gt; 0, Source!BB230, 1)</f>
        <v>1</v>
      </c>
      <c r="J226" s="11">
        <f>Source!Q230</f>
        <v>2357.4499999999998</v>
      </c>
      <c r="K226" s="11"/>
    </row>
    <row r="227" spans="1:22" ht="14.5" x14ac:dyDescent="0.35">
      <c r="A227" s="9"/>
      <c r="B227" s="9"/>
      <c r="C227" s="9" t="s">
        <v>21</v>
      </c>
      <c r="D227" s="10"/>
      <c r="E227" s="3"/>
      <c r="F227" s="11">
        <f>Source!AN230</f>
        <v>22275.919999999998</v>
      </c>
      <c r="G227" s="12" t="str">
        <f>Source!DF230</f>
        <v/>
      </c>
      <c r="H227" s="3">
        <f>Source!AV230</f>
        <v>1</v>
      </c>
      <c r="I227" s="3">
        <f>IF(Source!BS230&lt;&gt; 0, Source!BS230, 1)</f>
        <v>1</v>
      </c>
      <c r="J227" s="14">
        <f>Source!R230</f>
        <v>935.59</v>
      </c>
      <c r="K227" s="11"/>
    </row>
    <row r="228" spans="1:22" ht="14.5" x14ac:dyDescent="0.35">
      <c r="A228" s="9"/>
      <c r="B228" s="9"/>
      <c r="C228" s="9" t="s">
        <v>22</v>
      </c>
      <c r="D228" s="10"/>
      <c r="E228" s="3"/>
      <c r="F228" s="11">
        <f>Source!AL230</f>
        <v>194640.67</v>
      </c>
      <c r="G228" s="12" t="str">
        <f>Source!DD230</f>
        <v/>
      </c>
      <c r="H228" s="3">
        <f>Source!AW230</f>
        <v>1</v>
      </c>
      <c r="I228" s="3">
        <f>IF(Source!BC230&lt;&gt; 0, Source!BC230, 1)</f>
        <v>1</v>
      </c>
      <c r="J228" s="11">
        <f>Source!P230</f>
        <v>8174.91</v>
      </c>
      <c r="K228" s="11"/>
    </row>
    <row r="229" spans="1:22" ht="42" x14ac:dyDescent="0.35">
      <c r="A229" s="9" t="s">
        <v>38</v>
      </c>
      <c r="B229" s="9" t="str">
        <f>Source!F231</f>
        <v>21.1-12-36</v>
      </c>
      <c r="C229" s="9" t="str">
        <f>Source!G231</f>
        <v>Щебень из естественного камня для строительных работ, марка 1200-800, фракция 20-40 мм</v>
      </c>
      <c r="D229" s="10" t="str">
        <f>Source!H231</f>
        <v>м3</v>
      </c>
      <c r="E229" s="3">
        <f>Source!I231</f>
        <v>-5.2919999999999998</v>
      </c>
      <c r="F229" s="11">
        <f>Source!AK231</f>
        <v>1542.75</v>
      </c>
      <c r="G229" s="18" t="s">
        <v>30</v>
      </c>
      <c r="H229" s="3">
        <f>Source!AW231</f>
        <v>1</v>
      </c>
      <c r="I229" s="3">
        <f>IF(Source!BC231&lt;&gt; 0, Source!BC231, 1)</f>
        <v>1</v>
      </c>
      <c r="J229" s="11">
        <f>Source!O231</f>
        <v>-8164.23</v>
      </c>
      <c r="K229" s="11"/>
      <c r="Q229" s="2">
        <f>ROUND((Source!BZ231/100)*ROUND((Source!AF231*Source!AV231)*Source!I231, 2), 2)</f>
        <v>0</v>
      </c>
      <c r="R229" s="2">
        <f>Source!X231</f>
        <v>0</v>
      </c>
      <c r="S229" s="2">
        <f>ROUND((Source!CA231/100)*ROUND((Source!AF231*Source!AV231)*Source!I231, 2), 2)</f>
        <v>0</v>
      </c>
      <c r="T229" s="2">
        <f>Source!Y231</f>
        <v>0</v>
      </c>
      <c r="U229" s="2">
        <f>ROUND((175/100)*ROUND((Source!AE231*Source!AV231)*Source!I231, 2), 2)</f>
        <v>0</v>
      </c>
      <c r="V229" s="2">
        <f>ROUND((108/100)*ROUND(Source!CS231*Source!I231, 2), 2)</f>
        <v>0</v>
      </c>
    </row>
    <row r="230" spans="1:22" ht="42" x14ac:dyDescent="0.35">
      <c r="A230" s="9" t="s">
        <v>39</v>
      </c>
      <c r="B230" s="9" t="str">
        <f>Source!F232</f>
        <v>21.1-12-31</v>
      </c>
      <c r="C230" s="9" t="str">
        <f>Source!G232</f>
        <v>Щебень из естественного камня для строительных работ, марка 600-400, фракция 20-40 мм</v>
      </c>
      <c r="D230" s="10" t="str">
        <f>Source!H232</f>
        <v>м3</v>
      </c>
      <c r="E230" s="3">
        <f>Source!I232</f>
        <v>5.2919999999999998</v>
      </c>
      <c r="F230" s="11">
        <f>Source!AK232</f>
        <v>1232.5</v>
      </c>
      <c r="G230" s="18" t="s">
        <v>30</v>
      </c>
      <c r="H230" s="3">
        <f>Source!AW232</f>
        <v>1</v>
      </c>
      <c r="I230" s="3">
        <f>IF(Source!BC232&lt;&gt; 0, Source!BC232, 1)</f>
        <v>1</v>
      </c>
      <c r="J230" s="11">
        <f>Source!O232</f>
        <v>6522.39</v>
      </c>
      <c r="K230" s="11"/>
      <c r="Q230" s="2">
        <f>ROUND((Source!BZ232/100)*ROUND((Source!AF232*Source!AV232)*Source!I232, 2), 2)</f>
        <v>0</v>
      </c>
      <c r="R230" s="2">
        <f>Source!X232</f>
        <v>0</v>
      </c>
      <c r="S230" s="2">
        <f>ROUND((Source!CA232/100)*ROUND((Source!AF232*Source!AV232)*Source!I232, 2), 2)</f>
        <v>0</v>
      </c>
      <c r="T230" s="2">
        <f>Source!Y232</f>
        <v>0</v>
      </c>
      <c r="U230" s="2">
        <f>ROUND((175/100)*ROUND((Source!AE232*Source!AV232)*Source!I232, 2), 2)</f>
        <v>0</v>
      </c>
      <c r="V230" s="2">
        <f>ROUND((108/100)*ROUND(Source!CS232*Source!I232, 2), 2)</f>
        <v>0</v>
      </c>
    </row>
    <row r="231" spans="1:22" ht="14.5" x14ac:dyDescent="0.35">
      <c r="A231" s="9"/>
      <c r="B231" s="9"/>
      <c r="C231" s="9" t="s">
        <v>23</v>
      </c>
      <c r="D231" s="10" t="s">
        <v>24</v>
      </c>
      <c r="E231" s="3">
        <f>Source!AT230</f>
        <v>70</v>
      </c>
      <c r="F231" s="11"/>
      <c r="G231" s="12"/>
      <c r="H231" s="3"/>
      <c r="I231" s="3"/>
      <c r="J231" s="11">
        <f>SUM(R223:R230)</f>
        <v>143.53</v>
      </c>
      <c r="K231" s="11"/>
    </row>
    <row r="232" spans="1:22" ht="14.5" x14ac:dyDescent="0.35">
      <c r="A232" s="9"/>
      <c r="B232" s="9"/>
      <c r="C232" s="9" t="s">
        <v>25</v>
      </c>
      <c r="D232" s="10" t="s">
        <v>24</v>
      </c>
      <c r="E232" s="3">
        <f>Source!AU230</f>
        <v>10</v>
      </c>
      <c r="F232" s="11"/>
      <c r="G232" s="12"/>
      <c r="H232" s="3"/>
      <c r="I232" s="3"/>
      <c r="J232" s="11">
        <f>SUM(T223:T231)</f>
        <v>20.5</v>
      </c>
      <c r="K232" s="11"/>
    </row>
    <row r="233" spans="1:22" ht="14.5" x14ac:dyDescent="0.35">
      <c r="A233" s="9"/>
      <c r="B233" s="9"/>
      <c r="C233" s="9" t="s">
        <v>26</v>
      </c>
      <c r="D233" s="10" t="s">
        <v>24</v>
      </c>
      <c r="E233" s="3">
        <f>108</f>
        <v>108</v>
      </c>
      <c r="F233" s="11"/>
      <c r="G233" s="12"/>
      <c r="H233" s="3"/>
      <c r="I233" s="3"/>
      <c r="J233" s="11">
        <f>SUM(V223:V232)</f>
        <v>1010.44</v>
      </c>
      <c r="K233" s="11"/>
    </row>
    <row r="234" spans="1:22" ht="14.5" x14ac:dyDescent="0.35">
      <c r="A234" s="9"/>
      <c r="B234" s="9"/>
      <c r="C234" s="9" t="s">
        <v>27</v>
      </c>
      <c r="D234" s="10" t="s">
        <v>28</v>
      </c>
      <c r="E234" s="3">
        <f>Source!AQ230</f>
        <v>24.84</v>
      </c>
      <c r="F234" s="11"/>
      <c r="G234" s="12" t="str">
        <f>Source!DI230</f>
        <v/>
      </c>
      <c r="H234" s="3">
        <f>Source!AV230</f>
        <v>1</v>
      </c>
      <c r="I234" s="3"/>
      <c r="J234" s="11"/>
      <c r="K234" s="11">
        <f>Source!U230</f>
        <v>1.04</v>
      </c>
    </row>
    <row r="235" spans="1:22" ht="14" x14ac:dyDescent="0.3">
      <c r="A235" s="15"/>
      <c r="B235" s="15"/>
      <c r="C235" s="15"/>
      <c r="D235" s="15"/>
      <c r="E235" s="15"/>
      <c r="F235" s="15"/>
      <c r="G235" s="15"/>
      <c r="H235" s="15"/>
      <c r="I235" s="76">
        <f>J225+J226+J228+J231+J232+J233+SUM(J229:J230)</f>
        <v>10270.030000000001</v>
      </c>
      <c r="J235" s="76"/>
      <c r="K235" s="16">
        <f>IF(Source!I230&lt;&gt;0, ROUND(I235/Source!I230, 2), 0)</f>
        <v>244524.52</v>
      </c>
      <c r="P235" s="17">
        <f>I235</f>
        <v>10270.030000000001</v>
      </c>
    </row>
    <row r="236" spans="1:22" ht="70" x14ac:dyDescent="0.35">
      <c r="A236" s="9">
        <v>26</v>
      </c>
      <c r="B236" s="9" t="str">
        <f>Source!F233</f>
        <v>2.1-3103-19-4/1</v>
      </c>
      <c r="C236" s="9" t="str">
        <f>Source!G233</f>
        <v>Устройство асфальтобетонных покрытий дорожек и тротуаров двухслойных, верхний слой из песчаной асфальтобетонной смеси толщиной 3 см (5см)</v>
      </c>
      <c r="D236" s="10" t="str">
        <f>Source!H233</f>
        <v>100 м2</v>
      </c>
      <c r="E236" s="3">
        <f>Source!I233</f>
        <v>0.42</v>
      </c>
      <c r="F236" s="11"/>
      <c r="G236" s="12"/>
      <c r="H236" s="3"/>
      <c r="I236" s="3"/>
      <c r="J236" s="11"/>
      <c r="K236" s="11"/>
      <c r="Q236" s="2">
        <f>ROUND((Source!BZ233/100)*ROUND((Source!AF233*Source!AV233)*Source!I233, 2), 2)</f>
        <v>726.98</v>
      </c>
      <c r="R236" s="2">
        <f>Source!X233</f>
        <v>726.98</v>
      </c>
      <c r="S236" s="2">
        <f>ROUND((Source!CA233/100)*ROUND((Source!AF233*Source!AV233)*Source!I233, 2), 2)</f>
        <v>103.85</v>
      </c>
      <c r="T236" s="2">
        <f>Source!Y233</f>
        <v>103.85</v>
      </c>
      <c r="U236" s="2">
        <f>ROUND((175/100)*ROUND((Source!AE233*Source!AV233)*Source!I233, 2), 2)</f>
        <v>364.05</v>
      </c>
      <c r="V236" s="2">
        <f>ROUND((108/100)*ROUND(Source!CS233*Source!I233, 2), 2)</f>
        <v>224.67</v>
      </c>
    </row>
    <row r="237" spans="1:22" x14ac:dyDescent="0.25">
      <c r="C237" s="13" t="str">
        <f>"Объем: "&amp;Source!I233&amp;"=42/"&amp;"100"</f>
        <v>Объем: 0,42=42/100</v>
      </c>
    </row>
    <row r="238" spans="1:22" ht="14.5" x14ac:dyDescent="0.35">
      <c r="A238" s="9"/>
      <c r="B238" s="9"/>
      <c r="C238" s="9" t="s">
        <v>19</v>
      </c>
      <c r="D238" s="10"/>
      <c r="E238" s="3"/>
      <c r="F238" s="11">
        <f>Source!AO233</f>
        <v>2472.7199999999998</v>
      </c>
      <c r="G238" s="12" t="str">
        <f>Source!DG233</f>
        <v/>
      </c>
      <c r="H238" s="3">
        <f>Source!AV233</f>
        <v>1</v>
      </c>
      <c r="I238" s="3">
        <f>IF(Source!BA233&lt;&gt; 0, Source!BA233, 1)</f>
        <v>1</v>
      </c>
      <c r="J238" s="11">
        <f>Source!S233</f>
        <v>1038.54</v>
      </c>
      <c r="K238" s="11"/>
    </row>
    <row r="239" spans="1:22" ht="14.5" x14ac:dyDescent="0.35">
      <c r="A239" s="9"/>
      <c r="B239" s="9"/>
      <c r="C239" s="9" t="s">
        <v>20</v>
      </c>
      <c r="D239" s="10"/>
      <c r="E239" s="3"/>
      <c r="F239" s="11">
        <f>Source!AM233</f>
        <v>1214.57</v>
      </c>
      <c r="G239" s="12" t="str">
        <f>Source!DE233</f>
        <v/>
      </c>
      <c r="H239" s="3">
        <f>Source!AV233</f>
        <v>1</v>
      </c>
      <c r="I239" s="3">
        <f>IF(Source!BB233&lt;&gt; 0, Source!BB233, 1)</f>
        <v>1</v>
      </c>
      <c r="J239" s="11">
        <f>Source!Q233</f>
        <v>510.12</v>
      </c>
      <c r="K239" s="11"/>
    </row>
    <row r="240" spans="1:22" ht="14.5" x14ac:dyDescent="0.35">
      <c r="A240" s="9"/>
      <c r="B240" s="9"/>
      <c r="C240" s="9" t="s">
        <v>21</v>
      </c>
      <c r="D240" s="10"/>
      <c r="E240" s="3"/>
      <c r="F240" s="11">
        <f>Source!AN233</f>
        <v>495.3</v>
      </c>
      <c r="G240" s="12" t="str">
        <f>Source!DF233</f>
        <v/>
      </c>
      <c r="H240" s="3">
        <f>Source!AV233</f>
        <v>1</v>
      </c>
      <c r="I240" s="3">
        <f>IF(Source!BS233&lt;&gt; 0, Source!BS233, 1)</f>
        <v>1</v>
      </c>
      <c r="J240" s="14">
        <f>Source!R233</f>
        <v>208.03</v>
      </c>
      <c r="K240" s="11"/>
    </row>
    <row r="241" spans="1:32" ht="14.5" x14ac:dyDescent="0.35">
      <c r="A241" s="9"/>
      <c r="B241" s="9"/>
      <c r="C241" s="9" t="s">
        <v>22</v>
      </c>
      <c r="D241" s="10"/>
      <c r="E241" s="3"/>
      <c r="F241" s="11">
        <f>Source!AL233</f>
        <v>23183.32</v>
      </c>
      <c r="G241" s="12" t="str">
        <f>Source!DD233</f>
        <v/>
      </c>
      <c r="H241" s="3">
        <f>Source!AW233</f>
        <v>1</v>
      </c>
      <c r="I241" s="3">
        <f>IF(Source!BC233&lt;&gt; 0, Source!BC233, 1)</f>
        <v>1</v>
      </c>
      <c r="J241" s="11">
        <f>Source!P233</f>
        <v>9736.99</v>
      </c>
      <c r="K241" s="11"/>
    </row>
    <row r="242" spans="1:32" ht="28" x14ac:dyDescent="0.35">
      <c r="A242" s="9" t="s">
        <v>40</v>
      </c>
      <c r="B242" s="9" t="str">
        <f>Source!F234</f>
        <v>21.3-3-34</v>
      </c>
      <c r="C242" s="9" t="str">
        <f>Source!G234</f>
        <v>Смеси асфальтобетонные дорожные горячие песчаные, тип Д, марка III</v>
      </c>
      <c r="D242" s="10" t="str">
        <f>Source!H234</f>
        <v>т</v>
      </c>
      <c r="E242" s="3">
        <f>Source!I234</f>
        <v>-2.9988000000000001</v>
      </c>
      <c r="F242" s="11">
        <f>Source!AK234</f>
        <v>2954.24</v>
      </c>
      <c r="G242" s="18" t="s">
        <v>30</v>
      </c>
      <c r="H242" s="3">
        <f>Source!AW234</f>
        <v>1</v>
      </c>
      <c r="I242" s="3">
        <f>IF(Source!BC234&lt;&gt; 0, Source!BC234, 1)</f>
        <v>1</v>
      </c>
      <c r="J242" s="11">
        <f>Source!O234</f>
        <v>-8859.17</v>
      </c>
      <c r="K242" s="11"/>
      <c r="Q242" s="2">
        <f>ROUND((Source!BZ234/100)*ROUND((Source!AF234*Source!AV234)*Source!I234, 2), 2)</f>
        <v>0</v>
      </c>
      <c r="R242" s="2">
        <f>Source!X234</f>
        <v>0</v>
      </c>
      <c r="S242" s="2">
        <f>ROUND((Source!CA234/100)*ROUND((Source!AF234*Source!AV234)*Source!I234, 2), 2)</f>
        <v>0</v>
      </c>
      <c r="T242" s="2">
        <f>Source!Y234</f>
        <v>0</v>
      </c>
      <c r="U242" s="2">
        <f>ROUND((175/100)*ROUND((Source!AE234*Source!AV234)*Source!I234, 2), 2)</f>
        <v>0</v>
      </c>
      <c r="V242" s="2">
        <f>ROUND((108/100)*ROUND(Source!CS234*Source!I234, 2), 2)</f>
        <v>0</v>
      </c>
    </row>
    <row r="243" spans="1:32" ht="28" x14ac:dyDescent="0.35">
      <c r="A243" s="9" t="s">
        <v>41</v>
      </c>
      <c r="B243" s="9" t="str">
        <f>Source!F235</f>
        <v>21.3-3-34</v>
      </c>
      <c r="C243" s="9" t="str">
        <f>Source!G235</f>
        <v>Смеси асфальтобетонные дорожные горячие песчаные, тип Д, марка II</v>
      </c>
      <c r="D243" s="10" t="str">
        <f>Source!H235</f>
        <v>т</v>
      </c>
      <c r="E243" s="3">
        <f>Source!I235</f>
        <v>4.9013999999999998</v>
      </c>
      <c r="F243" s="11">
        <f>Source!AK235</f>
        <v>2954.24</v>
      </c>
      <c r="G243" s="18" t="s">
        <v>30</v>
      </c>
      <c r="H243" s="3">
        <f>Source!AW235</f>
        <v>1</v>
      </c>
      <c r="I243" s="3">
        <f>IF(Source!BC235&lt;&gt; 0, Source!BC235, 1)</f>
        <v>1</v>
      </c>
      <c r="J243" s="11">
        <f>Source!O235</f>
        <v>14479.91</v>
      </c>
      <c r="K243" s="11"/>
      <c r="Q243" s="2">
        <f>ROUND((Source!BZ235/100)*ROUND((Source!AF235*Source!AV235)*Source!I235, 2), 2)</f>
        <v>0</v>
      </c>
      <c r="R243" s="2">
        <f>Source!X235</f>
        <v>0</v>
      </c>
      <c r="S243" s="2">
        <f>ROUND((Source!CA235/100)*ROUND((Source!AF235*Source!AV235)*Source!I235, 2), 2)</f>
        <v>0</v>
      </c>
      <c r="T243" s="2">
        <f>Source!Y235</f>
        <v>0</v>
      </c>
      <c r="U243" s="2">
        <f>ROUND((175/100)*ROUND((Source!AE235*Source!AV235)*Source!I235, 2), 2)</f>
        <v>0</v>
      </c>
      <c r="V243" s="2">
        <f>ROUND((108/100)*ROUND(Source!CS235*Source!I235, 2), 2)</f>
        <v>0</v>
      </c>
    </row>
    <row r="244" spans="1:32" ht="14.5" x14ac:dyDescent="0.35">
      <c r="A244" s="9"/>
      <c r="B244" s="9"/>
      <c r="C244" s="9" t="s">
        <v>23</v>
      </c>
      <c r="D244" s="10" t="s">
        <v>24</v>
      </c>
      <c r="E244" s="3">
        <f>Source!AT233</f>
        <v>70</v>
      </c>
      <c r="F244" s="11"/>
      <c r="G244" s="12"/>
      <c r="H244" s="3"/>
      <c r="I244" s="3"/>
      <c r="J244" s="11">
        <f>SUM(R236:R243)</f>
        <v>726.98</v>
      </c>
      <c r="K244" s="11"/>
    </row>
    <row r="245" spans="1:32" ht="14.5" x14ac:dyDescent="0.35">
      <c r="A245" s="9"/>
      <c r="B245" s="9"/>
      <c r="C245" s="9" t="s">
        <v>25</v>
      </c>
      <c r="D245" s="10" t="s">
        <v>24</v>
      </c>
      <c r="E245" s="3">
        <f>Source!AU233</f>
        <v>10</v>
      </c>
      <c r="F245" s="11"/>
      <c r="G245" s="12"/>
      <c r="H245" s="3"/>
      <c r="I245" s="3"/>
      <c r="J245" s="11">
        <f>SUM(T236:T244)</f>
        <v>103.85</v>
      </c>
      <c r="K245" s="11"/>
    </row>
    <row r="246" spans="1:32" ht="14.5" x14ac:dyDescent="0.35">
      <c r="A246" s="9"/>
      <c r="B246" s="9"/>
      <c r="C246" s="9" t="s">
        <v>26</v>
      </c>
      <c r="D246" s="10" t="s">
        <v>24</v>
      </c>
      <c r="E246" s="3">
        <f>108</f>
        <v>108</v>
      </c>
      <c r="F246" s="11"/>
      <c r="G246" s="12"/>
      <c r="H246" s="3"/>
      <c r="I246" s="3"/>
      <c r="J246" s="11">
        <f>SUM(V236:V245)</f>
        <v>224.67</v>
      </c>
      <c r="K246" s="11"/>
    </row>
    <row r="247" spans="1:32" ht="14.5" x14ac:dyDescent="0.35">
      <c r="A247" s="9"/>
      <c r="B247" s="9"/>
      <c r="C247" s="9" t="s">
        <v>27</v>
      </c>
      <c r="D247" s="10" t="s">
        <v>28</v>
      </c>
      <c r="E247" s="3">
        <f>Source!AQ233</f>
        <v>10.3</v>
      </c>
      <c r="F247" s="11"/>
      <c r="G247" s="12" t="str">
        <f>Source!DI233</f>
        <v/>
      </c>
      <c r="H247" s="3">
        <f>Source!AV233</f>
        <v>1</v>
      </c>
      <c r="I247" s="3"/>
      <c r="J247" s="11"/>
      <c r="K247" s="11">
        <f>Source!U233</f>
        <v>4.33</v>
      </c>
    </row>
    <row r="248" spans="1:32" ht="14" x14ac:dyDescent="0.3">
      <c r="A248" s="15"/>
      <c r="B248" s="15"/>
      <c r="C248" s="15"/>
      <c r="D248" s="15"/>
      <c r="E248" s="15"/>
      <c r="F248" s="15"/>
      <c r="G248" s="15"/>
      <c r="H248" s="15"/>
      <c r="I248" s="76">
        <f>J238+J239+J241+J244+J245+J246+SUM(J242:J243)</f>
        <v>17961.89</v>
      </c>
      <c r="J248" s="76"/>
      <c r="K248" s="16">
        <f>IF(Source!I233&lt;&gt;0, ROUND(I248/Source!I233, 2), 0)</f>
        <v>42766.400000000001</v>
      </c>
      <c r="P248" s="17">
        <f>I248</f>
        <v>17961.89</v>
      </c>
    </row>
    <row r="250" spans="1:32" ht="14" x14ac:dyDescent="0.3">
      <c r="A250" s="67" t="str">
        <f>CONCATENATE("Итого по разделу: ",IF(Source!G237&lt;&gt;"Новый раздел", Source!G237, ""))</f>
        <v>Итого по разделу: Устройство дорожно-тропиночной сети с асфальтобетонным покрытием -42 м2</v>
      </c>
      <c r="B250" s="67"/>
      <c r="C250" s="67"/>
      <c r="D250" s="67"/>
      <c r="E250" s="67"/>
      <c r="F250" s="67"/>
      <c r="G250" s="67"/>
      <c r="H250" s="67"/>
      <c r="I250" s="68">
        <f>SUM(P169:P249)</f>
        <v>42958.239999999998</v>
      </c>
      <c r="J250" s="69"/>
      <c r="K250" s="19"/>
      <c r="AF250" s="20" t="str">
        <f>CONCATENATE("Итого по разделу: ",IF(Source!G237&lt;&gt;"Новый раздел", Source!G237, ""))</f>
        <v>Итого по разделу: Устройство дорожно-тропиночной сети с асфальтобетонным покрытием -42 м2</v>
      </c>
    </row>
    <row r="253" spans="1:32" ht="14" x14ac:dyDescent="0.3">
      <c r="A253" s="67" t="str">
        <f>CONCATENATE("Итого по локальной смете: ",IF(Source!G267&lt;&gt;"Новая локальная смета", Source!G267, ""))</f>
        <v xml:space="preserve">Итого по локальной смете: </v>
      </c>
      <c r="B253" s="67"/>
      <c r="C253" s="67"/>
      <c r="D253" s="67"/>
      <c r="E253" s="67"/>
      <c r="F253" s="67"/>
      <c r="G253" s="67"/>
      <c r="H253" s="67"/>
      <c r="I253" s="68">
        <f>SUM(P22:P252)</f>
        <v>2858463.37</v>
      </c>
      <c r="J253" s="69"/>
      <c r="K253" s="19"/>
    </row>
    <row r="254" spans="1:32" ht="14" x14ac:dyDescent="0.3">
      <c r="A254" s="20"/>
      <c r="B254" s="20"/>
      <c r="C254" s="19" t="s">
        <v>42</v>
      </c>
      <c r="D254" s="20"/>
      <c r="E254" s="20"/>
      <c r="F254" s="20"/>
      <c r="G254" s="20"/>
      <c r="H254" s="20"/>
      <c r="I254" s="21"/>
      <c r="J254" s="22">
        <f>I253*0.2</f>
        <v>571692.67000000004</v>
      </c>
      <c r="K254" s="19"/>
    </row>
    <row r="255" spans="1:32" ht="14" x14ac:dyDescent="0.3">
      <c r="A255" s="20"/>
      <c r="B255" s="20"/>
      <c r="C255" s="19" t="s">
        <v>43</v>
      </c>
      <c r="D255" s="20"/>
      <c r="E255" s="20"/>
      <c r="F255" s="20"/>
      <c r="G255" s="20"/>
      <c r="H255" s="20"/>
      <c r="I255" s="21"/>
      <c r="J255" s="22">
        <f>I253*1.2</f>
        <v>3430156.04</v>
      </c>
      <c r="K255" s="19"/>
    </row>
    <row r="256" spans="1:32" ht="14" x14ac:dyDescent="0.3">
      <c r="A256" s="20"/>
      <c r="B256" s="20"/>
      <c r="C256" s="19" t="s">
        <v>44</v>
      </c>
      <c r="D256" s="20"/>
      <c r="E256" s="20"/>
      <c r="F256" s="20"/>
      <c r="G256" s="20"/>
      <c r="H256" s="20"/>
      <c r="I256" s="21"/>
      <c r="J256" s="22">
        <v>3123569.94</v>
      </c>
      <c r="K256" s="19"/>
    </row>
    <row r="257" spans="1:11" ht="14" x14ac:dyDescent="0.3">
      <c r="A257" s="20"/>
      <c r="B257" s="20"/>
      <c r="C257" s="19" t="s">
        <v>45</v>
      </c>
      <c r="D257" s="20"/>
      <c r="E257" s="20"/>
      <c r="F257" s="20"/>
      <c r="G257" s="20"/>
      <c r="H257" s="20"/>
      <c r="I257" s="21"/>
      <c r="J257" s="22">
        <f>J256*0.05</f>
        <v>156178.5</v>
      </c>
      <c r="K257" s="19"/>
    </row>
    <row r="258" spans="1:11" ht="14" x14ac:dyDescent="0.3">
      <c r="A258" s="20"/>
      <c r="B258" s="20"/>
      <c r="C258" s="19" t="s">
        <v>46</v>
      </c>
      <c r="D258" s="20"/>
      <c r="E258" s="20"/>
      <c r="F258" s="20"/>
      <c r="G258" s="20"/>
      <c r="H258" s="20"/>
      <c r="I258" s="21"/>
      <c r="J258" s="22">
        <f>J256*0.95</f>
        <v>2967391.44</v>
      </c>
      <c r="K258" s="19"/>
    </row>
    <row r="259" spans="1:11" ht="14" x14ac:dyDescent="0.3">
      <c r="A259" s="20"/>
      <c r="B259" s="20"/>
      <c r="C259" s="20"/>
      <c r="D259" s="20"/>
      <c r="E259" s="20"/>
      <c r="F259" s="20"/>
      <c r="G259" s="20"/>
      <c r="H259" s="20"/>
      <c r="I259" s="21"/>
      <c r="J259" s="23"/>
      <c r="K259" s="19"/>
    </row>
  </sheetData>
  <mergeCells count="62">
    <mergeCell ref="A8:K8"/>
    <mergeCell ref="A9:K9"/>
    <mergeCell ref="A11:K11"/>
    <mergeCell ref="A13:K13"/>
    <mergeCell ref="I60:J60"/>
    <mergeCell ref="A14:K14"/>
    <mergeCell ref="A17:A19"/>
    <mergeCell ref="B17:B19"/>
    <mergeCell ref="C17:C19"/>
    <mergeCell ref="D17:D19"/>
    <mergeCell ref="E17:E19"/>
    <mergeCell ref="F17:F19"/>
    <mergeCell ref="G17:G19"/>
    <mergeCell ref="H17:H19"/>
    <mergeCell ref="I17:I19"/>
    <mergeCell ref="J17:J19"/>
    <mergeCell ref="A22:K22"/>
    <mergeCell ref="A24:K24"/>
    <mergeCell ref="I35:J35"/>
    <mergeCell ref="I46:J46"/>
    <mergeCell ref="A125:H125"/>
    <mergeCell ref="I125:J125"/>
    <mergeCell ref="I64:J64"/>
    <mergeCell ref="I68:J68"/>
    <mergeCell ref="I81:J81"/>
    <mergeCell ref="A83:H83"/>
    <mergeCell ref="I83:J83"/>
    <mergeCell ref="A86:K86"/>
    <mergeCell ref="I98:J98"/>
    <mergeCell ref="I102:J102"/>
    <mergeCell ref="I106:J106"/>
    <mergeCell ref="I115:J115"/>
    <mergeCell ref="I123:J123"/>
    <mergeCell ref="I207:J207"/>
    <mergeCell ref="A129:K129"/>
    <mergeCell ref="I140:J140"/>
    <mergeCell ref="I148:J148"/>
    <mergeCell ref="I156:J156"/>
    <mergeCell ref="I164:J164"/>
    <mergeCell ref="A166:H166"/>
    <mergeCell ref="I166:J166"/>
    <mergeCell ref="A169:K169"/>
    <mergeCell ref="I179:J179"/>
    <mergeCell ref="I186:J186"/>
    <mergeCell ref="I196:J196"/>
    <mergeCell ref="I203:J203"/>
    <mergeCell ref="A253:H253"/>
    <mergeCell ref="I253:J253"/>
    <mergeCell ref="B1:E1"/>
    <mergeCell ref="G1:K1"/>
    <mergeCell ref="B2:E2"/>
    <mergeCell ref="G2:K2"/>
    <mergeCell ref="B4:E4"/>
    <mergeCell ref="G4:K4"/>
    <mergeCell ref="B5:E5"/>
    <mergeCell ref="G5:K5"/>
    <mergeCell ref="I211:J211"/>
    <mergeCell ref="I222:J222"/>
    <mergeCell ref="I235:J235"/>
    <mergeCell ref="I248:J248"/>
    <mergeCell ref="A250:H250"/>
    <mergeCell ref="I250:J250"/>
  </mergeCells>
  <pageMargins left="0.4" right="0.2" top="0.2" bottom="0.4" header="0.2" footer="0.2"/>
  <pageSetup paperSize="9" scale="65" fitToHeight="0" orientation="portrait" r:id="rId1"/>
  <headerFooter>
    <oddHeader>&amp;L&amp;8</oddHead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5CC9C-EB61-4599-8175-E5FE5DF89AFE}">
  <sheetPr>
    <pageSetUpPr fitToPage="1"/>
  </sheetPr>
  <dimension ref="A1:AF78"/>
  <sheetViews>
    <sheetView zoomScaleNormal="100" workbookViewId="0">
      <selection activeCell="J298" sqref="J298"/>
    </sheetView>
  </sheetViews>
  <sheetFormatPr defaultColWidth="9.1796875" defaultRowHeight="12.5" x14ac:dyDescent="0.25"/>
  <cols>
    <col min="1" max="1" width="6.7265625" style="2" customWidth="1"/>
    <col min="2" max="2" width="75.7265625" style="2" customWidth="1"/>
    <col min="3" max="5" width="15.7265625" style="2" customWidth="1"/>
    <col min="6" max="29" width="9.1796875" style="2"/>
    <col min="30" max="31" width="0" style="2" hidden="1" customWidth="1"/>
    <col min="32" max="32" width="129.7265625" style="2" hidden="1" customWidth="1"/>
    <col min="33" max="16384" width="9.1796875" style="2"/>
  </cols>
  <sheetData>
    <row r="1" spans="1:5" x14ac:dyDescent="0.25">
      <c r="A1" s="1" t="str">
        <f>'Source (3)'!B1</f>
        <v>Smeta.RU  (495) 974-1589</v>
      </c>
    </row>
    <row r="2" spans="1:5" ht="14" x14ac:dyDescent="0.3">
      <c r="C2" s="4"/>
      <c r="D2" s="4"/>
    </row>
    <row r="3" spans="1:5" ht="14" x14ac:dyDescent="0.3">
      <c r="C3" s="4"/>
      <c r="D3" s="23" t="s">
        <v>0</v>
      </c>
    </row>
    <row r="4" spans="1:5" ht="14" x14ac:dyDescent="0.3">
      <c r="C4" s="23"/>
      <c r="D4" s="23"/>
    </row>
    <row r="5" spans="1:5" ht="14" x14ac:dyDescent="0.3">
      <c r="C5" s="69" t="s">
        <v>47</v>
      </c>
      <c r="D5" s="69"/>
    </row>
    <row r="6" spans="1:5" ht="14" x14ac:dyDescent="0.3">
      <c r="C6" s="23"/>
      <c r="D6" s="23"/>
    </row>
    <row r="7" spans="1:5" ht="14" x14ac:dyDescent="0.3">
      <c r="C7" s="69" t="s">
        <v>47</v>
      </c>
      <c r="D7" s="69"/>
    </row>
    <row r="8" spans="1:5" ht="14" x14ac:dyDescent="0.3">
      <c r="C8" s="23"/>
      <c r="D8" s="23"/>
    </row>
    <row r="9" spans="1:5" ht="14" x14ac:dyDescent="0.3">
      <c r="C9" s="23" t="s">
        <v>48</v>
      </c>
      <c r="D9" s="4"/>
    </row>
    <row r="10" spans="1:5" ht="14" x14ac:dyDescent="0.3">
      <c r="A10" s="4"/>
      <c r="B10" s="4"/>
      <c r="C10" s="4"/>
      <c r="D10" s="4"/>
      <c r="E10" s="4"/>
    </row>
    <row r="11" spans="1:5" ht="15.5" x14ac:dyDescent="0.35">
      <c r="A11" s="86" t="str">
        <f>CONCATENATE("Дефектный акт ", IF('Source (3)'!AN15&lt;&gt;"", 'Source (3)'!AN15," "))</f>
        <v xml:space="preserve">Дефектный акт  </v>
      </c>
      <c r="B11" s="86"/>
      <c r="C11" s="86"/>
      <c r="D11" s="86"/>
      <c r="E11" s="4"/>
    </row>
    <row r="12" spans="1:5" ht="14" x14ac:dyDescent="0.3">
      <c r="A12" s="87" t="str">
        <f>CONCATENATE("На капитальный ремонт ", 'Source (3)'!F12, " ", 'Source (3)'!G12)</f>
        <v>На капитальный ремонт Г43 в ценах 2022г._(Копия) Шоссейная д.20</v>
      </c>
      <c r="B12" s="87"/>
      <c r="C12" s="87"/>
      <c r="D12" s="87"/>
      <c r="E12" s="4"/>
    </row>
    <row r="13" spans="1:5" ht="14" x14ac:dyDescent="0.3">
      <c r="A13" s="4"/>
      <c r="B13" s="4"/>
      <c r="C13" s="4"/>
      <c r="D13" s="4"/>
      <c r="E13" s="4"/>
    </row>
    <row r="14" spans="1:5" ht="14" x14ac:dyDescent="0.3">
      <c r="A14" s="4"/>
      <c r="B14" s="24" t="s">
        <v>49</v>
      </c>
      <c r="C14" s="4"/>
      <c r="D14" s="4"/>
      <c r="E14" s="4"/>
    </row>
    <row r="15" spans="1:5" ht="14" x14ac:dyDescent="0.3">
      <c r="A15" s="4"/>
      <c r="B15" s="24" t="s">
        <v>50</v>
      </c>
      <c r="C15" s="4"/>
      <c r="D15" s="4"/>
      <c r="E15" s="4"/>
    </row>
    <row r="16" spans="1:5" ht="14" x14ac:dyDescent="0.3">
      <c r="A16" s="4"/>
      <c r="B16" s="24" t="s">
        <v>51</v>
      </c>
      <c r="C16" s="4"/>
      <c r="D16" s="4"/>
      <c r="E16" s="4"/>
    </row>
    <row r="17" spans="1:5" ht="28" x14ac:dyDescent="0.25">
      <c r="A17" s="8" t="s">
        <v>52</v>
      </c>
      <c r="B17" s="8" t="s">
        <v>8</v>
      </c>
      <c r="C17" s="8" t="s">
        <v>9</v>
      </c>
      <c r="D17" s="8" t="s">
        <v>53</v>
      </c>
      <c r="E17" s="25" t="s">
        <v>54</v>
      </c>
    </row>
    <row r="18" spans="1:5" ht="14" x14ac:dyDescent="0.3">
      <c r="A18" s="26">
        <v>1</v>
      </c>
      <c r="B18" s="26">
        <v>2</v>
      </c>
      <c r="C18" s="26">
        <v>3</v>
      </c>
      <c r="D18" s="26">
        <v>4</v>
      </c>
      <c r="E18" s="26">
        <v>5</v>
      </c>
    </row>
    <row r="19" spans="1:5" ht="16.5" x14ac:dyDescent="0.35">
      <c r="A19" s="85" t="str">
        <f>CONCATENATE("Локальная смета: ", 'Source (3)'!G20)</f>
        <v>Локальная смета: Новая локальная смета</v>
      </c>
      <c r="B19" s="85"/>
      <c r="C19" s="85"/>
      <c r="D19" s="85"/>
      <c r="E19" s="85"/>
    </row>
    <row r="20" spans="1:5" ht="16.5" x14ac:dyDescent="0.35">
      <c r="A20" s="85" t="str">
        <f>CONCATENATE("Раздел: ", 'Source (3)'!G24)</f>
        <v>Раздел: Ремонт дорожно-тропиночной сети с асфальтобетонным покрытием  - 1800 м2</v>
      </c>
      <c r="B20" s="85"/>
      <c r="C20" s="85"/>
      <c r="D20" s="85"/>
      <c r="E20" s="85"/>
    </row>
    <row r="21" spans="1:5" ht="42" x14ac:dyDescent="0.3">
      <c r="A21" s="27">
        <v>1</v>
      </c>
      <c r="B21" s="28" t="str">
        <f>'Source (3)'!G28</f>
        <v>Срезка поверхностного слоя асфальтобетонных дорожных покрытий методом холодного фрезерования при ширине барабана фрезы 2000 (2100) мм толщиной 6 см, без препятствий</v>
      </c>
      <c r="C21" s="29" t="str">
        <f>'Source (3)'!H28</f>
        <v>100 м2</v>
      </c>
      <c r="D21" s="30">
        <f>'Source (3)'!I28</f>
        <v>18</v>
      </c>
      <c r="E21" s="28"/>
    </row>
    <row r="22" spans="1:5" ht="42" x14ac:dyDescent="0.3">
      <c r="A22" s="27">
        <v>2</v>
      </c>
      <c r="B22" s="28" t="str">
        <f>'Source (3)'!G29</f>
        <v>Срезка поверхностного слоя асфальтобетонных дорожных покрытий методом холодного фрезерования при ширине барабана фрезы 2000 (2100) мм, добавляется или исключается на 1 см</v>
      </c>
      <c r="C22" s="29" t="str">
        <f>'Source (3)'!H29</f>
        <v>100 м2</v>
      </c>
      <c r="D22" s="30">
        <f>'Source (3)'!I29</f>
        <v>-18</v>
      </c>
      <c r="E22" s="28"/>
    </row>
    <row r="23" spans="1:5" ht="28" x14ac:dyDescent="0.3">
      <c r="A23" s="27">
        <v>3</v>
      </c>
      <c r="B23" s="28" t="str">
        <f>'Source (3)'!G30</f>
        <v>Исправление профиля щебеночных оснований с добавлением нового материала (1800м2х0,3=540м2)</v>
      </c>
      <c r="C23" s="29" t="str">
        <f>'Source (3)'!H30</f>
        <v>1000 м2</v>
      </c>
      <c r="D23" s="30">
        <f>'Source (3)'!I30</f>
        <v>0.54</v>
      </c>
      <c r="E23" s="28"/>
    </row>
    <row r="24" spans="1:5" ht="28" x14ac:dyDescent="0.3">
      <c r="A24" s="27">
        <v>3.1</v>
      </c>
      <c r="B24" s="28" t="str">
        <f>'Source (3)'!G31</f>
        <v>Щебень из естественного камня для строительных работ, марка 1200-800, фракция 10-20 мм</v>
      </c>
      <c r="C24" s="29" t="str">
        <f>'Source (3)'!H31</f>
        <v>м3</v>
      </c>
      <c r="D24" s="30">
        <f>'Source (3)'!I31</f>
        <v>-6.21</v>
      </c>
      <c r="E24" s="28"/>
    </row>
    <row r="25" spans="1:5" ht="28" x14ac:dyDescent="0.3">
      <c r="A25" s="27">
        <v>3.2</v>
      </c>
      <c r="B25" s="28" t="str">
        <f>'Source (3)'!G32</f>
        <v>Щебень из естественного камня для строительных работ, марка 1200-800, фракция 20-40 мм</v>
      </c>
      <c r="C25" s="29" t="str">
        <f>'Source (3)'!H32</f>
        <v>м3</v>
      </c>
      <c r="D25" s="30">
        <f>'Source (3)'!I32</f>
        <v>-29.7</v>
      </c>
      <c r="E25" s="28"/>
    </row>
    <row r="26" spans="1:5" ht="28" x14ac:dyDescent="0.3">
      <c r="A26" s="27">
        <v>3.3</v>
      </c>
      <c r="B26" s="28" t="str">
        <f>'Source (3)'!G33</f>
        <v>Щебень из естественного камня для строительных работ, марка 600-400, фракция 20-40 мм</v>
      </c>
      <c r="C26" s="29" t="str">
        <f>'Source (3)'!H33</f>
        <v>м3</v>
      </c>
      <c r="D26" s="30">
        <f>'Source (3)'!I33</f>
        <v>29.7</v>
      </c>
      <c r="E26" s="28"/>
    </row>
    <row r="27" spans="1:5" ht="42" x14ac:dyDescent="0.3">
      <c r="A27" s="27">
        <v>4</v>
      </c>
      <c r="B27" s="28" t="str">
        <f>'Source (3)'!G34</f>
        <v>Перевозка строительного мусора автосамосвалами грузоподъемностью до 10 т на расстояние 1 км - при механизированной погрузке (1800м2*0,05*2,4т=216т)</v>
      </c>
      <c r="C27" s="29" t="str">
        <f>'Source (3)'!H34</f>
        <v>т</v>
      </c>
      <c r="D27" s="30">
        <f>'Source (3)'!I34</f>
        <v>216</v>
      </c>
      <c r="E27" s="28"/>
    </row>
    <row r="28" spans="1:5" ht="28" x14ac:dyDescent="0.3">
      <c r="A28" s="27">
        <v>5</v>
      </c>
      <c r="B28" s="28" t="str">
        <f>'Source (3)'!G35</f>
        <v>Перевозка строительного мусора автосамосвалами грузоподъемностью до 10 т - добавляется на каждый последующий 1 км до 100 км</v>
      </c>
      <c r="C28" s="29" t="str">
        <f>'Source (3)'!H35</f>
        <v>т</v>
      </c>
      <c r="D28" s="30">
        <f>'Source (3)'!I35</f>
        <v>216</v>
      </c>
      <c r="E28" s="28"/>
    </row>
    <row r="29" spans="1:5" ht="42" x14ac:dyDescent="0.3">
      <c r="A29" s="27">
        <v>6</v>
      </c>
      <c r="B29" s="28" t="str">
        <f>'Source (3)'!G36</f>
        <v>Устройство асфальтобетонных покрытий дорожек и тротуаров двухслойных, верхний слой из песчаной асфальтобетонной смеси толщиной 3 см (толщина 5 см)</v>
      </c>
      <c r="C29" s="29" t="str">
        <f>'Source (3)'!H36</f>
        <v>100 м2</v>
      </c>
      <c r="D29" s="30">
        <f>'Source (3)'!I36</f>
        <v>18</v>
      </c>
      <c r="E29" s="28"/>
    </row>
    <row r="30" spans="1:5" ht="14" x14ac:dyDescent="0.3">
      <c r="A30" s="27">
        <v>6.1</v>
      </c>
      <c r="B30" s="28" t="str">
        <f>'Source (3)'!G37</f>
        <v>Смеси асфальтобетонные дорожные горячие песчаные, тип Д, марка III</v>
      </c>
      <c r="C30" s="29" t="str">
        <f>'Source (3)'!H37</f>
        <v>т</v>
      </c>
      <c r="D30" s="30">
        <f>'Source (3)'!I37</f>
        <v>-128.52000000000001</v>
      </c>
      <c r="E30" s="28"/>
    </row>
    <row r="31" spans="1:5" ht="14" x14ac:dyDescent="0.3">
      <c r="A31" s="27">
        <v>6.2</v>
      </c>
      <c r="B31" s="28" t="str">
        <f>'Source (3)'!G38</f>
        <v>Смеси асфальтобетонные дорожные горячие песчаные, тип Д, марка II</v>
      </c>
      <c r="C31" s="29" t="str">
        <f>'Source (3)'!H38</f>
        <v>т</v>
      </c>
      <c r="D31" s="30">
        <f>'Source (3)'!I38</f>
        <v>210.06</v>
      </c>
      <c r="E31" s="28"/>
    </row>
    <row r="32" spans="1:5" ht="16.5" x14ac:dyDescent="0.35">
      <c r="A32" s="85" t="str">
        <f>CONCATENATE("Раздел: ", 'Source (3)'!G80)</f>
        <v>Раздел: Устройство бортового камня</v>
      </c>
      <c r="B32" s="85"/>
      <c r="C32" s="85"/>
      <c r="D32" s="85"/>
      <c r="E32" s="85"/>
    </row>
    <row r="33" spans="1:32" ht="14" x14ac:dyDescent="0.3">
      <c r="A33" s="27">
        <v>7</v>
      </c>
      <c r="B33" s="28" t="str">
        <f>'Source (3)'!G84</f>
        <v>Замена бортового камня бетонного во дворовых территориях</v>
      </c>
      <c r="C33" s="29" t="str">
        <f>'Source (3)'!H84</f>
        <v>м</v>
      </c>
      <c r="D33" s="30">
        <f>'Source (3)'!I84</f>
        <v>697</v>
      </c>
      <c r="E33" s="28"/>
    </row>
    <row r="34" spans="1:32" ht="14" x14ac:dyDescent="0.3">
      <c r="A34" s="27">
        <v>7.1</v>
      </c>
      <c r="B34" s="28" t="str">
        <f>'Source (3)'!G85</f>
        <v>Растворы цементные, марка 100</v>
      </c>
      <c r="C34" s="29" t="str">
        <f>'Source (3)'!H85</f>
        <v>м3</v>
      </c>
      <c r="D34" s="30">
        <f>'Source (3)'!I85</f>
        <v>-0.41820000000000002</v>
      </c>
      <c r="E34" s="28"/>
    </row>
    <row r="35" spans="1:32" ht="14" x14ac:dyDescent="0.3">
      <c r="A35" s="27">
        <v>7.2</v>
      </c>
      <c r="B35" s="28" t="str">
        <f>'Source (3)'!G86</f>
        <v>Масса мусора</v>
      </c>
      <c r="C35" s="29" t="str">
        <f>'Source (3)'!H86</f>
        <v>т</v>
      </c>
      <c r="D35" s="30">
        <f>'Source (3)'!I86</f>
        <v>-171.46199999999999</v>
      </c>
      <c r="E35" s="28"/>
    </row>
    <row r="36" spans="1:32" ht="28" x14ac:dyDescent="0.3">
      <c r="A36" s="27">
        <v>8</v>
      </c>
      <c r="B36" s="28" t="str">
        <f>'Source (3)'!G87</f>
        <v>Перевозка строительного мусора автосамосвалами грузоподъемностью до 10 т на расстояние 1 км - при механизированной погрузке</v>
      </c>
      <c r="C36" s="29" t="str">
        <f>'Source (3)'!H87</f>
        <v>т</v>
      </c>
      <c r="D36" s="30">
        <f>'Source (3)'!I87</f>
        <v>171.46199999999999</v>
      </c>
      <c r="E36" s="28"/>
    </row>
    <row r="37" spans="1:32" ht="28" x14ac:dyDescent="0.3">
      <c r="A37" s="27">
        <v>9</v>
      </c>
      <c r="B37" s="28" t="str">
        <f>'Source (3)'!G88</f>
        <v>Перевозка строительного мусора автосамосвалами грузоподъемностью до 10 т - добавляется на каждый последующий 1 км до 100 км</v>
      </c>
      <c r="C37" s="29" t="str">
        <f>'Source (3)'!H88</f>
        <v>т</v>
      </c>
      <c r="D37" s="30">
        <f>'Source (3)'!I88</f>
        <v>171.46199999999999</v>
      </c>
      <c r="E37" s="28"/>
    </row>
    <row r="38" spans="1:32" ht="28" x14ac:dyDescent="0.3">
      <c r="A38" s="27">
        <v>10</v>
      </c>
      <c r="B38" s="28" t="str">
        <f>'Source (3)'!G89</f>
        <v>Установка бортовых камней бетонных марки БР 100.30.15 при других видах покрытий</v>
      </c>
      <c r="C38" s="29" t="str">
        <f>'Source (3)'!H89</f>
        <v>100 м</v>
      </c>
      <c r="D38" s="30">
        <f>'Source (3)'!I89</f>
        <v>3.32</v>
      </c>
      <c r="E38" s="28"/>
    </row>
    <row r="39" spans="1:32" ht="14" x14ac:dyDescent="0.3">
      <c r="A39" s="27">
        <v>10.1</v>
      </c>
      <c r="B39" s="28" t="str">
        <f>'Source (3)'!G90</f>
        <v>Растворы цементные, марка 100</v>
      </c>
      <c r="C39" s="29" t="str">
        <f>'Source (3)'!H90</f>
        <v>м3</v>
      </c>
      <c r="D39" s="30">
        <f>'Source (3)'!I90</f>
        <v>-0.19919999999999999</v>
      </c>
      <c r="E39" s="28"/>
    </row>
    <row r="40" spans="1:32" ht="42" x14ac:dyDescent="0.3">
      <c r="A40" s="27">
        <v>11</v>
      </c>
      <c r="B40" s="28" t="str">
        <f>'Source (3)'!G91</f>
        <v>Устройство демпфирующего теплоизоляционного материала типа "Изолонтейп Дор" между бортовыми камнями при установке и ремонте бетонного или гранитного бортового камня</v>
      </c>
      <c r="C40" s="29" t="str">
        <f>'Source (3)'!H91</f>
        <v>100 шт.</v>
      </c>
      <c r="D40" s="30">
        <f>'Source (3)'!I91</f>
        <v>10.29</v>
      </c>
      <c r="E40" s="28"/>
    </row>
    <row r="41" spans="1:32" ht="16.5" x14ac:dyDescent="0.35">
      <c r="A41" s="85" t="str">
        <f>CONCATENATE("Раздел: ", 'Source (3)'!G133)</f>
        <v>Раздел: Устройство малых архитектурных форм</v>
      </c>
      <c r="B41" s="85"/>
      <c r="C41" s="85"/>
      <c r="D41" s="85"/>
      <c r="E41" s="85"/>
    </row>
    <row r="42" spans="1:32" ht="42" x14ac:dyDescent="0.3">
      <c r="A42" s="27">
        <v>12</v>
      </c>
      <c r="B42" s="28" t="str">
        <f>'Source (3)'!G137</f>
        <v>Диван ДП-6 деревянный на каркасе из металлического уголка с ножками из металлической трубы, окрашенный цветными эмалями, размеры 2000х900х650 мм</v>
      </c>
      <c r="C42" s="29" t="str">
        <f>'Source (3)'!H137</f>
        <v>шт.</v>
      </c>
      <c r="D42" s="30">
        <f>'Source (3)'!I137</f>
        <v>0</v>
      </c>
      <c r="E42" s="28"/>
    </row>
    <row r="43" spans="1:32" ht="28" x14ac:dyDescent="0.3">
      <c r="A43" s="27">
        <v>13</v>
      </c>
      <c r="B43" s="28" t="str">
        <f>'Source (3)'!G138</f>
        <v>Урна опрокидывающаяся металлическая круглая на ножках из стальной трубы, 300х300х950 мм</v>
      </c>
      <c r="C43" s="29" t="str">
        <f>'Source (3)'!H138</f>
        <v>шт.</v>
      </c>
      <c r="D43" s="30">
        <f>'Source (3)'!I138</f>
        <v>0</v>
      </c>
      <c r="E43" s="28"/>
    </row>
    <row r="44" spans="1:32" ht="33" x14ac:dyDescent="0.35">
      <c r="A44" s="85" t="str">
        <f>CONCATENATE("Раздел: ", 'Source (3)'!G180)</f>
        <v>Раздел: Устройство дорожно-тропиночной сети с асфальтобетонным покрытием -205 м2  ( в том числе площадка отдыха- 65,0 м2, дорожки -140м2)</v>
      </c>
      <c r="B44" s="85"/>
      <c r="C44" s="85"/>
      <c r="D44" s="85"/>
      <c r="E44" s="85"/>
      <c r="AF44" s="50" t="str">
        <f>CONCATENATE("Раздел: ", 'Source (3)'!G180)</f>
        <v>Раздел: Устройство дорожно-тропиночной сети с асфальтобетонным покрытием -205 м2  ( в том числе площадка отдыха- 65,0 м2, дорожки -140м2)</v>
      </c>
    </row>
    <row r="45" spans="1:32" ht="28" x14ac:dyDescent="0.3">
      <c r="A45" s="27">
        <v>14</v>
      </c>
      <c r="B45" s="28" t="str">
        <f>'Source (3)'!G184</f>
        <v>Разборка тротуаров и дорожек из плит с отноской и укладкой в штабель (65м2х0,07=4,55м3х2,4т=10,92т)</v>
      </c>
      <c r="C45" s="29" t="str">
        <f>'Source (3)'!H184</f>
        <v>100 м2</v>
      </c>
      <c r="D45" s="30">
        <f>'Source (3)'!I184</f>
        <v>0.10920000000000001</v>
      </c>
      <c r="E45" s="28"/>
    </row>
    <row r="46" spans="1:32" ht="14" x14ac:dyDescent="0.3">
      <c r="A46" s="27">
        <v>15</v>
      </c>
      <c r="B46" s="28" t="str">
        <f>'Source (3)'!G185</f>
        <v>Разборка покрытий и оснований щебеночных (65х0,2=13 м3х1,8т=23,4т)</v>
      </c>
      <c r="C46" s="29" t="str">
        <f>'Source (3)'!H185</f>
        <v>100 м3</v>
      </c>
      <c r="D46" s="30">
        <f>'Source (3)'!I185</f>
        <v>0.23400000000000001</v>
      </c>
      <c r="E46" s="28"/>
    </row>
    <row r="47" spans="1:32" ht="28" x14ac:dyDescent="0.3">
      <c r="A47" s="27">
        <v>16</v>
      </c>
      <c r="B47" s="28" t="str">
        <f>'Source (3)'!G186</f>
        <v>Погрузка и выгрузка вручную строительного мусора на транспортные средства  (10,92т+23,4т=34,32тх0,1=3,432т)</v>
      </c>
      <c r="C47" s="29" t="str">
        <f>'Source (3)'!H186</f>
        <v>т</v>
      </c>
      <c r="D47" s="30">
        <f>'Source (3)'!I186</f>
        <v>3.4319999999999999</v>
      </c>
      <c r="E47" s="28"/>
    </row>
    <row r="48" spans="1:32" ht="28" x14ac:dyDescent="0.3">
      <c r="A48" s="27">
        <v>17</v>
      </c>
      <c r="B48" s="28" t="str">
        <f>'Source (3)'!G187</f>
        <v>Механизированная погрузка строительного мусора в автомобили-самосвалы (10,92т+23,4т=34,32тх0,9=30,888т)</v>
      </c>
      <c r="C48" s="29" t="str">
        <f>'Source (3)'!H187</f>
        <v>т</v>
      </c>
      <c r="D48" s="30">
        <f>'Source (3)'!I187</f>
        <v>30.888000000000002</v>
      </c>
      <c r="E48" s="28"/>
    </row>
    <row r="49" spans="1:5" ht="28" x14ac:dyDescent="0.3">
      <c r="A49" s="27">
        <v>18</v>
      </c>
      <c r="B49" s="28" t="str">
        <f>'Source (3)'!G188</f>
        <v>Перевозка строительного мусора автосамосвалами грузоподъемностью до 10 т на расстояние 1 км - при погрузке вручную</v>
      </c>
      <c r="C49" s="29" t="str">
        <f>'Source (3)'!H188</f>
        <v>т</v>
      </c>
      <c r="D49" s="30">
        <f>'Source (3)'!I188</f>
        <v>3.4319999999999999</v>
      </c>
      <c r="E49" s="28"/>
    </row>
    <row r="50" spans="1:5" ht="28" x14ac:dyDescent="0.3">
      <c r="A50" s="27">
        <v>19</v>
      </c>
      <c r="B50" s="28" t="str">
        <f>'Source (3)'!G189</f>
        <v>Перевозка строительного мусора автосамосвалами грузоподъемностью до 10 т на расстояние 1 км - при механизированной погрузке</v>
      </c>
      <c r="C50" s="29" t="str">
        <f>'Source (3)'!H189</f>
        <v>т</v>
      </c>
      <c r="D50" s="30">
        <f>'Source (3)'!I189</f>
        <v>30.888000000000002</v>
      </c>
      <c r="E50" s="28"/>
    </row>
    <row r="51" spans="1:5" ht="28" x14ac:dyDescent="0.3">
      <c r="A51" s="27">
        <v>20</v>
      </c>
      <c r="B51" s="28" t="str">
        <f>'Source (3)'!G190</f>
        <v>Перевозка строительного мусора автосамосвалами грузоподъемностью до 10 т - добавляется на каждый последующий 1 км до 100 км</v>
      </c>
      <c r="C51" s="29" t="str">
        <f>'Source (3)'!H190</f>
        <v>т</v>
      </c>
      <c r="D51" s="30">
        <f>'Source (3)'!I190</f>
        <v>34.32</v>
      </c>
      <c r="E51" s="28"/>
    </row>
    <row r="52" spans="1:5" ht="42" x14ac:dyDescent="0.3">
      <c r="A52" s="27">
        <v>21</v>
      </c>
      <c r="B52" s="28" t="str">
        <f>'Source (3)'!G191</f>
        <v>Разработка грунта с погрузкой на автомобили-самосвалы экскаваторами с ковшом вместимостью 0,5 м3, группа грунтов 1-3  (140 м2х0,25=35 м3х0,9=31,5м3)</v>
      </c>
      <c r="C52" s="29" t="str">
        <f>'Source (3)'!H191</f>
        <v>100 м3</v>
      </c>
      <c r="D52" s="30">
        <f>'Source (3)'!I191</f>
        <v>0.315</v>
      </c>
      <c r="E52" s="28"/>
    </row>
    <row r="53" spans="1:5" ht="28" x14ac:dyDescent="0.3">
      <c r="A53" s="27">
        <v>22</v>
      </c>
      <c r="B53" s="28" t="str">
        <f>'Source (3)'!G192</f>
        <v>Разработка грунта вручную в траншеях глубиной до 2 м без креплений с откосами, группа грунтов 1-3   (140 м2х0,25=35 м3х0,1=3,5м3)</v>
      </c>
      <c r="C53" s="29" t="str">
        <f>'Source (3)'!H192</f>
        <v>100 м3</v>
      </c>
      <c r="D53" s="30">
        <f>'Source (3)'!I192</f>
        <v>3.5000000000000003E-2</v>
      </c>
      <c r="E53" s="28"/>
    </row>
    <row r="54" spans="1:5" ht="42" x14ac:dyDescent="0.3">
      <c r="A54" s="27">
        <v>23</v>
      </c>
      <c r="B54" s="28" t="str">
        <f>'Source (3)'!G193</f>
        <v>Разработка грунта с погрузкой на автомобили-самосвалы экскаваторами с ковшом вместимостью 0,5 м3, группа грунтов 1-3  (3,5м3*0,9=3,15м3-погрузка грунта разработанного вручную)</v>
      </c>
      <c r="C54" s="29" t="str">
        <f>'Source (3)'!H193</f>
        <v>100 м3</v>
      </c>
      <c r="D54" s="30">
        <f>'Source (3)'!I193</f>
        <v>3.15E-2</v>
      </c>
      <c r="E54" s="28"/>
    </row>
    <row r="55" spans="1:5" ht="28" x14ac:dyDescent="0.3">
      <c r="A55" s="27">
        <v>24</v>
      </c>
      <c r="B55" s="28" t="str">
        <f>'Source (3)'!G194</f>
        <v>Погрузка грунта вручную в автомобили-самосвалы с выгрузкой (3,5м3*0,1=0,35м3)</v>
      </c>
      <c r="C55" s="29" t="str">
        <f>'Source (3)'!H194</f>
        <v>100 м3</v>
      </c>
      <c r="D55" s="30">
        <f>'Source (3)'!I194</f>
        <v>3.5000000000000001E-3</v>
      </c>
      <c r="E55" s="28"/>
    </row>
    <row r="56" spans="1:5" ht="28" x14ac:dyDescent="0.3">
      <c r="A56" s="27">
        <v>25</v>
      </c>
      <c r="B56" s="28" t="str">
        <f>'Source (3)'!G195</f>
        <v>Перевозка грунта автосамосвалами грузоподъемностью до 10 т на расстояние 1 км</v>
      </c>
      <c r="C56" s="29" t="str">
        <f>'Source (3)'!H195</f>
        <v>м3</v>
      </c>
      <c r="D56" s="30">
        <f>'Source (3)'!I195</f>
        <v>35</v>
      </c>
      <c r="E56" s="28"/>
    </row>
    <row r="57" spans="1:5" ht="28" x14ac:dyDescent="0.3">
      <c r="A57" s="27">
        <v>26</v>
      </c>
      <c r="B57" s="28" t="str">
        <f>'Source (3)'!G196</f>
        <v>Перевозка грунта автосамосвалами грузоподъемностью до 10 т - добавляется на каждый последующий 1 км до 100 км (к поз. 49-3401-1-1)</v>
      </c>
      <c r="C57" s="29" t="str">
        <f>'Source (3)'!H196</f>
        <v>м3</v>
      </c>
      <c r="D57" s="30">
        <f>'Source (3)'!I196</f>
        <v>35</v>
      </c>
      <c r="E57" s="28"/>
    </row>
    <row r="58" spans="1:5" ht="28" x14ac:dyDescent="0.3">
      <c r="A58" s="27">
        <v>27</v>
      </c>
      <c r="B58" s="28" t="str">
        <f>'Source (3)'!G197</f>
        <v>Устройство подстилающих и выравнивающих слоев оснований из песка (10см)</v>
      </c>
      <c r="C58" s="29" t="str">
        <f>'Source (3)'!H197</f>
        <v>100 м3</v>
      </c>
      <c r="D58" s="30">
        <f>'Source (3)'!I197</f>
        <v>0.20499999999999999</v>
      </c>
      <c r="E58" s="28"/>
    </row>
    <row r="59" spans="1:5" ht="28" x14ac:dyDescent="0.3">
      <c r="A59" s="27">
        <v>28</v>
      </c>
      <c r="B59" s="28" t="str">
        <f>'Source (3)'!G198</f>
        <v>Устройство подстилающих и выравнивающих слоев оснований из щебня (10 см)</v>
      </c>
      <c r="C59" s="29" t="str">
        <f>'Source (3)'!H198</f>
        <v>100 м3</v>
      </c>
      <c r="D59" s="30">
        <f>'Source (3)'!I198</f>
        <v>0.20499999999999999</v>
      </c>
      <c r="E59" s="28"/>
    </row>
    <row r="60" spans="1:5" ht="28" x14ac:dyDescent="0.3">
      <c r="A60" s="27">
        <v>28.1</v>
      </c>
      <c r="B60" s="28" t="str">
        <f>'Source (3)'!G199</f>
        <v>Щебень из естественного камня для строительных работ, марка 1200-800, фракция 20-40 мм</v>
      </c>
      <c r="C60" s="29" t="str">
        <f>'Source (3)'!H199</f>
        <v>м3</v>
      </c>
      <c r="D60" s="30">
        <f>'Source (3)'!I199</f>
        <v>-25.83</v>
      </c>
      <c r="E60" s="28"/>
    </row>
    <row r="61" spans="1:5" ht="28" x14ac:dyDescent="0.3">
      <c r="A61" s="27">
        <v>28.2</v>
      </c>
      <c r="B61" s="28" t="str">
        <f>'Source (3)'!G200</f>
        <v>Щебень из естественного камня для строительных работ, марка 600-400, фракция 20-40 мм</v>
      </c>
      <c r="C61" s="29" t="str">
        <f>'Source (3)'!H200</f>
        <v>м3</v>
      </c>
      <c r="D61" s="30">
        <f>'Source (3)'!I200</f>
        <v>25.83</v>
      </c>
      <c r="E61" s="28"/>
    </row>
    <row r="62" spans="1:5" ht="28" x14ac:dyDescent="0.3">
      <c r="A62" s="27">
        <v>29</v>
      </c>
      <c r="B62" s="28" t="str">
        <f>'Source (3)'!G201</f>
        <v>Устройство асфальтобетонных покрытий дорожек и тротуаров двухслойных, верхний слой из песчаной асфальтобетонной смеси толщиной 3 см (5см)</v>
      </c>
      <c r="C62" s="29" t="str">
        <f>'Source (3)'!H201</f>
        <v>100 м2</v>
      </c>
      <c r="D62" s="30">
        <f>'Source (3)'!I201</f>
        <v>2.0499999999999998</v>
      </c>
      <c r="E62" s="28"/>
    </row>
    <row r="63" spans="1:5" ht="14" x14ac:dyDescent="0.3">
      <c r="A63" s="27">
        <v>29.1</v>
      </c>
      <c r="B63" s="28" t="str">
        <f>'Source (3)'!G202</f>
        <v>Смеси асфальтобетонные дорожные горячие песчаные, тип Д, марка III</v>
      </c>
      <c r="C63" s="29" t="str">
        <f>'Source (3)'!H202</f>
        <v>т</v>
      </c>
      <c r="D63" s="30">
        <f>'Source (3)'!I202</f>
        <v>-14.637</v>
      </c>
      <c r="E63" s="28"/>
    </row>
    <row r="64" spans="1:5" ht="14" x14ac:dyDescent="0.3">
      <c r="A64" s="27">
        <v>29.2</v>
      </c>
      <c r="B64" s="28" t="str">
        <f>'Source (3)'!G203</f>
        <v>Смеси асфальтобетонные дорожные горячие песчаные, тип Д, марка II</v>
      </c>
      <c r="C64" s="29" t="str">
        <f>'Source (3)'!H203</f>
        <v>т</v>
      </c>
      <c r="D64" s="30">
        <f>'Source (3)'!I203</f>
        <v>23.923500000000001</v>
      </c>
      <c r="E64" s="28"/>
    </row>
    <row r="65" spans="1:5" ht="16.5" x14ac:dyDescent="0.35">
      <c r="A65" s="85" t="str">
        <f>CONCATENATE("Раздел: ", 'Source (3)'!G235)</f>
        <v>Раздел: Ремонт газонов -800м2</v>
      </c>
      <c r="B65" s="85"/>
      <c r="C65" s="85"/>
      <c r="D65" s="85"/>
      <c r="E65" s="85"/>
    </row>
    <row r="66" spans="1:5" ht="28" x14ac:dyDescent="0.3">
      <c r="A66" s="27">
        <v>30</v>
      </c>
      <c r="B66" s="28" t="str">
        <f>'Source (3)'!G239</f>
        <v>Подготовка почвы для устройства партерного и обыкновенного газонов с внесением растительной земли слоем 15 см механизированным способом</v>
      </c>
      <c r="C66" s="29" t="str">
        <f>'Source (3)'!H239</f>
        <v>100 м2</v>
      </c>
      <c r="D66" s="30">
        <f>'Source (3)'!I239</f>
        <v>6</v>
      </c>
      <c r="E66" s="28"/>
    </row>
    <row r="67" spans="1:5" ht="28" x14ac:dyDescent="0.3">
      <c r="A67" s="27">
        <v>31</v>
      </c>
      <c r="B67" s="28" t="str">
        <f>'Source (3)'!G240</f>
        <v>Подготовка почвы для устройства партерного и обыкновенного газонов с внесением растительной земли слоем 15 см вручную</v>
      </c>
      <c r="C67" s="29" t="str">
        <f>'Source (3)'!H240</f>
        <v>100 м2</v>
      </c>
      <c r="D67" s="30">
        <f>'Source (3)'!I240</f>
        <v>2</v>
      </c>
      <c r="E67" s="28"/>
    </row>
    <row r="68" spans="1:5" ht="28" x14ac:dyDescent="0.3">
      <c r="A68" s="27">
        <v>32</v>
      </c>
      <c r="B68" s="28" t="str">
        <f>'Source (3)'!G241</f>
        <v>Подготовка почвы для устройства партерного и обыкновенного газонов на каждые 5 см изменения толщины слоя добавлять или исключать</v>
      </c>
      <c r="C68" s="29" t="str">
        <f>'Source (3)'!H241</f>
        <v>100 м2</v>
      </c>
      <c r="D68" s="30">
        <f>'Source (3)'!I241</f>
        <v>-8</v>
      </c>
      <c r="E68" s="28"/>
    </row>
    <row r="69" spans="1:5" ht="14" x14ac:dyDescent="0.3">
      <c r="A69" s="27">
        <v>33</v>
      </c>
      <c r="B69" s="28" t="str">
        <f>'Source (3)'!G242</f>
        <v>Посев газонов партерных, мавританских, и обыкновенных вручную</v>
      </c>
      <c r="C69" s="29" t="str">
        <f>'Source (3)'!H242</f>
        <v>100 м2</v>
      </c>
      <c r="D69" s="30">
        <f>'Source (3)'!I242</f>
        <v>8</v>
      </c>
      <c r="E69" s="28"/>
    </row>
    <row r="70" spans="1:5" ht="16.5" x14ac:dyDescent="0.35">
      <c r="A70" s="85" t="str">
        <f>CONCATENATE("Раздел: ", 'Source (3)'!G274)</f>
        <v>Раздел: Устройство парковочных столбиков -42 шт.</v>
      </c>
      <c r="B70" s="85"/>
      <c r="C70" s="85"/>
      <c r="D70" s="85"/>
      <c r="E70" s="85"/>
    </row>
    <row r="71" spans="1:5" ht="42" x14ac:dyDescent="0.3">
      <c r="A71" s="27">
        <v>34</v>
      </c>
      <c r="B71" s="28" t="str">
        <f>'Source (3)'!G278</f>
        <v>Сверление сквозных отверстий в бетонных стенах и полах электроперфоратором, диаметр отверстия до 20 мм, глубина сверления 100 мм (установка антипарковочных столбиков)</v>
      </c>
      <c r="C71" s="29" t="str">
        <f>'Source (3)'!H278</f>
        <v>100 отверстий</v>
      </c>
      <c r="D71" s="30">
        <f>'Source (3)'!I278</f>
        <v>0</v>
      </c>
      <c r="E71" s="28"/>
    </row>
    <row r="72" spans="1:5" ht="28" x14ac:dyDescent="0.3">
      <c r="A72" s="27">
        <v>35</v>
      </c>
      <c r="B72" s="28" t="str">
        <f>'Source (3)'!G279</f>
        <v>Установка распорных анкеров в готовые отверстия, анкер-болт M16/25 - M16/50  (установка антипарковочных столбиков)</v>
      </c>
      <c r="C72" s="29" t="str">
        <f>'Source (3)'!H279</f>
        <v>100 шт.</v>
      </c>
      <c r="D72" s="30">
        <f>'Source (3)'!I279</f>
        <v>0</v>
      </c>
      <c r="E72" s="28"/>
    </row>
    <row r="73" spans="1:5" ht="14" x14ac:dyDescent="0.3">
      <c r="A73" s="27">
        <v>35.1</v>
      </c>
      <c r="B73" s="28" t="str">
        <f>'Source (3)'!G280</f>
        <v>Анкер-болт забивной распорный, оцинкованный, HSL M16/50</v>
      </c>
      <c r="C73" s="29" t="str">
        <f>'Source (3)'!H280</f>
        <v>100 шт.</v>
      </c>
      <c r="D73" s="30">
        <f>'Source (3)'!I280</f>
        <v>0</v>
      </c>
      <c r="E73" s="28"/>
    </row>
    <row r="74" spans="1:5" ht="14" x14ac:dyDescent="0.3">
      <c r="A74" s="27">
        <v>35.200000000000003</v>
      </c>
      <c r="B74" s="28" t="str">
        <f>'Source (3)'!G281</f>
        <v>Анкер-болт забивной распорный, оцинкованный, HSL M16/25</v>
      </c>
      <c r="C74" s="29" t="str">
        <f>'Source (3)'!H281</f>
        <v>100 шт.</v>
      </c>
      <c r="D74" s="30">
        <f>'Source (3)'!I281</f>
        <v>0</v>
      </c>
      <c r="E74" s="28"/>
    </row>
    <row r="75" spans="1:5" ht="28" x14ac:dyDescent="0.3">
      <c r="A75" s="31">
        <v>35.299999999999997</v>
      </c>
      <c r="B75" s="32" t="str">
        <f>'Source (3)'!G282</f>
        <v>Парковочный столбик (анкерное крепление)          Базисная стоимость: 1291,67 =  (1550,00/1,2)</v>
      </c>
      <c r="C75" s="33" t="str">
        <f>'Source (3)'!H282</f>
        <v>шт.</v>
      </c>
      <c r="D75" s="34">
        <f>'Source (3)'!I282</f>
        <v>0</v>
      </c>
      <c r="E75" s="32"/>
    </row>
    <row r="78" spans="1:5" ht="14" x14ac:dyDescent="0.3">
      <c r="A78" s="19" t="s">
        <v>55</v>
      </c>
      <c r="B78" s="19"/>
      <c r="C78" s="19" t="s">
        <v>56</v>
      </c>
      <c r="D78" s="19"/>
      <c r="E78" s="19"/>
    </row>
  </sheetData>
  <mergeCells count="11">
    <mergeCell ref="A20:E20"/>
    <mergeCell ref="C5:D5"/>
    <mergeCell ref="C7:D7"/>
    <mergeCell ref="A11:D11"/>
    <mergeCell ref="A12:D12"/>
    <mergeCell ref="A19:E19"/>
    <mergeCell ref="A32:E32"/>
    <mergeCell ref="A41:E41"/>
    <mergeCell ref="A44:E44"/>
    <mergeCell ref="A65:E65"/>
    <mergeCell ref="A70:E70"/>
  </mergeCells>
  <pageMargins left="0.4" right="0.2" top="0.2" bottom="0.4" header="0.2" footer="0.2"/>
  <pageSetup paperSize="9" scale="77" fitToHeight="0" orientation="portrait" r:id="rId1"/>
  <headerFooter>
    <oddHeader>&amp;L&amp;8</oddHeader>
    <oddFooter>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6CF12-D3F0-497D-A5B9-F01E9492B40E}">
  <sheetPr>
    <pageSetUpPr fitToPage="1"/>
  </sheetPr>
  <dimension ref="A1:AF77"/>
  <sheetViews>
    <sheetView zoomScaleNormal="100" workbookViewId="0">
      <selection activeCell="J298" sqref="J298"/>
    </sheetView>
  </sheetViews>
  <sheetFormatPr defaultColWidth="9.1796875" defaultRowHeight="12.5" x14ac:dyDescent="0.25"/>
  <cols>
    <col min="1" max="2" width="6.7265625" style="2" customWidth="1"/>
    <col min="3" max="3" width="75.7265625" style="2" customWidth="1"/>
    <col min="4" max="8" width="15.7265625" style="2" customWidth="1"/>
    <col min="9" max="29" width="9.1796875" style="2"/>
    <col min="30" max="31" width="0" style="2" hidden="1" customWidth="1"/>
    <col min="32" max="32" width="165.7265625" style="2" hidden="1" customWidth="1"/>
    <col min="33" max="16384" width="9.1796875" style="2"/>
  </cols>
  <sheetData>
    <row r="1" spans="1:8" x14ac:dyDescent="0.25">
      <c r="A1" s="1" t="str">
        <f>'Source (3)'!B1</f>
        <v>Smeta.RU  (495) 974-1589</v>
      </c>
    </row>
    <row r="2" spans="1:8" ht="14" x14ac:dyDescent="0.3">
      <c r="D2" s="4"/>
      <c r="E2" s="4"/>
    </row>
    <row r="3" spans="1:8" ht="14" x14ac:dyDescent="0.3">
      <c r="D3" s="4"/>
      <c r="E3" s="23" t="s">
        <v>0</v>
      </c>
    </row>
    <row r="4" spans="1:8" ht="14" x14ac:dyDescent="0.3">
      <c r="D4" s="23"/>
      <c r="E4" s="23"/>
    </row>
    <row r="5" spans="1:8" ht="14" x14ac:dyDescent="0.3">
      <c r="D5" s="69" t="s">
        <v>47</v>
      </c>
      <c r="E5" s="69"/>
    </row>
    <row r="6" spans="1:8" ht="14" x14ac:dyDescent="0.3">
      <c r="D6" s="23"/>
      <c r="E6" s="23"/>
    </row>
    <row r="7" spans="1:8" ht="14" x14ac:dyDescent="0.3">
      <c r="D7" s="69" t="s">
        <v>47</v>
      </c>
      <c r="E7" s="69"/>
    </row>
    <row r="8" spans="1:8" ht="14" x14ac:dyDescent="0.3">
      <c r="D8" s="23"/>
      <c r="E8" s="23"/>
    </row>
    <row r="9" spans="1:8" ht="14" x14ac:dyDescent="0.3">
      <c r="D9" s="23" t="s">
        <v>48</v>
      </c>
      <c r="E9" s="4"/>
    </row>
    <row r="10" spans="1:8" ht="14" x14ac:dyDescent="0.3">
      <c r="D10" s="4"/>
      <c r="E10" s="4"/>
    </row>
    <row r="12" spans="1:8" ht="15.5" x14ac:dyDescent="0.25">
      <c r="B12" s="88" t="str">
        <f>CONCATENATE("Ведомость объемов работ ", IF('Source (3)'!AN15&lt;&gt;"", 'Source (3)'!AN15," "))</f>
        <v xml:space="preserve">Ведомость объемов работ  </v>
      </c>
      <c r="C12" s="88"/>
      <c r="D12" s="88"/>
      <c r="E12" s="88"/>
    </row>
    <row r="13" spans="1:8" ht="14" x14ac:dyDescent="0.25">
      <c r="B13" s="89" t="str">
        <f>CONCATENATE('Source (3)'!F12, " ", 'Source (3)'!G12)</f>
        <v>Г43 в ценах 2022г._(Копия) Шоссейная д.20</v>
      </c>
      <c r="C13" s="89"/>
      <c r="D13" s="89"/>
      <c r="E13" s="89"/>
    </row>
    <row r="14" spans="1:8" hidden="1" x14ac:dyDescent="0.25"/>
    <row r="16" spans="1:8" ht="70" x14ac:dyDescent="0.25">
      <c r="A16" s="25" t="s">
        <v>52</v>
      </c>
      <c r="B16" s="25" t="s">
        <v>57</v>
      </c>
      <c r="C16" s="25" t="s">
        <v>8</v>
      </c>
      <c r="D16" s="25" t="s">
        <v>9</v>
      </c>
      <c r="E16" s="25" t="s">
        <v>53</v>
      </c>
      <c r="F16" s="25" t="s">
        <v>58</v>
      </c>
      <c r="G16" s="25" t="s">
        <v>59</v>
      </c>
      <c r="H16" s="25" t="s">
        <v>54</v>
      </c>
    </row>
    <row r="17" spans="1:8" ht="14" x14ac:dyDescent="0.25">
      <c r="A17" s="25">
        <v>1</v>
      </c>
      <c r="B17" s="25">
        <v>2</v>
      </c>
      <c r="C17" s="25">
        <v>3</v>
      </c>
      <c r="D17" s="25">
        <v>4</v>
      </c>
      <c r="E17" s="25">
        <v>5</v>
      </c>
      <c r="F17" s="25">
        <v>6</v>
      </c>
      <c r="G17" s="25">
        <v>7</v>
      </c>
      <c r="H17" s="25">
        <v>8</v>
      </c>
    </row>
    <row r="18" spans="1:8" ht="16.5" x14ac:dyDescent="0.35">
      <c r="A18" s="85" t="str">
        <f>CONCATENATE("Локальная смета: ", 'Source (3)'!G20)</f>
        <v>Локальная смета: Новая локальная смета</v>
      </c>
      <c r="B18" s="85"/>
      <c r="C18" s="85"/>
      <c r="D18" s="85"/>
      <c r="E18" s="85"/>
      <c r="F18" s="85"/>
      <c r="G18" s="85"/>
      <c r="H18" s="85"/>
    </row>
    <row r="19" spans="1:8" ht="16.5" x14ac:dyDescent="0.35">
      <c r="A19" s="85" t="str">
        <f>CONCATENATE("Раздел: ", 'Source (3)'!G24)</f>
        <v>Раздел: Ремонт дорожно-тропиночной сети с асфальтобетонным покрытием  - 1800 м2</v>
      </c>
      <c r="B19" s="85"/>
      <c r="C19" s="85"/>
      <c r="D19" s="85"/>
      <c r="E19" s="85"/>
      <c r="F19" s="85"/>
      <c r="G19" s="85"/>
      <c r="H19" s="85"/>
    </row>
    <row r="20" spans="1:8" ht="42" x14ac:dyDescent="0.25">
      <c r="A20" s="25">
        <v>1</v>
      </c>
      <c r="B20" s="25" t="str">
        <f>'Source (3)'!E28</f>
        <v>1</v>
      </c>
      <c r="C20" s="35" t="str">
        <f>'Source (3)'!G28</f>
        <v>Срезка поверхностного слоя асфальтобетонных дорожных покрытий методом холодного фрезерования при ширине барабана фрезы 2000 (2100) мм толщиной 6 см, без препятствий</v>
      </c>
      <c r="D20" s="25" t="s">
        <v>60</v>
      </c>
      <c r="E20" s="36">
        <f>'Source (3)'!I28</f>
        <v>18</v>
      </c>
      <c r="F20" s="25" t="str">
        <f>'Source (3)'!U24</f>
        <v/>
      </c>
      <c r="G20" s="25" t="str">
        <f>"=1800/"&amp;"100"</f>
        <v>=1800/100</v>
      </c>
      <c r="H20" s="35"/>
    </row>
    <row r="21" spans="1:8" ht="42" x14ac:dyDescent="0.25">
      <c r="A21" s="25">
        <v>2</v>
      </c>
      <c r="B21" s="25" t="str">
        <f>'Source (3)'!E29</f>
        <v>2</v>
      </c>
      <c r="C21" s="35" t="str">
        <f>'Source (3)'!G29</f>
        <v>Срезка поверхностного слоя асфальтобетонных дорожных покрытий методом холодного фрезерования при ширине барабана фрезы 2000 (2100) мм, добавляется или исключается на 1 см</v>
      </c>
      <c r="D21" s="25" t="s">
        <v>60</v>
      </c>
      <c r="E21" s="36">
        <f>'Source (3)'!I29</f>
        <v>-18</v>
      </c>
      <c r="F21" s="25" t="str">
        <f>'Source (3)'!U24</f>
        <v/>
      </c>
      <c r="G21" s="25" t="str">
        <f>"=-"&amp;"1800/"&amp;"100"</f>
        <v>=-1800/100</v>
      </c>
      <c r="H21" s="35"/>
    </row>
    <row r="22" spans="1:8" ht="28" x14ac:dyDescent="0.25">
      <c r="A22" s="25">
        <v>3</v>
      </c>
      <c r="B22" s="25" t="str">
        <f>'Source (3)'!E30</f>
        <v>3</v>
      </c>
      <c r="C22" s="35" t="str">
        <f>'Source (3)'!G30</f>
        <v>Исправление профиля щебеночных оснований с добавлением нового материала (1800м2х0,3=540м2)</v>
      </c>
      <c r="D22" s="25" t="s">
        <v>61</v>
      </c>
      <c r="E22" s="36">
        <f>'Source (3)'!I30</f>
        <v>0.54</v>
      </c>
      <c r="F22" s="25" t="str">
        <f>'Source (3)'!U24</f>
        <v/>
      </c>
      <c r="G22" s="25" t="str">
        <f>"=540/"&amp;"1000"</f>
        <v>=540/1000</v>
      </c>
      <c r="H22" s="35"/>
    </row>
    <row r="23" spans="1:8" ht="28" x14ac:dyDescent="0.25">
      <c r="A23" s="25">
        <v>3.1</v>
      </c>
      <c r="B23" s="25" t="str">
        <f>'Source (3)'!E31</f>
        <v>3,1</v>
      </c>
      <c r="C23" s="35" t="str">
        <f>'Source (3)'!G31</f>
        <v>Щебень из естественного камня для строительных работ, марка 1200-800, фракция 10-20 мм</v>
      </c>
      <c r="D23" s="25" t="s">
        <v>62</v>
      </c>
      <c r="E23" s="36">
        <f>'Source (3)'!I31</f>
        <v>-6.21</v>
      </c>
      <c r="F23" s="25" t="str">
        <f>'Source (3)'!U24</f>
        <v/>
      </c>
      <c r="G23" s="25"/>
      <c r="H23" s="35"/>
    </row>
    <row r="24" spans="1:8" ht="28" x14ac:dyDescent="0.25">
      <c r="A24" s="25">
        <v>3.2</v>
      </c>
      <c r="B24" s="25" t="str">
        <f>'Source (3)'!E32</f>
        <v>3,2</v>
      </c>
      <c r="C24" s="35" t="str">
        <f>'Source (3)'!G32</f>
        <v>Щебень из естественного камня для строительных работ, марка 1200-800, фракция 20-40 мм</v>
      </c>
      <c r="D24" s="25" t="s">
        <v>62</v>
      </c>
      <c r="E24" s="36">
        <f>'Source (3)'!I32</f>
        <v>-29.7</v>
      </c>
      <c r="F24" s="25" t="str">
        <f>'Source (3)'!U24</f>
        <v/>
      </c>
      <c r="G24" s="25"/>
      <c r="H24" s="35"/>
    </row>
    <row r="25" spans="1:8" ht="28" x14ac:dyDescent="0.25">
      <c r="A25" s="25">
        <v>3.3</v>
      </c>
      <c r="B25" s="25" t="str">
        <f>'Source (3)'!E33</f>
        <v>3,3</v>
      </c>
      <c r="C25" s="35" t="str">
        <f>'Source (3)'!G33</f>
        <v>Щебень из естественного камня для строительных работ, марка 600-400, фракция 20-40 мм</v>
      </c>
      <c r="D25" s="25" t="s">
        <v>62</v>
      </c>
      <c r="E25" s="36">
        <f>'Source (3)'!I33</f>
        <v>29.7</v>
      </c>
      <c r="F25" s="25" t="str">
        <f>'Source (3)'!U24</f>
        <v/>
      </c>
      <c r="G25" s="25"/>
      <c r="H25" s="35"/>
    </row>
    <row r="26" spans="1:8" ht="42" x14ac:dyDescent="0.25">
      <c r="A26" s="25">
        <v>4</v>
      </c>
      <c r="B26" s="25" t="str">
        <f>'Source (3)'!E34</f>
        <v>4</v>
      </c>
      <c r="C26" s="35" t="str">
        <f>'Source (3)'!G34</f>
        <v>Перевозка строительного мусора автосамосвалами грузоподъемностью до 10 т на расстояние 1 км - при механизированной погрузке (1800м2*0,05*2,4т=216т)</v>
      </c>
      <c r="D26" s="25" t="s">
        <v>63</v>
      </c>
      <c r="E26" s="36">
        <f>'Source (3)'!I34</f>
        <v>216</v>
      </c>
      <c r="F26" s="25" t="str">
        <f>'Source (3)'!U24</f>
        <v/>
      </c>
      <c r="G26" s="25">
        <f>'Source (3)'!I34</f>
        <v>216</v>
      </c>
      <c r="H26" s="35"/>
    </row>
    <row r="27" spans="1:8" ht="28" x14ac:dyDescent="0.25">
      <c r="A27" s="25">
        <v>5</v>
      </c>
      <c r="B27" s="25" t="str">
        <f>'Source (3)'!E35</f>
        <v>5</v>
      </c>
      <c r="C27" s="35" t="str">
        <f>'Source (3)'!G35</f>
        <v>Перевозка строительного мусора автосамосвалами грузоподъемностью до 10 т - добавляется на каждый последующий 1 км до 100 км</v>
      </c>
      <c r="D27" s="25" t="s">
        <v>63</v>
      </c>
      <c r="E27" s="36">
        <f>'Source (3)'!I35</f>
        <v>216</v>
      </c>
      <c r="F27" s="25" t="str">
        <f>'Source (3)'!U24</f>
        <v/>
      </c>
      <c r="G27" s="25">
        <f>'Source (3)'!I35</f>
        <v>216</v>
      </c>
      <c r="H27" s="35"/>
    </row>
    <row r="28" spans="1:8" ht="42" x14ac:dyDescent="0.25">
      <c r="A28" s="25">
        <v>6</v>
      </c>
      <c r="B28" s="25" t="str">
        <f>'Source (3)'!E36</f>
        <v>6</v>
      </c>
      <c r="C28" s="35" t="str">
        <f>'Source (3)'!G36</f>
        <v>Устройство асфальтобетонных покрытий дорожек и тротуаров двухслойных, верхний слой из песчаной асфальтобетонной смеси толщиной 3 см (толщина 5 см)</v>
      </c>
      <c r="D28" s="25" t="s">
        <v>60</v>
      </c>
      <c r="E28" s="36">
        <f>'Source (3)'!I36</f>
        <v>18</v>
      </c>
      <c r="F28" s="25" t="str">
        <f>'Source (3)'!U24</f>
        <v/>
      </c>
      <c r="G28" s="25" t="str">
        <f>"=1800/"&amp;"100"</f>
        <v>=1800/100</v>
      </c>
      <c r="H28" s="35"/>
    </row>
    <row r="29" spans="1:8" ht="14" x14ac:dyDescent="0.25">
      <c r="A29" s="25">
        <v>6.1</v>
      </c>
      <c r="B29" s="25" t="str">
        <f>'Source (3)'!E37</f>
        <v>6,1</v>
      </c>
      <c r="C29" s="35" t="str">
        <f>'Source (3)'!G37</f>
        <v>Смеси асфальтобетонные дорожные горячие песчаные, тип Д, марка III</v>
      </c>
      <c r="D29" s="25" t="s">
        <v>63</v>
      </c>
      <c r="E29" s="36">
        <f>'Source (3)'!I37</f>
        <v>-128.52000000000001</v>
      </c>
      <c r="F29" s="25" t="str">
        <f>'Source (3)'!U24</f>
        <v/>
      </c>
      <c r="G29" s="25"/>
      <c r="H29" s="35"/>
    </row>
    <row r="30" spans="1:8" ht="14" x14ac:dyDescent="0.25">
      <c r="A30" s="25">
        <v>6.2</v>
      </c>
      <c r="B30" s="25" t="str">
        <f>'Source (3)'!E38</f>
        <v>6,2</v>
      </c>
      <c r="C30" s="35" t="str">
        <f>'Source (3)'!G38</f>
        <v>Смеси асфальтобетонные дорожные горячие песчаные, тип Д, марка II</v>
      </c>
      <c r="D30" s="25" t="s">
        <v>63</v>
      </c>
      <c r="E30" s="36">
        <f>'Source (3)'!I38</f>
        <v>210.06</v>
      </c>
      <c r="F30" s="25" t="str">
        <f>'Source (3)'!U24</f>
        <v/>
      </c>
      <c r="G30" s="25"/>
      <c r="H30" s="35"/>
    </row>
    <row r="31" spans="1:8" ht="16.5" x14ac:dyDescent="0.35">
      <c r="A31" s="85" t="str">
        <f>CONCATENATE("Раздел: ", 'Source (3)'!G80)</f>
        <v>Раздел: Устройство бортового камня</v>
      </c>
      <c r="B31" s="85"/>
      <c r="C31" s="85"/>
      <c r="D31" s="85"/>
      <c r="E31" s="85"/>
      <c r="F31" s="85"/>
      <c r="G31" s="85"/>
      <c r="H31" s="85"/>
    </row>
    <row r="32" spans="1:8" ht="14" x14ac:dyDescent="0.25">
      <c r="A32" s="25">
        <v>7</v>
      </c>
      <c r="B32" s="25" t="str">
        <f>'Source (3)'!E84</f>
        <v>7</v>
      </c>
      <c r="C32" s="35" t="str">
        <f>'Source (3)'!G84</f>
        <v>Замена бортового камня бетонного во дворовых территориях</v>
      </c>
      <c r="D32" s="25" t="s">
        <v>64</v>
      </c>
      <c r="E32" s="36">
        <f>'Source (3)'!I84</f>
        <v>697</v>
      </c>
      <c r="F32" s="25" t="str">
        <f>'Source (3)'!U80</f>
        <v/>
      </c>
      <c r="G32" s="25">
        <f>'Source (3)'!I84</f>
        <v>697</v>
      </c>
      <c r="H32" s="35"/>
    </row>
    <row r="33" spans="1:32" ht="14" x14ac:dyDescent="0.25">
      <c r="A33" s="25">
        <v>7.1</v>
      </c>
      <c r="B33" s="25" t="str">
        <f>'Source (3)'!E85</f>
        <v>7,1</v>
      </c>
      <c r="C33" s="35" t="str">
        <f>'Source (3)'!G85</f>
        <v>Растворы цементные, марка 100</v>
      </c>
      <c r="D33" s="25" t="s">
        <v>62</v>
      </c>
      <c r="E33" s="36">
        <f>'Source (3)'!I85</f>
        <v>-0.41820000000000002</v>
      </c>
      <c r="F33" s="25" t="str">
        <f>'Source (3)'!U80</f>
        <v/>
      </c>
      <c r="G33" s="25"/>
      <c r="H33" s="35"/>
    </row>
    <row r="34" spans="1:32" ht="14" x14ac:dyDescent="0.25">
      <c r="A34" s="25">
        <v>7.2</v>
      </c>
      <c r="B34" s="25" t="str">
        <f>'Source (3)'!E86</f>
        <v>7,2</v>
      </c>
      <c r="C34" s="35" t="str">
        <f>'Source (3)'!G86</f>
        <v>Масса мусора</v>
      </c>
      <c r="D34" s="25" t="s">
        <v>63</v>
      </c>
      <c r="E34" s="36">
        <f>'Source (3)'!I86</f>
        <v>-171.46199999999999</v>
      </c>
      <c r="F34" s="25" t="str">
        <f>'Source (3)'!U80</f>
        <v/>
      </c>
      <c r="G34" s="25"/>
      <c r="H34" s="35"/>
    </row>
    <row r="35" spans="1:32" ht="28" x14ac:dyDescent="0.25">
      <c r="A35" s="25">
        <v>8</v>
      </c>
      <c r="B35" s="25" t="str">
        <f>'Source (3)'!E87</f>
        <v>8</v>
      </c>
      <c r="C35" s="35" t="str">
        <f>'Source (3)'!G87</f>
        <v>Перевозка строительного мусора автосамосвалами грузоподъемностью до 10 т на расстояние 1 км - при механизированной погрузке</v>
      </c>
      <c r="D35" s="25" t="s">
        <v>63</v>
      </c>
      <c r="E35" s="36">
        <f>'Source (3)'!I87</f>
        <v>171.46199999999999</v>
      </c>
      <c r="F35" s="25" t="str">
        <f>'Source (3)'!U80</f>
        <v/>
      </c>
      <c r="G35" s="25">
        <f>'Source (3)'!I87</f>
        <v>171.46199999999999</v>
      </c>
      <c r="H35" s="35"/>
    </row>
    <row r="36" spans="1:32" ht="28" x14ac:dyDescent="0.25">
      <c r="A36" s="25">
        <v>9</v>
      </c>
      <c r="B36" s="25" t="str">
        <f>'Source (3)'!E88</f>
        <v>9</v>
      </c>
      <c r="C36" s="35" t="str">
        <f>'Source (3)'!G88</f>
        <v>Перевозка строительного мусора автосамосвалами грузоподъемностью до 10 т - добавляется на каждый последующий 1 км до 100 км</v>
      </c>
      <c r="D36" s="25" t="s">
        <v>63</v>
      </c>
      <c r="E36" s="36">
        <f>'Source (3)'!I88</f>
        <v>171.46199999999999</v>
      </c>
      <c r="F36" s="25" t="str">
        <f>'Source (3)'!U80</f>
        <v/>
      </c>
      <c r="G36" s="25">
        <f>'Source (3)'!I88</f>
        <v>171.46199999999999</v>
      </c>
      <c r="H36" s="35"/>
    </row>
    <row r="37" spans="1:32" ht="28" x14ac:dyDescent="0.25">
      <c r="A37" s="25">
        <v>10</v>
      </c>
      <c r="B37" s="25" t="str">
        <f>'Source (3)'!E89</f>
        <v>10</v>
      </c>
      <c r="C37" s="35" t="str">
        <f>'Source (3)'!G89</f>
        <v>Установка бортовых камней бетонных марки БР 100.30.15 при других видах покрытий</v>
      </c>
      <c r="D37" s="25" t="s">
        <v>65</v>
      </c>
      <c r="E37" s="36">
        <f>'Source (3)'!I89</f>
        <v>3.32</v>
      </c>
      <c r="F37" s="25" t="str">
        <f>'Source (3)'!U80</f>
        <v/>
      </c>
      <c r="G37" s="25" t="str">
        <f>"=332/"&amp;"100"</f>
        <v>=332/100</v>
      </c>
      <c r="H37" s="35"/>
    </row>
    <row r="38" spans="1:32" ht="14" x14ac:dyDescent="0.25">
      <c r="A38" s="25">
        <v>10.1</v>
      </c>
      <c r="B38" s="25" t="str">
        <f>'Source (3)'!E90</f>
        <v>10,1</v>
      </c>
      <c r="C38" s="35" t="str">
        <f>'Source (3)'!G90</f>
        <v>Растворы цементные, марка 100</v>
      </c>
      <c r="D38" s="25" t="s">
        <v>62</v>
      </c>
      <c r="E38" s="36">
        <f>'Source (3)'!I90</f>
        <v>-0.19919999999999999</v>
      </c>
      <c r="F38" s="25" t="str">
        <f>'Source (3)'!U80</f>
        <v/>
      </c>
      <c r="G38" s="25"/>
      <c r="H38" s="35"/>
    </row>
    <row r="39" spans="1:32" ht="42" x14ac:dyDescent="0.25">
      <c r="A39" s="25">
        <v>11</v>
      </c>
      <c r="B39" s="25" t="str">
        <f>'Source (3)'!E91</f>
        <v>11</v>
      </c>
      <c r="C39" s="35" t="str">
        <f>'Source (3)'!G91</f>
        <v>Устройство демпфирующего теплоизоляционного материала типа "Изолонтейп Дор" между бортовыми камнями при установке и ремонте бетонного или гранитного бортового камня</v>
      </c>
      <c r="D39" s="25" t="s">
        <v>66</v>
      </c>
      <c r="E39" s="36">
        <f>'Source (3)'!I91</f>
        <v>10.29</v>
      </c>
      <c r="F39" s="25" t="str">
        <f>'Source (3)'!U80</f>
        <v/>
      </c>
      <c r="G39" s="25" t="str">
        <f>"=1029/"&amp;"100"</f>
        <v>=1029/100</v>
      </c>
      <c r="H39" s="35"/>
    </row>
    <row r="40" spans="1:32" ht="16.5" x14ac:dyDescent="0.35">
      <c r="A40" s="85" t="str">
        <f>CONCATENATE("Раздел: ", 'Source (3)'!G133)</f>
        <v>Раздел: Устройство малых архитектурных форм</v>
      </c>
      <c r="B40" s="85"/>
      <c r="C40" s="85"/>
      <c r="D40" s="85"/>
      <c r="E40" s="85"/>
      <c r="F40" s="85"/>
      <c r="G40" s="85"/>
      <c r="H40" s="85"/>
    </row>
    <row r="41" spans="1:32" ht="42" x14ac:dyDescent="0.25">
      <c r="A41" s="25">
        <v>12</v>
      </c>
      <c r="B41" s="25" t="str">
        <f>'Source (3)'!E137</f>
        <v>12</v>
      </c>
      <c r="C41" s="35" t="str">
        <f>'Source (3)'!G137</f>
        <v>Диван ДП-6 деревянный на каркасе из металлического уголка с ножками из металлической трубы, окрашенный цветными эмалями, размеры 2000х900х650 мм</v>
      </c>
      <c r="D41" s="25" t="s">
        <v>67</v>
      </c>
      <c r="E41" s="36">
        <f>'Source (3)'!I137</f>
        <v>0</v>
      </c>
      <c r="F41" s="25" t="str">
        <f>'Source (3)'!U133</f>
        <v/>
      </c>
      <c r="G41" s="25">
        <f>'Source (3)'!I137</f>
        <v>0</v>
      </c>
      <c r="H41" s="35"/>
    </row>
    <row r="42" spans="1:32" ht="28" x14ac:dyDescent="0.25">
      <c r="A42" s="25">
        <v>13</v>
      </c>
      <c r="B42" s="25" t="str">
        <f>'Source (3)'!E138</f>
        <v>13</v>
      </c>
      <c r="C42" s="35" t="str">
        <f>'Source (3)'!G138</f>
        <v>Урна опрокидывающаяся металлическая круглая на ножках из стальной трубы, 300х300х950 мм</v>
      </c>
      <c r="D42" s="25" t="s">
        <v>67</v>
      </c>
      <c r="E42" s="36">
        <f>'Source (3)'!I138</f>
        <v>0</v>
      </c>
      <c r="F42" s="25" t="str">
        <f>'Source (3)'!U133</f>
        <v/>
      </c>
      <c r="G42" s="25">
        <f>'Source (3)'!I138</f>
        <v>0</v>
      </c>
      <c r="H42" s="35"/>
    </row>
    <row r="43" spans="1:32" ht="33" x14ac:dyDescent="0.35">
      <c r="A43" s="85" t="str">
        <f>CONCATENATE("Раздел: ", 'Source (3)'!G180)</f>
        <v>Раздел: Устройство дорожно-тропиночной сети с асфальтобетонным покрытием -205 м2  ( в том числе площадка отдыха- 65,0 м2, дорожки -140м2)</v>
      </c>
      <c r="B43" s="85"/>
      <c r="C43" s="85"/>
      <c r="D43" s="85"/>
      <c r="E43" s="85"/>
      <c r="F43" s="85"/>
      <c r="G43" s="85"/>
      <c r="H43" s="85"/>
      <c r="AF43" s="50" t="str">
        <f>CONCATENATE("Раздел: ", 'Source (3)'!G180)</f>
        <v>Раздел: Устройство дорожно-тропиночной сети с асфальтобетонным покрытием -205 м2  ( в том числе площадка отдыха- 65,0 м2, дорожки -140м2)</v>
      </c>
    </row>
    <row r="44" spans="1:32" ht="28" x14ac:dyDescent="0.25">
      <c r="A44" s="25">
        <v>14</v>
      </c>
      <c r="B44" s="25" t="str">
        <f>'Source (3)'!E184</f>
        <v>14</v>
      </c>
      <c r="C44" s="35" t="str">
        <f>'Source (3)'!G184</f>
        <v>Разборка тротуаров и дорожек из плит с отноской и укладкой в штабель (65м2х0,07=4,55м3х2,4т=10,92т)</v>
      </c>
      <c r="D44" s="25" t="s">
        <v>60</v>
      </c>
      <c r="E44" s="36">
        <f>'Source (3)'!I184</f>
        <v>0.10920000000000001</v>
      </c>
      <c r="F44" s="25" t="str">
        <f>'Source (3)'!U180</f>
        <v/>
      </c>
      <c r="G44" s="25" t="str">
        <f>"=10,92/"&amp;"100"</f>
        <v>=10,92/100</v>
      </c>
      <c r="H44" s="35"/>
    </row>
    <row r="45" spans="1:32" ht="14" x14ac:dyDescent="0.25">
      <c r="A45" s="25">
        <v>15</v>
      </c>
      <c r="B45" s="25" t="str">
        <f>'Source (3)'!E185</f>
        <v>15</v>
      </c>
      <c r="C45" s="35" t="str">
        <f>'Source (3)'!G185</f>
        <v>Разборка покрытий и оснований щебеночных (65х0,2=13 м3х1,8т=23,4т)</v>
      </c>
      <c r="D45" s="25" t="s">
        <v>68</v>
      </c>
      <c r="E45" s="36">
        <f>'Source (3)'!I185</f>
        <v>0.23400000000000001</v>
      </c>
      <c r="F45" s="25" t="str">
        <f>'Source (3)'!U180</f>
        <v/>
      </c>
      <c r="G45" s="25" t="str">
        <f>"=23,4/"&amp;"100"</f>
        <v>=23,4/100</v>
      </c>
      <c r="H45" s="35"/>
    </row>
    <row r="46" spans="1:32" ht="28" x14ac:dyDescent="0.25">
      <c r="A46" s="25">
        <v>16</v>
      </c>
      <c r="B46" s="25" t="str">
        <f>'Source (3)'!E186</f>
        <v>16</v>
      </c>
      <c r="C46" s="35" t="str">
        <f>'Source (3)'!G186</f>
        <v>Погрузка и выгрузка вручную строительного мусора на транспортные средства  (10,92т+23,4т=34,32тх0,1=3,432т)</v>
      </c>
      <c r="D46" s="25" t="s">
        <v>63</v>
      </c>
      <c r="E46" s="36">
        <f>'Source (3)'!I186</f>
        <v>3.4319999999999999</v>
      </c>
      <c r="F46" s="25" t="str">
        <f>'Source (3)'!U180</f>
        <v/>
      </c>
      <c r="G46" s="25">
        <f>'Source (3)'!I186</f>
        <v>3.4319999999999999</v>
      </c>
      <c r="H46" s="35"/>
    </row>
    <row r="47" spans="1:32" ht="28" x14ac:dyDescent="0.25">
      <c r="A47" s="25">
        <v>17</v>
      </c>
      <c r="B47" s="25" t="str">
        <f>'Source (3)'!E187</f>
        <v>17</v>
      </c>
      <c r="C47" s="35" t="str">
        <f>'Source (3)'!G187</f>
        <v>Механизированная погрузка строительного мусора в автомобили-самосвалы (10,92т+23,4т=34,32тх0,9=30,888т)</v>
      </c>
      <c r="D47" s="25" t="s">
        <v>63</v>
      </c>
      <c r="E47" s="36">
        <f>'Source (3)'!I187</f>
        <v>30.888000000000002</v>
      </c>
      <c r="F47" s="25" t="str">
        <f>'Source (3)'!U180</f>
        <v/>
      </c>
      <c r="G47" s="25">
        <f>'Source (3)'!I187</f>
        <v>30.888000000000002</v>
      </c>
      <c r="H47" s="35"/>
    </row>
    <row r="48" spans="1:32" ht="28" x14ac:dyDescent="0.25">
      <c r="A48" s="25">
        <v>18</v>
      </c>
      <c r="B48" s="25" t="str">
        <f>'Source (3)'!E188</f>
        <v>18</v>
      </c>
      <c r="C48" s="35" t="str">
        <f>'Source (3)'!G188</f>
        <v>Перевозка строительного мусора автосамосвалами грузоподъемностью до 10 т на расстояние 1 км - при погрузке вручную</v>
      </c>
      <c r="D48" s="25" t="s">
        <v>63</v>
      </c>
      <c r="E48" s="36">
        <f>'Source (3)'!I188</f>
        <v>3.4319999999999999</v>
      </c>
      <c r="F48" s="25" t="str">
        <f>'Source (3)'!U180</f>
        <v/>
      </c>
      <c r="G48" s="25">
        <f>'Source (3)'!I188</f>
        <v>3.4319999999999999</v>
      </c>
      <c r="H48" s="35"/>
    </row>
    <row r="49" spans="1:8" ht="28" x14ac:dyDescent="0.25">
      <c r="A49" s="25">
        <v>19</v>
      </c>
      <c r="B49" s="25" t="str">
        <f>'Source (3)'!E189</f>
        <v>19</v>
      </c>
      <c r="C49" s="35" t="str">
        <f>'Source (3)'!G189</f>
        <v>Перевозка строительного мусора автосамосвалами грузоподъемностью до 10 т на расстояние 1 км - при механизированной погрузке</v>
      </c>
      <c r="D49" s="25" t="s">
        <v>63</v>
      </c>
      <c r="E49" s="36">
        <f>'Source (3)'!I189</f>
        <v>30.888000000000002</v>
      </c>
      <c r="F49" s="25" t="str">
        <f>'Source (3)'!U180</f>
        <v/>
      </c>
      <c r="G49" s="25">
        <f>'Source (3)'!I189</f>
        <v>30.888000000000002</v>
      </c>
      <c r="H49" s="35"/>
    </row>
    <row r="50" spans="1:8" ht="28" x14ac:dyDescent="0.25">
      <c r="A50" s="25">
        <v>20</v>
      </c>
      <c r="B50" s="25" t="str">
        <f>'Source (3)'!E190</f>
        <v>20</v>
      </c>
      <c r="C50" s="35" t="str">
        <f>'Source (3)'!G190</f>
        <v>Перевозка строительного мусора автосамосвалами грузоподъемностью до 10 т - добавляется на каждый последующий 1 км до 100 км</v>
      </c>
      <c r="D50" s="25" t="s">
        <v>63</v>
      </c>
      <c r="E50" s="36">
        <f>'Source (3)'!I190</f>
        <v>34.32</v>
      </c>
      <c r="F50" s="25" t="str">
        <f>'Source (3)'!U180</f>
        <v/>
      </c>
      <c r="G50" s="25">
        <f>'Source (3)'!I190</f>
        <v>34.32</v>
      </c>
      <c r="H50" s="35"/>
    </row>
    <row r="51" spans="1:8" ht="42" x14ac:dyDescent="0.25">
      <c r="A51" s="25">
        <v>21</v>
      </c>
      <c r="B51" s="25" t="str">
        <f>'Source (3)'!E191</f>
        <v>21</v>
      </c>
      <c r="C51" s="35" t="str">
        <f>'Source (3)'!G191</f>
        <v>Разработка грунта с погрузкой на автомобили-самосвалы экскаваторами с ковшом вместимостью 0,5 м3, группа грунтов 1-3  (140 м2х0,25=35 м3х0,9=31,5м3)</v>
      </c>
      <c r="D51" s="25" t="s">
        <v>68</v>
      </c>
      <c r="E51" s="36">
        <f>'Source (3)'!I191</f>
        <v>0.315</v>
      </c>
      <c r="F51" s="25" t="str">
        <f>'Source (3)'!U180</f>
        <v/>
      </c>
      <c r="G51" s="25" t="str">
        <f>"=31,5/"&amp;"100"</f>
        <v>=31,5/100</v>
      </c>
      <c r="H51" s="35"/>
    </row>
    <row r="52" spans="1:8" ht="28" x14ac:dyDescent="0.25">
      <c r="A52" s="25">
        <v>22</v>
      </c>
      <c r="B52" s="25" t="str">
        <f>'Source (3)'!E192</f>
        <v>22</v>
      </c>
      <c r="C52" s="35" t="str">
        <f>'Source (3)'!G192</f>
        <v>Разработка грунта вручную в траншеях глубиной до 2 м без креплений с откосами, группа грунтов 1-3   (140 м2х0,25=35 м3х0,1=3,5м3)</v>
      </c>
      <c r="D52" s="25" t="s">
        <v>68</v>
      </c>
      <c r="E52" s="36">
        <f>'Source (3)'!I192</f>
        <v>3.5000000000000003E-2</v>
      </c>
      <c r="F52" s="25" t="str">
        <f>'Source (3)'!U180</f>
        <v/>
      </c>
      <c r="G52" s="25" t="str">
        <f>"=3,5/"&amp;"100"</f>
        <v>=3,5/100</v>
      </c>
      <c r="H52" s="35"/>
    </row>
    <row r="53" spans="1:8" ht="42" x14ac:dyDescent="0.25">
      <c r="A53" s="25">
        <v>23</v>
      </c>
      <c r="B53" s="25" t="str">
        <f>'Source (3)'!E193</f>
        <v>23</v>
      </c>
      <c r="C53" s="35" t="str">
        <f>'Source (3)'!G193</f>
        <v>Разработка грунта с погрузкой на автомобили-самосвалы экскаваторами с ковшом вместимостью 0,5 м3, группа грунтов 1-3  (3,5м3*0,9=3,15м3-погрузка грунта разработанного вручную)</v>
      </c>
      <c r="D53" s="25" t="s">
        <v>68</v>
      </c>
      <c r="E53" s="36">
        <f>'Source (3)'!I193</f>
        <v>3.15E-2</v>
      </c>
      <c r="F53" s="25" t="str">
        <f>'Source (3)'!U180</f>
        <v/>
      </c>
      <c r="G53" s="25" t="str">
        <f>"=3,15/"&amp;"100"</f>
        <v>=3,15/100</v>
      </c>
      <c r="H53" s="35"/>
    </row>
    <row r="54" spans="1:8" ht="28" x14ac:dyDescent="0.25">
      <c r="A54" s="25">
        <v>24</v>
      </c>
      <c r="B54" s="25" t="str">
        <f>'Source (3)'!E194</f>
        <v>24</v>
      </c>
      <c r="C54" s="35" t="str">
        <f>'Source (3)'!G194</f>
        <v>Погрузка грунта вручную в автомобили-самосвалы с выгрузкой (3,5м3*0,1=0,35м3)</v>
      </c>
      <c r="D54" s="25" t="s">
        <v>68</v>
      </c>
      <c r="E54" s="36">
        <f>'Source (3)'!I194</f>
        <v>3.5000000000000001E-3</v>
      </c>
      <c r="F54" s="25" t="str">
        <f>'Source (3)'!U180</f>
        <v/>
      </c>
      <c r="G54" s="25" t="str">
        <f>"=0,35/"&amp;"100"</f>
        <v>=0,35/100</v>
      </c>
      <c r="H54" s="35"/>
    </row>
    <row r="55" spans="1:8" ht="28" x14ac:dyDescent="0.25">
      <c r="A55" s="25">
        <v>25</v>
      </c>
      <c r="B55" s="25" t="str">
        <f>'Source (3)'!E195</f>
        <v>25</v>
      </c>
      <c r="C55" s="35" t="str">
        <f>'Source (3)'!G195</f>
        <v>Перевозка грунта автосамосвалами грузоподъемностью до 10 т на расстояние 1 км</v>
      </c>
      <c r="D55" s="25" t="s">
        <v>62</v>
      </c>
      <c r="E55" s="36">
        <f>'Source (3)'!I195</f>
        <v>35</v>
      </c>
      <c r="F55" s="25" t="str">
        <f>'Source (3)'!U180</f>
        <v/>
      </c>
      <c r="G55" s="25">
        <f>'Source (3)'!I195</f>
        <v>35</v>
      </c>
      <c r="H55" s="35"/>
    </row>
    <row r="56" spans="1:8" ht="28" x14ac:dyDescent="0.25">
      <c r="A56" s="25">
        <v>26</v>
      </c>
      <c r="B56" s="25" t="str">
        <f>'Source (3)'!E196</f>
        <v>26</v>
      </c>
      <c r="C56" s="35" t="str">
        <f>'Source (3)'!G196</f>
        <v>Перевозка грунта автосамосвалами грузоподъемностью до 10 т - добавляется на каждый последующий 1 км до 100 км (к поз. 49-3401-1-1)</v>
      </c>
      <c r="D56" s="25" t="s">
        <v>62</v>
      </c>
      <c r="E56" s="36">
        <f>'Source (3)'!I196</f>
        <v>35</v>
      </c>
      <c r="F56" s="25" t="str">
        <f>'Source (3)'!U180</f>
        <v/>
      </c>
      <c r="G56" s="25">
        <f>'Source (3)'!I196</f>
        <v>35</v>
      </c>
      <c r="H56" s="35"/>
    </row>
    <row r="57" spans="1:8" ht="28" x14ac:dyDescent="0.25">
      <c r="A57" s="25">
        <v>27</v>
      </c>
      <c r="B57" s="25" t="str">
        <f>'Source (3)'!E197</f>
        <v>27</v>
      </c>
      <c r="C57" s="35" t="str">
        <f>'Source (3)'!G197</f>
        <v>Устройство подстилающих и выравнивающих слоев оснований из песка (10см)</v>
      </c>
      <c r="D57" s="25" t="s">
        <v>68</v>
      </c>
      <c r="E57" s="36">
        <f>'Source (3)'!I197</f>
        <v>0.20499999999999999</v>
      </c>
      <c r="F57" s="25" t="str">
        <f>'Source (3)'!U180</f>
        <v/>
      </c>
      <c r="G57" s="25" t="str">
        <f>"=20,5/"&amp;"100"</f>
        <v>=20,5/100</v>
      </c>
      <c r="H57" s="35"/>
    </row>
    <row r="58" spans="1:8" ht="28" x14ac:dyDescent="0.25">
      <c r="A58" s="25">
        <v>28</v>
      </c>
      <c r="B58" s="25" t="str">
        <f>'Source (3)'!E198</f>
        <v>28</v>
      </c>
      <c r="C58" s="35" t="str">
        <f>'Source (3)'!G198</f>
        <v>Устройство подстилающих и выравнивающих слоев оснований из щебня (10 см)</v>
      </c>
      <c r="D58" s="25" t="s">
        <v>68</v>
      </c>
      <c r="E58" s="36">
        <f>'Source (3)'!I198</f>
        <v>0.20499999999999999</v>
      </c>
      <c r="F58" s="25" t="str">
        <f>'Source (3)'!U180</f>
        <v/>
      </c>
      <c r="G58" s="25" t="str">
        <f>"=20,5/"&amp;"100"</f>
        <v>=20,5/100</v>
      </c>
      <c r="H58" s="35"/>
    </row>
    <row r="59" spans="1:8" ht="28" x14ac:dyDescent="0.25">
      <c r="A59" s="25">
        <v>28.1</v>
      </c>
      <c r="B59" s="25" t="str">
        <f>'Source (3)'!E199</f>
        <v>28,1</v>
      </c>
      <c r="C59" s="35" t="str">
        <f>'Source (3)'!G199</f>
        <v>Щебень из естественного камня для строительных работ, марка 1200-800, фракция 20-40 мм</v>
      </c>
      <c r="D59" s="25" t="s">
        <v>62</v>
      </c>
      <c r="E59" s="36">
        <f>'Source (3)'!I199</f>
        <v>-25.83</v>
      </c>
      <c r="F59" s="25" t="str">
        <f>'Source (3)'!U180</f>
        <v/>
      </c>
      <c r="G59" s="25"/>
      <c r="H59" s="35"/>
    </row>
    <row r="60" spans="1:8" ht="28" x14ac:dyDescent="0.25">
      <c r="A60" s="25">
        <v>28.2</v>
      </c>
      <c r="B60" s="25" t="str">
        <f>'Source (3)'!E200</f>
        <v>28,2</v>
      </c>
      <c r="C60" s="35" t="str">
        <f>'Source (3)'!G200</f>
        <v>Щебень из естественного камня для строительных работ, марка 600-400, фракция 20-40 мм</v>
      </c>
      <c r="D60" s="25" t="s">
        <v>62</v>
      </c>
      <c r="E60" s="36">
        <f>'Source (3)'!I200</f>
        <v>25.83</v>
      </c>
      <c r="F60" s="25" t="str">
        <f>'Source (3)'!U180</f>
        <v/>
      </c>
      <c r="G60" s="25"/>
      <c r="H60" s="35"/>
    </row>
    <row r="61" spans="1:8" ht="28" x14ac:dyDescent="0.25">
      <c r="A61" s="25">
        <v>29</v>
      </c>
      <c r="B61" s="25" t="str">
        <f>'Source (3)'!E201</f>
        <v>29</v>
      </c>
      <c r="C61" s="35" t="str">
        <f>'Source (3)'!G201</f>
        <v>Устройство асфальтобетонных покрытий дорожек и тротуаров двухслойных, верхний слой из песчаной асфальтобетонной смеси толщиной 3 см (5см)</v>
      </c>
      <c r="D61" s="25" t="s">
        <v>60</v>
      </c>
      <c r="E61" s="36">
        <f>'Source (3)'!I201</f>
        <v>2.0499999999999998</v>
      </c>
      <c r="F61" s="25" t="str">
        <f>'Source (3)'!U180</f>
        <v/>
      </c>
      <c r="G61" s="25" t="str">
        <f>"=205/"&amp;"100"</f>
        <v>=205/100</v>
      </c>
      <c r="H61" s="35"/>
    </row>
    <row r="62" spans="1:8" ht="14" x14ac:dyDescent="0.25">
      <c r="A62" s="25">
        <v>29.1</v>
      </c>
      <c r="B62" s="25" t="str">
        <f>'Source (3)'!E202</f>
        <v>29,1</v>
      </c>
      <c r="C62" s="35" t="str">
        <f>'Source (3)'!G202</f>
        <v>Смеси асфальтобетонные дорожные горячие песчаные, тип Д, марка III</v>
      </c>
      <c r="D62" s="25" t="s">
        <v>63</v>
      </c>
      <c r="E62" s="36">
        <f>'Source (3)'!I202</f>
        <v>-14.637</v>
      </c>
      <c r="F62" s="25" t="str">
        <f>'Source (3)'!U180</f>
        <v/>
      </c>
      <c r="G62" s="25"/>
      <c r="H62" s="35"/>
    </row>
    <row r="63" spans="1:8" ht="14" x14ac:dyDescent="0.25">
      <c r="A63" s="25">
        <v>29.2</v>
      </c>
      <c r="B63" s="25" t="str">
        <f>'Source (3)'!E203</f>
        <v>29,2</v>
      </c>
      <c r="C63" s="35" t="str">
        <f>'Source (3)'!G203</f>
        <v>Смеси асфальтобетонные дорожные горячие песчаные, тип Д, марка II</v>
      </c>
      <c r="D63" s="25" t="s">
        <v>63</v>
      </c>
      <c r="E63" s="36">
        <f>'Source (3)'!I203</f>
        <v>23.923500000000001</v>
      </c>
      <c r="F63" s="25" t="str">
        <f>'Source (3)'!U180</f>
        <v/>
      </c>
      <c r="G63" s="25"/>
      <c r="H63" s="35"/>
    </row>
    <row r="64" spans="1:8" ht="16.5" x14ac:dyDescent="0.35">
      <c r="A64" s="85" t="str">
        <f>CONCATENATE("Раздел: ", 'Source (3)'!G235)</f>
        <v>Раздел: Ремонт газонов -800м2</v>
      </c>
      <c r="B64" s="85"/>
      <c r="C64" s="85"/>
      <c r="D64" s="85"/>
      <c r="E64" s="85"/>
      <c r="F64" s="85"/>
      <c r="G64" s="85"/>
      <c r="H64" s="85"/>
    </row>
    <row r="65" spans="1:8" ht="28" x14ac:dyDescent="0.25">
      <c r="A65" s="25">
        <v>30</v>
      </c>
      <c r="B65" s="25" t="str">
        <f>'Source (3)'!E239</f>
        <v>30</v>
      </c>
      <c r="C65" s="35" t="str">
        <f>'Source (3)'!G239</f>
        <v>Подготовка почвы для устройства партерного и обыкновенного газонов с внесением растительной земли слоем 15 см механизированным способом</v>
      </c>
      <c r="D65" s="25" t="s">
        <v>60</v>
      </c>
      <c r="E65" s="36">
        <f>'Source (3)'!I239</f>
        <v>6</v>
      </c>
      <c r="F65" s="25" t="str">
        <f>'Source (3)'!U235</f>
        <v/>
      </c>
      <c r="G65" s="25" t="str">
        <f>"=600/"&amp;"100"</f>
        <v>=600/100</v>
      </c>
      <c r="H65" s="35"/>
    </row>
    <row r="66" spans="1:8" ht="28" x14ac:dyDescent="0.25">
      <c r="A66" s="25">
        <v>31</v>
      </c>
      <c r="B66" s="25" t="str">
        <f>'Source (3)'!E240</f>
        <v>31</v>
      </c>
      <c r="C66" s="35" t="str">
        <f>'Source (3)'!G240</f>
        <v>Подготовка почвы для устройства партерного и обыкновенного газонов с внесением растительной земли слоем 15 см вручную</v>
      </c>
      <c r="D66" s="25" t="s">
        <v>60</v>
      </c>
      <c r="E66" s="36">
        <f>'Source (3)'!I240</f>
        <v>2</v>
      </c>
      <c r="F66" s="25" t="str">
        <f>'Source (3)'!U235</f>
        <v/>
      </c>
      <c r="G66" s="25" t="str">
        <f>"=200/"&amp;"100"</f>
        <v>=200/100</v>
      </c>
      <c r="H66" s="35"/>
    </row>
    <row r="67" spans="1:8" ht="28" x14ac:dyDescent="0.25">
      <c r="A67" s="25">
        <v>32</v>
      </c>
      <c r="B67" s="25" t="str">
        <f>'Source (3)'!E241</f>
        <v>32</v>
      </c>
      <c r="C67" s="35" t="str">
        <f>'Source (3)'!G241</f>
        <v>Подготовка почвы для устройства партерного и обыкновенного газонов на каждые 5 см изменения толщины слоя добавлять или исключать</v>
      </c>
      <c r="D67" s="25" t="s">
        <v>60</v>
      </c>
      <c r="E67" s="36">
        <f>'Source (3)'!I241</f>
        <v>-8</v>
      </c>
      <c r="F67" s="25" t="str">
        <f>'Source (3)'!U235</f>
        <v/>
      </c>
      <c r="G67" s="25" t="str">
        <f>"=-"&amp;"800/"&amp;"100"</f>
        <v>=-800/100</v>
      </c>
      <c r="H67" s="35"/>
    </row>
    <row r="68" spans="1:8" ht="14" x14ac:dyDescent="0.25">
      <c r="A68" s="25">
        <v>33</v>
      </c>
      <c r="B68" s="25" t="str">
        <f>'Source (3)'!E242</f>
        <v>33</v>
      </c>
      <c r="C68" s="35" t="str">
        <f>'Source (3)'!G242</f>
        <v>Посев газонов партерных, мавританских, и обыкновенных вручную</v>
      </c>
      <c r="D68" s="25" t="s">
        <v>60</v>
      </c>
      <c r="E68" s="36">
        <f>'Source (3)'!I242</f>
        <v>8</v>
      </c>
      <c r="F68" s="25" t="str">
        <f>'Source (3)'!U235</f>
        <v/>
      </c>
      <c r="G68" s="25" t="str">
        <f>"=800/"&amp;"100"</f>
        <v>=800/100</v>
      </c>
      <c r="H68" s="35"/>
    </row>
    <row r="69" spans="1:8" ht="16.5" x14ac:dyDescent="0.35">
      <c r="A69" s="85" t="str">
        <f>CONCATENATE("Раздел: ", 'Source (3)'!G274)</f>
        <v>Раздел: Устройство парковочных столбиков -42 шт.</v>
      </c>
      <c r="B69" s="85"/>
      <c r="C69" s="85"/>
      <c r="D69" s="85"/>
      <c r="E69" s="85"/>
      <c r="F69" s="85"/>
      <c r="G69" s="85"/>
      <c r="H69" s="85"/>
    </row>
    <row r="70" spans="1:8" ht="42" x14ac:dyDescent="0.25">
      <c r="A70" s="25">
        <v>34</v>
      </c>
      <c r="B70" s="25" t="str">
        <f>'Source (3)'!E278</f>
        <v>34</v>
      </c>
      <c r="C70" s="35" t="str">
        <f>'Source (3)'!G278</f>
        <v>Сверление сквозных отверстий в бетонных стенах и полах электроперфоратором, диаметр отверстия до 20 мм, глубина сверления 100 мм (установка антипарковочных столбиков)</v>
      </c>
      <c r="D70" s="25" t="s">
        <v>405</v>
      </c>
      <c r="E70" s="36">
        <f>'Source (3)'!I278</f>
        <v>0</v>
      </c>
      <c r="F70" s="25" t="str">
        <f>'Source (3)'!U274</f>
        <v/>
      </c>
      <c r="G70" s="25" t="str">
        <f>"=42/"&amp;"100"</f>
        <v>=42/100</v>
      </c>
      <c r="H70" s="35"/>
    </row>
    <row r="71" spans="1:8" ht="28" x14ac:dyDescent="0.25">
      <c r="A71" s="25">
        <v>35</v>
      </c>
      <c r="B71" s="25" t="str">
        <f>'Source (3)'!E279</f>
        <v>35</v>
      </c>
      <c r="C71" s="35" t="str">
        <f>'Source (3)'!G279</f>
        <v>Установка распорных анкеров в готовые отверстия, анкер-болт M16/25 - M16/50  (установка антипарковочных столбиков)</v>
      </c>
      <c r="D71" s="25" t="s">
        <v>66</v>
      </c>
      <c r="E71" s="36">
        <f>'Source (3)'!I279</f>
        <v>0</v>
      </c>
      <c r="F71" s="25" t="str">
        <f>'Source (3)'!U274</f>
        <v/>
      </c>
      <c r="G71" s="25" t="str">
        <f>"=42/"&amp;"100"</f>
        <v>=42/100</v>
      </c>
      <c r="H71" s="35"/>
    </row>
    <row r="72" spans="1:8" ht="14" x14ac:dyDescent="0.25">
      <c r="A72" s="25">
        <v>35.1</v>
      </c>
      <c r="B72" s="25" t="str">
        <f>'Source (3)'!E280</f>
        <v>35,1</v>
      </c>
      <c r="C72" s="35" t="str">
        <f>'Source (3)'!G280</f>
        <v>Анкер-болт забивной распорный, оцинкованный, HSL M16/50</v>
      </c>
      <c r="D72" s="25" t="s">
        <v>66</v>
      </c>
      <c r="E72" s="36">
        <f>'Source (3)'!I280</f>
        <v>0</v>
      </c>
      <c r="F72" s="25" t="str">
        <f>'Source (3)'!U274</f>
        <v/>
      </c>
      <c r="G72" s="25"/>
      <c r="H72" s="35"/>
    </row>
    <row r="73" spans="1:8" ht="14" x14ac:dyDescent="0.25">
      <c r="A73" s="25">
        <v>35.200000000000003</v>
      </c>
      <c r="B73" s="25" t="str">
        <f>'Source (3)'!E281</f>
        <v>35,2</v>
      </c>
      <c r="C73" s="35" t="str">
        <f>'Source (3)'!G281</f>
        <v>Анкер-болт забивной распорный, оцинкованный, HSL M16/25</v>
      </c>
      <c r="D73" s="25" t="s">
        <v>66</v>
      </c>
      <c r="E73" s="36">
        <f>'Source (3)'!I281</f>
        <v>0</v>
      </c>
      <c r="F73" s="25" t="str">
        <f>'Source (3)'!U274</f>
        <v/>
      </c>
      <c r="G73" s="25"/>
      <c r="H73" s="35"/>
    </row>
    <row r="74" spans="1:8" ht="28" x14ac:dyDescent="0.25">
      <c r="A74" s="8">
        <v>35.299999999999997</v>
      </c>
      <c r="B74" s="8" t="str">
        <f>'Source (3)'!E282</f>
        <v>35,3</v>
      </c>
      <c r="C74" s="37" t="str">
        <f>'Source (3)'!G282</f>
        <v>Парковочный столбик (анкерное крепление)          Базисная стоимость: 1291,67 =  (1550,00/1,2)</v>
      </c>
      <c r="D74" s="8" t="s">
        <v>67</v>
      </c>
      <c r="E74" s="38">
        <f>'Source (3)'!I282</f>
        <v>0</v>
      </c>
      <c r="F74" s="8" t="str">
        <f>'Source (3)'!U274</f>
        <v/>
      </c>
      <c r="G74" s="8"/>
      <c r="H74" s="37"/>
    </row>
    <row r="77" spans="1:8" ht="14" x14ac:dyDescent="0.3">
      <c r="B77" s="39" t="s">
        <v>69</v>
      </c>
      <c r="C77" s="4"/>
      <c r="D77" s="39" t="s">
        <v>70</v>
      </c>
      <c r="E77" s="19"/>
    </row>
  </sheetData>
  <mergeCells count="11">
    <mergeCell ref="A19:H19"/>
    <mergeCell ref="D5:E5"/>
    <mergeCell ref="D7:E7"/>
    <mergeCell ref="B12:E12"/>
    <mergeCell ref="B13:E13"/>
    <mergeCell ref="A18:H18"/>
    <mergeCell ref="A31:H31"/>
    <mergeCell ref="A40:H40"/>
    <mergeCell ref="A43:H43"/>
    <mergeCell ref="A64:H64"/>
    <mergeCell ref="A69:H69"/>
  </mergeCells>
  <pageMargins left="0.4" right="0.2" top="0.2" bottom="0.4" header="0.2" footer="0.2"/>
  <pageSetup paperSize="9" scale="59" fitToHeight="0" orientation="portrait" r:id="rId1"/>
  <headerFooter>
    <oddHeader>&amp;L&amp;8</oddHeader>
    <oddFooter>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AB63D-94F0-4EA2-B066-2F4D6DF14A08}">
  <sheetPr>
    <pageSetUpPr fitToPage="1"/>
  </sheetPr>
  <dimension ref="A2:Q90"/>
  <sheetViews>
    <sheetView workbookViewId="0">
      <selection activeCell="J298" sqref="J298"/>
    </sheetView>
  </sheetViews>
  <sheetFormatPr defaultColWidth="9.1796875" defaultRowHeight="12.5" x14ac:dyDescent="0.25"/>
  <cols>
    <col min="1" max="1" width="18.7265625" style="2" customWidth="1"/>
    <col min="2" max="2" width="40.7265625" style="2" customWidth="1"/>
    <col min="3" max="6" width="12.7265625" style="2" customWidth="1"/>
    <col min="7" max="14" width="9.1796875" style="2"/>
    <col min="15" max="15" width="109.7265625" style="2" hidden="1" customWidth="1"/>
    <col min="16" max="18" width="0" style="2" hidden="1" customWidth="1"/>
    <col min="19" max="16384" width="9.1796875" style="2"/>
  </cols>
  <sheetData>
    <row r="2" spans="1:17" ht="16.5" x14ac:dyDescent="0.25">
      <c r="A2" s="92" t="s">
        <v>71</v>
      </c>
      <c r="B2" s="93"/>
      <c r="C2" s="93"/>
      <c r="D2" s="93"/>
      <c r="E2" s="93"/>
      <c r="F2" s="93"/>
    </row>
    <row r="3" spans="1:17" ht="16.5" x14ac:dyDescent="0.25">
      <c r="A3" s="92" t="str">
        <f>CONCATENATE("Объект: ",IF('Source (3)'!G354&lt;&gt;"Новый объект", 'Source (3)'!G354, ""))</f>
        <v>Объект: Шоссейная д.20</v>
      </c>
      <c r="B3" s="93"/>
      <c r="C3" s="93"/>
      <c r="D3" s="93"/>
      <c r="E3" s="93"/>
      <c r="F3" s="93"/>
    </row>
    <row r="4" spans="1:17" x14ac:dyDescent="0.25">
      <c r="A4" s="83" t="s">
        <v>72</v>
      </c>
      <c r="B4" s="83" t="s">
        <v>73</v>
      </c>
      <c r="C4" s="83" t="s">
        <v>9</v>
      </c>
      <c r="D4" s="83" t="s">
        <v>74</v>
      </c>
      <c r="E4" s="97" t="s">
        <v>75</v>
      </c>
      <c r="F4" s="98"/>
    </row>
    <row r="5" spans="1:17" x14ac:dyDescent="0.25">
      <c r="A5" s="84"/>
      <c r="B5" s="84"/>
      <c r="C5" s="84"/>
      <c r="D5" s="84"/>
      <c r="E5" s="99"/>
      <c r="F5" s="100"/>
    </row>
    <row r="6" spans="1:17" ht="14" x14ac:dyDescent="0.25">
      <c r="A6" s="96"/>
      <c r="B6" s="96"/>
      <c r="C6" s="96"/>
      <c r="D6" s="96"/>
      <c r="E6" s="8" t="s">
        <v>76</v>
      </c>
      <c r="F6" s="8" t="s">
        <v>77</v>
      </c>
    </row>
    <row r="7" spans="1:17" ht="14" x14ac:dyDescent="0.25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</row>
    <row r="8" spans="1:17" ht="16.5" x14ac:dyDescent="0.25">
      <c r="A8" s="92" t="str">
        <f>CONCATENATE("Локальная смета: ",IF('Source (3)'!G22&lt;&gt;"Новая локальная смета", 'Source (3)'!G22, ""))</f>
        <v xml:space="preserve">Локальная смета: </v>
      </c>
      <c r="B8" s="93"/>
      <c r="C8" s="93"/>
      <c r="D8" s="93"/>
      <c r="E8" s="93"/>
      <c r="F8" s="93"/>
    </row>
    <row r="9" spans="1:17" ht="16.5" x14ac:dyDescent="0.25">
      <c r="A9" s="92" t="str">
        <f>CONCATENATE("Раздел: ",IF('Source (3)'!G26&lt;&gt;"Новый раздел", 'Source (3)'!G26, ""))</f>
        <v>Раздел: Ремонт дорожно-тропиночной сети с асфальтобетонным покрытием  - 1800 м2</v>
      </c>
      <c r="B9" s="93"/>
      <c r="C9" s="93"/>
      <c r="D9" s="93"/>
      <c r="E9" s="93"/>
      <c r="F9" s="93"/>
      <c r="O9" s="40" t="s">
        <v>406</v>
      </c>
    </row>
    <row r="10" spans="1:17" ht="14" x14ac:dyDescent="0.25">
      <c r="A10" s="94" t="s">
        <v>79</v>
      </c>
      <c r="B10" s="95"/>
      <c r="C10" s="95"/>
      <c r="D10" s="95"/>
      <c r="E10" s="95"/>
      <c r="F10" s="95"/>
    </row>
    <row r="11" spans="1:17" ht="28" x14ac:dyDescent="0.3">
      <c r="A11" s="41" t="s">
        <v>80</v>
      </c>
      <c r="B11" s="32" t="s">
        <v>81</v>
      </c>
      <c r="C11" s="32" t="s">
        <v>82</v>
      </c>
      <c r="D11" s="33" t="e">
        <f>ROUND(SUMIF([1]RV_DATA!Z8:'[1]RV_DATA'!Z31, 2019294988, [1]RV_DATA!I8:'[1]RV_DATA'!I31), 6)</f>
        <v>#REF!</v>
      </c>
      <c r="E11" s="42">
        <f>ROUND([1]RV_DATA!K14, 6)</f>
        <v>1208.6099999999999</v>
      </c>
      <c r="F11" s="42" t="e">
        <f>ROUND(SUMIF([1]RV_DATA!Z8:'[1]RV_DATA'!Z31, 2019294988, [1]RV_DATA!M8:'[1]RV_DATA'!M31), 6)</f>
        <v>#REF!</v>
      </c>
      <c r="Q11" s="2">
        <v>2</v>
      </c>
    </row>
    <row r="12" spans="1:17" ht="70" x14ac:dyDescent="0.3">
      <c r="A12" s="41" t="s">
        <v>83</v>
      </c>
      <c r="B12" s="32" t="s">
        <v>84</v>
      </c>
      <c r="C12" s="32" t="s">
        <v>82</v>
      </c>
      <c r="D12" s="33" t="e">
        <f>ROUND(SUMIF([1]RV_DATA!Z8:'[1]RV_DATA'!Z31, 1314952838, [1]RV_DATA!I8:'[1]RV_DATA'!I31), 6)</f>
        <v>#REF!</v>
      </c>
      <c r="E12" s="42">
        <f>ROUND([1]RV_DATA!K13, 6)</f>
        <v>987.45</v>
      </c>
      <c r="F12" s="42" t="e">
        <f>ROUND(SUMIF([1]RV_DATA!Z8:'[1]RV_DATA'!Z31, 1314952838, [1]RV_DATA!M8:'[1]RV_DATA'!M31), 6)</f>
        <v>#REF!</v>
      </c>
      <c r="Q12" s="2">
        <v>2</v>
      </c>
    </row>
    <row r="13" spans="1:17" ht="28" x14ac:dyDescent="0.3">
      <c r="A13" s="41" t="s">
        <v>85</v>
      </c>
      <c r="B13" s="32" t="s">
        <v>86</v>
      </c>
      <c r="C13" s="32" t="s">
        <v>82</v>
      </c>
      <c r="D13" s="33" t="e">
        <f>ROUND(SUMIF([1]RV_DATA!Z8:'[1]RV_DATA'!Z31, 1824656456, [1]RV_DATA!I8:'[1]RV_DATA'!I31), 6)</f>
        <v>#REF!</v>
      </c>
      <c r="E13" s="42">
        <f>ROUND([1]RV_DATA!K27, 6)</f>
        <v>1070.1199999999999</v>
      </c>
      <c r="F13" s="42" t="e">
        <f>ROUND(SUMIF([1]RV_DATA!Z8:'[1]RV_DATA'!Z31, 1824656456, [1]RV_DATA!M8:'[1]RV_DATA'!M31), 6)</f>
        <v>#REF!</v>
      </c>
      <c r="Q13" s="2">
        <v>2</v>
      </c>
    </row>
    <row r="14" spans="1:17" ht="28" x14ac:dyDescent="0.3">
      <c r="A14" s="41" t="s">
        <v>87</v>
      </c>
      <c r="B14" s="32" t="s">
        <v>88</v>
      </c>
      <c r="C14" s="32" t="s">
        <v>82</v>
      </c>
      <c r="D14" s="33" t="e">
        <f>ROUND(SUMIF([1]RV_DATA!Z8:'[1]RV_DATA'!Z31, -256044164, [1]RV_DATA!I8:'[1]RV_DATA'!I31), 6)</f>
        <v>#REF!</v>
      </c>
      <c r="E14" s="42">
        <f>ROUND([1]RV_DATA!K26, 6)</f>
        <v>1080.76</v>
      </c>
      <c r="F14" s="42" t="e">
        <f>ROUND(SUMIF([1]RV_DATA!Z8:'[1]RV_DATA'!Z31, -256044164, [1]RV_DATA!M8:'[1]RV_DATA'!M31), 6)</f>
        <v>#REF!</v>
      </c>
      <c r="Q14" s="2">
        <v>2</v>
      </c>
    </row>
    <row r="15" spans="1:17" ht="28" x14ac:dyDescent="0.3">
      <c r="A15" s="41" t="s">
        <v>89</v>
      </c>
      <c r="B15" s="32" t="s">
        <v>90</v>
      </c>
      <c r="C15" s="32" t="s">
        <v>82</v>
      </c>
      <c r="D15" s="33" t="e">
        <f>ROUND(SUMIF([1]RV_DATA!Z8:'[1]RV_DATA'!Z31, -48088149, [1]RV_DATA!I8:'[1]RV_DATA'!I31), 6)</f>
        <v>#REF!</v>
      </c>
      <c r="E15" s="42">
        <f>ROUND([1]RV_DATA!K24, 6)</f>
        <v>780.77</v>
      </c>
      <c r="F15" s="42" t="e">
        <f>ROUND(SUMIF([1]RV_DATA!Z8:'[1]RV_DATA'!Z31, -48088149, [1]RV_DATA!M8:'[1]RV_DATA'!M31), 6)</f>
        <v>#REF!</v>
      </c>
      <c r="Q15" s="2">
        <v>2</v>
      </c>
    </row>
    <row r="16" spans="1:17" ht="14" x14ac:dyDescent="0.3">
      <c r="A16" s="41" t="s">
        <v>91</v>
      </c>
      <c r="B16" s="32" t="s">
        <v>92</v>
      </c>
      <c r="C16" s="32" t="s">
        <v>82</v>
      </c>
      <c r="D16" s="33" t="e">
        <f>ROUND(SUMIF([1]RV_DATA!Z8:'[1]RV_DATA'!Z31, -1515012402, [1]RV_DATA!I8:'[1]RV_DATA'!I31), 6)</f>
        <v>#REF!</v>
      </c>
      <c r="E16" s="42">
        <f>ROUND([1]RV_DATA!K12, 6)</f>
        <v>6.02</v>
      </c>
      <c r="F16" s="42" t="e">
        <f>ROUND(SUMIF([1]RV_DATA!Z8:'[1]RV_DATA'!Z31, -1515012402, [1]RV_DATA!M8:'[1]RV_DATA'!M31), 6)</f>
        <v>#REF!</v>
      </c>
      <c r="Q16" s="2">
        <v>2</v>
      </c>
    </row>
    <row r="17" spans="1:17" ht="42" x14ac:dyDescent="0.3">
      <c r="A17" s="41" t="s">
        <v>93</v>
      </c>
      <c r="B17" s="32" t="s">
        <v>94</v>
      </c>
      <c r="C17" s="32" t="s">
        <v>82</v>
      </c>
      <c r="D17" s="33" t="e">
        <f>ROUND(SUMIF([1]RV_DATA!Z8:'[1]RV_DATA'!Z31, -1370074042, [1]RV_DATA!I8:'[1]RV_DATA'!I31), 6)</f>
        <v>#REF!</v>
      </c>
      <c r="E17" s="42">
        <f>ROUND([1]RV_DATA!K11, 6)</f>
        <v>7834.05</v>
      </c>
      <c r="F17" s="42" t="e">
        <f>ROUND(SUMIF([1]RV_DATA!Z8:'[1]RV_DATA'!Z31, -1370074042, [1]RV_DATA!M8:'[1]RV_DATA'!M31), 6)</f>
        <v>#REF!</v>
      </c>
      <c r="Q17" s="2">
        <v>2</v>
      </c>
    </row>
    <row r="18" spans="1:17" ht="28" x14ac:dyDescent="0.3">
      <c r="A18" s="41" t="s">
        <v>95</v>
      </c>
      <c r="B18" s="32" t="s">
        <v>96</v>
      </c>
      <c r="C18" s="32" t="s">
        <v>82</v>
      </c>
      <c r="D18" s="33" t="e">
        <f>ROUND(SUMIF([1]RV_DATA!Z8:'[1]RV_DATA'!Z31, -785264835, [1]RV_DATA!I8:'[1]RV_DATA'!I31), 6)</f>
        <v>#REF!</v>
      </c>
      <c r="E18" s="42">
        <f>ROUND([1]RV_DATA!K23, 6)</f>
        <v>1331.87</v>
      </c>
      <c r="F18" s="42" t="e">
        <f>ROUND(SUMIF([1]RV_DATA!Z8:'[1]RV_DATA'!Z31, -785264835, [1]RV_DATA!M8:'[1]RV_DATA'!M31), 6)</f>
        <v>#REF!</v>
      </c>
      <c r="Q18" s="2">
        <v>2</v>
      </c>
    </row>
    <row r="19" spans="1:17" ht="28" x14ac:dyDescent="0.3">
      <c r="A19" s="41" t="s">
        <v>97</v>
      </c>
      <c r="B19" s="32" t="s">
        <v>98</v>
      </c>
      <c r="C19" s="32" t="s">
        <v>82</v>
      </c>
      <c r="D19" s="33" t="e">
        <f>ROUND(SUMIF([1]RV_DATA!Z8:'[1]RV_DATA'!Z31, -4085501, [1]RV_DATA!I8:'[1]RV_DATA'!I31), 6)</f>
        <v>#REF!</v>
      </c>
      <c r="E19" s="42">
        <f>ROUND([1]RV_DATA!K22, 6)</f>
        <v>1364.68</v>
      </c>
      <c r="F19" s="42" t="e">
        <f>ROUND(SUMIF([1]RV_DATA!Z8:'[1]RV_DATA'!Z31, -4085501, [1]RV_DATA!M8:'[1]RV_DATA'!M31), 6)</f>
        <v>#REF!</v>
      </c>
      <c r="Q19" s="2">
        <v>2</v>
      </c>
    </row>
    <row r="20" spans="1:17" ht="28" x14ac:dyDescent="0.3">
      <c r="A20" s="41" t="s">
        <v>99</v>
      </c>
      <c r="B20" s="32" t="s">
        <v>100</v>
      </c>
      <c r="C20" s="32" t="s">
        <v>82</v>
      </c>
      <c r="D20" s="33" t="e">
        <f>ROUND(SUMIF([1]RV_DATA!Z8:'[1]RV_DATA'!Z31, 1228350729, [1]RV_DATA!I8:'[1]RV_DATA'!I31), 6)</f>
        <v>#REF!</v>
      </c>
      <c r="E20" s="42">
        <f>ROUND([1]RV_DATA!K21, 6)</f>
        <v>1888.15</v>
      </c>
      <c r="F20" s="42" t="e">
        <f>ROUND(SUMIF([1]RV_DATA!Z8:'[1]RV_DATA'!Z31, 1228350729, [1]RV_DATA!M8:'[1]RV_DATA'!M31), 6)</f>
        <v>#REF!</v>
      </c>
      <c r="Q20" s="2">
        <v>2</v>
      </c>
    </row>
    <row r="21" spans="1:17" ht="28" x14ac:dyDescent="0.3">
      <c r="A21" s="41" t="s">
        <v>101</v>
      </c>
      <c r="B21" s="32" t="s">
        <v>102</v>
      </c>
      <c r="C21" s="32" t="s">
        <v>82</v>
      </c>
      <c r="D21" s="33" t="e">
        <f>ROUND(SUMIF([1]RV_DATA!Z8:'[1]RV_DATA'!Z31, -1406234508, [1]RV_DATA!I8:'[1]RV_DATA'!I31), 6)</f>
        <v>#REF!</v>
      </c>
      <c r="E21" s="42">
        <f>ROUND([1]RV_DATA!K20, 6)</f>
        <v>1586.43</v>
      </c>
      <c r="F21" s="42" t="e">
        <f>ROUND(SUMIF([1]RV_DATA!Z8:'[1]RV_DATA'!Z31, -1406234508, [1]RV_DATA!M8:'[1]RV_DATA'!M31), 6)</f>
        <v>#REF!</v>
      </c>
      <c r="Q21" s="2">
        <v>2</v>
      </c>
    </row>
    <row r="22" spans="1:17" ht="28" x14ac:dyDescent="0.3">
      <c r="A22" s="41" t="s">
        <v>103</v>
      </c>
      <c r="B22" s="32" t="s">
        <v>104</v>
      </c>
      <c r="C22" s="32" t="s">
        <v>82</v>
      </c>
      <c r="D22" s="33" t="e">
        <f>ROUND(SUMIF([1]RV_DATA!Z8:'[1]RV_DATA'!Z31, -1246492657, [1]RV_DATA!I8:'[1]RV_DATA'!I31), 6)</f>
        <v>#REF!</v>
      </c>
      <c r="E22" s="42">
        <f>ROUND([1]RV_DATA!K10, 6)</f>
        <v>1383.17</v>
      </c>
      <c r="F22" s="42" t="e">
        <f>ROUND(SUMIF([1]RV_DATA!Z8:'[1]RV_DATA'!Z31, -1246492657, [1]RV_DATA!M8:'[1]RV_DATA'!M31), 6)</f>
        <v>#REF!</v>
      </c>
      <c r="Q22" s="2">
        <v>2</v>
      </c>
    </row>
    <row r="23" spans="1:17" ht="14" x14ac:dyDescent="0.3">
      <c r="A23" s="90" t="s">
        <v>105</v>
      </c>
      <c r="B23" s="90"/>
      <c r="C23" s="90"/>
      <c r="D23" s="90"/>
      <c r="E23" s="91" t="e">
        <f>SUMIF(Q11:Q22, 2, F11:F22)</f>
        <v>#REF!</v>
      </c>
      <c r="F23" s="91"/>
    </row>
    <row r="24" spans="1:17" ht="14" x14ac:dyDescent="0.25">
      <c r="A24" s="94" t="s">
        <v>106</v>
      </c>
      <c r="B24" s="95"/>
      <c r="C24" s="95"/>
      <c r="D24" s="95"/>
      <c r="E24" s="95"/>
      <c r="F24" s="95"/>
    </row>
    <row r="25" spans="1:17" ht="42" x14ac:dyDescent="0.3">
      <c r="A25" s="41" t="s">
        <v>107</v>
      </c>
      <c r="B25" s="32" t="s">
        <v>108</v>
      </c>
      <c r="C25" s="32" t="s">
        <v>62</v>
      </c>
      <c r="D25" s="33" t="e">
        <f>ROUND(SUMIF([1]RV_DATA!Z8:'[1]RV_DATA'!Z31, 1599901582, [1]RV_DATA!I8:'[1]RV_DATA'!I31), 6)</f>
        <v>#REF!</v>
      </c>
      <c r="E25" s="42">
        <f>ROUND([1]RV_DATA!K25, 6)</f>
        <v>1232.5</v>
      </c>
      <c r="F25" s="42" t="e">
        <f>ROUND(SUMIF([1]RV_DATA!Z8:'[1]RV_DATA'!Z31, 1599901582, [1]RV_DATA!M8:'[1]RV_DATA'!M31), 6)</f>
        <v>#REF!</v>
      </c>
      <c r="Q25" s="2">
        <v>3</v>
      </c>
    </row>
    <row r="26" spans="1:17" ht="28" x14ac:dyDescent="0.3">
      <c r="A26" s="41" t="s">
        <v>109</v>
      </c>
      <c r="B26" s="32" t="s">
        <v>110</v>
      </c>
      <c r="C26" s="32" t="s">
        <v>63</v>
      </c>
      <c r="D26" s="33" t="e">
        <f>ROUND(SUMIF([1]RV_DATA!Z8:'[1]RV_DATA'!Z31, 294508000, [1]RV_DATA!I8:'[1]RV_DATA'!I31), 6)</f>
        <v>#REF!</v>
      </c>
      <c r="E26" s="42">
        <f>ROUND([1]RV_DATA!K30, 6)</f>
        <v>34834.18</v>
      </c>
      <c r="F26" s="42" t="e">
        <f>ROUND(SUMIF([1]RV_DATA!Z8:'[1]RV_DATA'!Z31, 294508000, [1]RV_DATA!M8:'[1]RV_DATA'!M31), 6)</f>
        <v>#REF!</v>
      </c>
      <c r="Q26" s="2">
        <v>3</v>
      </c>
    </row>
    <row r="27" spans="1:17" ht="14" x14ac:dyDescent="0.3">
      <c r="A27" s="41" t="s">
        <v>111</v>
      </c>
      <c r="B27" s="32" t="s">
        <v>112</v>
      </c>
      <c r="C27" s="32" t="s">
        <v>62</v>
      </c>
      <c r="D27" s="33" t="e">
        <f>ROUND(SUMIF([1]RV_DATA!Z8:'[1]RV_DATA'!Z31, 743170984, [1]RV_DATA!I8:'[1]RV_DATA'!I31), 6)</f>
        <v>#REF!</v>
      </c>
      <c r="E27" s="42">
        <f>ROUND([1]RV_DATA!K9, 6)</f>
        <v>36.31</v>
      </c>
      <c r="F27" s="42" t="e">
        <f>ROUND(SUMIF([1]RV_DATA!Z8:'[1]RV_DATA'!Z31, 743170984, [1]RV_DATA!M8:'[1]RV_DATA'!M31), 6)</f>
        <v>#REF!</v>
      </c>
      <c r="Q27" s="2">
        <v>3</v>
      </c>
    </row>
    <row r="28" spans="1:17" ht="28" x14ac:dyDescent="0.3">
      <c r="A28" s="41" t="s">
        <v>113</v>
      </c>
      <c r="B28" s="32" t="s">
        <v>114</v>
      </c>
      <c r="C28" s="32" t="s">
        <v>67</v>
      </c>
      <c r="D28" s="33" t="e">
        <f>ROUND(SUMIF([1]RV_DATA!Z8:'[1]RV_DATA'!Z31, -1733748040, [1]RV_DATA!I8:'[1]RV_DATA'!I31), 6)</f>
        <v>#REF!</v>
      </c>
      <c r="E28" s="42">
        <f>ROUND([1]RV_DATA!K8, 6)</f>
        <v>256.22000000000003</v>
      </c>
      <c r="F28" s="42" t="e">
        <f>ROUND(SUMIF([1]RV_DATA!Z8:'[1]RV_DATA'!Z31, -1733748040, [1]RV_DATA!M8:'[1]RV_DATA'!M31), 6)</f>
        <v>#REF!</v>
      </c>
      <c r="Q28" s="2">
        <v>3</v>
      </c>
    </row>
    <row r="29" spans="1:17" ht="14" x14ac:dyDescent="0.3">
      <c r="A29" s="90" t="s">
        <v>115</v>
      </c>
      <c r="B29" s="90"/>
      <c r="C29" s="90"/>
      <c r="D29" s="90"/>
      <c r="E29" s="91" t="e">
        <f>SUMIF(Q25:Q28, 3, F25:F28)</f>
        <v>#REF!</v>
      </c>
      <c r="F29" s="91"/>
    </row>
    <row r="30" spans="1:17" ht="16.5" x14ac:dyDescent="0.25">
      <c r="A30" s="92" t="str">
        <f>CONCATENATE("Раздел: ",IF('Source (3)'!G82&lt;&gt;"Новый раздел", 'Source (3)'!G82, ""))</f>
        <v>Раздел: Устройство бортового камня</v>
      </c>
      <c r="B30" s="93"/>
      <c r="C30" s="93"/>
      <c r="D30" s="93"/>
      <c r="E30" s="93"/>
      <c r="F30" s="93"/>
    </row>
    <row r="31" spans="1:17" ht="14" x14ac:dyDescent="0.25">
      <c r="A31" s="94" t="s">
        <v>79</v>
      </c>
      <c r="B31" s="95"/>
      <c r="C31" s="95"/>
      <c r="D31" s="95"/>
      <c r="E31" s="95"/>
      <c r="F31" s="95"/>
    </row>
    <row r="32" spans="1:17" ht="28" x14ac:dyDescent="0.3">
      <c r="A32" s="41" t="s">
        <v>116</v>
      </c>
      <c r="B32" s="32" t="s">
        <v>117</v>
      </c>
      <c r="C32" s="32" t="s">
        <v>82</v>
      </c>
      <c r="D32" s="33" t="e">
        <f>ROUND(SUMIF([1]RV_DATA!Z33:'[1]RV_DATA'!Z45, -1152603303, [1]RV_DATA!I33:'[1]RV_DATA'!I45), 6)</f>
        <v>#REF!</v>
      </c>
      <c r="E32" s="42">
        <f>ROUND([1]RV_DATA!K38, 6)</f>
        <v>493.52</v>
      </c>
      <c r="F32" s="42" t="e">
        <f>ROUND(SUMIF([1]RV_DATA!Z33:'[1]RV_DATA'!Z45, -1152603303, [1]RV_DATA!M33:'[1]RV_DATA'!M45), 6)</f>
        <v>#REF!</v>
      </c>
      <c r="Q32" s="2">
        <v>2</v>
      </c>
    </row>
    <row r="33" spans="1:17" ht="28" x14ac:dyDescent="0.3">
      <c r="A33" s="41" t="s">
        <v>85</v>
      </c>
      <c r="B33" s="32" t="s">
        <v>86</v>
      </c>
      <c r="C33" s="32" t="s">
        <v>82</v>
      </c>
      <c r="D33" s="33" t="e">
        <f>ROUND(SUMIF([1]RV_DATA!Z33:'[1]RV_DATA'!Z45, 1824656456, [1]RV_DATA!I33:'[1]RV_DATA'!I45), 6)</f>
        <v>#REF!</v>
      </c>
      <c r="E33" s="42">
        <f>ROUND([1]RV_DATA!K40, 6)</f>
        <v>1070.1199999999999</v>
      </c>
      <c r="F33" s="42" t="e">
        <f>ROUND(SUMIF([1]RV_DATA!Z33:'[1]RV_DATA'!Z45, 1824656456, [1]RV_DATA!M33:'[1]RV_DATA'!M45), 6)</f>
        <v>#REF!</v>
      </c>
      <c r="Q33" s="2">
        <v>2</v>
      </c>
    </row>
    <row r="34" spans="1:17" ht="28" x14ac:dyDescent="0.3">
      <c r="A34" s="41" t="s">
        <v>87</v>
      </c>
      <c r="B34" s="32" t="s">
        <v>88</v>
      </c>
      <c r="C34" s="32" t="s">
        <v>82</v>
      </c>
      <c r="D34" s="33" t="e">
        <f>ROUND(SUMIF([1]RV_DATA!Z33:'[1]RV_DATA'!Z45, -256044164, [1]RV_DATA!I33:'[1]RV_DATA'!I45), 6)</f>
        <v>#REF!</v>
      </c>
      <c r="E34" s="42">
        <f>ROUND([1]RV_DATA!K39, 6)</f>
        <v>1080.76</v>
      </c>
      <c r="F34" s="42" t="e">
        <f>ROUND(SUMIF([1]RV_DATA!Z33:'[1]RV_DATA'!Z45, -256044164, [1]RV_DATA!M33:'[1]RV_DATA'!M45), 6)</f>
        <v>#REF!</v>
      </c>
      <c r="Q34" s="2">
        <v>2</v>
      </c>
    </row>
    <row r="35" spans="1:17" ht="42" x14ac:dyDescent="0.3">
      <c r="A35" s="41" t="s">
        <v>118</v>
      </c>
      <c r="B35" s="32" t="s">
        <v>119</v>
      </c>
      <c r="C35" s="32" t="s">
        <v>82</v>
      </c>
      <c r="D35" s="33" t="e">
        <f>ROUND(SUMIF([1]RV_DATA!Z33:'[1]RV_DATA'!Z45, -459960526, [1]RV_DATA!I33:'[1]RV_DATA'!I45), 6)</f>
        <v>#REF!</v>
      </c>
      <c r="E35" s="42">
        <f>ROUND([1]RV_DATA!K37, 6)</f>
        <v>1153.51</v>
      </c>
      <c r="F35" s="42" t="e">
        <f>ROUND(SUMIF([1]RV_DATA!Z33:'[1]RV_DATA'!Z45, -459960526, [1]RV_DATA!M33:'[1]RV_DATA'!M45), 6)</f>
        <v>#REF!</v>
      </c>
      <c r="Q35" s="2">
        <v>2</v>
      </c>
    </row>
    <row r="36" spans="1:17" ht="14" x14ac:dyDescent="0.3">
      <c r="A36" s="41" t="s">
        <v>91</v>
      </c>
      <c r="B36" s="32" t="s">
        <v>92</v>
      </c>
      <c r="C36" s="32" t="s">
        <v>82</v>
      </c>
      <c r="D36" s="33" t="e">
        <f>ROUND(SUMIF([1]RV_DATA!Z33:'[1]RV_DATA'!Z45, -1515012402, [1]RV_DATA!I33:'[1]RV_DATA'!I45), 6)</f>
        <v>#REF!</v>
      </c>
      <c r="E36" s="42">
        <f>ROUND([1]RV_DATA!K36, 6)</f>
        <v>6.02</v>
      </c>
      <c r="F36" s="42" t="e">
        <f>ROUND(SUMIF([1]RV_DATA!Z33:'[1]RV_DATA'!Z45, -1515012402, [1]RV_DATA!M33:'[1]RV_DATA'!M45), 6)</f>
        <v>#REF!</v>
      </c>
      <c r="Q36" s="2">
        <v>2</v>
      </c>
    </row>
    <row r="37" spans="1:17" ht="42" x14ac:dyDescent="0.3">
      <c r="A37" s="41" t="s">
        <v>120</v>
      </c>
      <c r="B37" s="32" t="s">
        <v>121</v>
      </c>
      <c r="C37" s="32" t="s">
        <v>82</v>
      </c>
      <c r="D37" s="33" t="e">
        <f>ROUND(SUMIF([1]RV_DATA!Z33:'[1]RV_DATA'!Z45, 2111206009, [1]RV_DATA!I33:'[1]RV_DATA'!I45), 6)</f>
        <v>#REF!</v>
      </c>
      <c r="E37" s="42">
        <f>ROUND([1]RV_DATA!K35, 6)</f>
        <v>857.91</v>
      </c>
      <c r="F37" s="42" t="e">
        <f>ROUND(SUMIF([1]RV_DATA!Z33:'[1]RV_DATA'!Z45, 2111206009, [1]RV_DATA!M33:'[1]RV_DATA'!M45), 6)</f>
        <v>#REF!</v>
      </c>
      <c r="Q37" s="2">
        <v>2</v>
      </c>
    </row>
    <row r="38" spans="1:17" ht="14" x14ac:dyDescent="0.3">
      <c r="A38" s="90" t="s">
        <v>105</v>
      </c>
      <c r="B38" s="90"/>
      <c r="C38" s="90"/>
      <c r="D38" s="90"/>
      <c r="E38" s="91" t="e">
        <f>SUMIF(Q32:Q37, 2, F32:F37)</f>
        <v>#REF!</v>
      </c>
      <c r="F38" s="91"/>
    </row>
    <row r="39" spans="1:17" ht="14" x14ac:dyDescent="0.25">
      <c r="A39" s="94" t="s">
        <v>106</v>
      </c>
      <c r="B39" s="95"/>
      <c r="C39" s="95"/>
      <c r="D39" s="95"/>
      <c r="E39" s="95"/>
      <c r="F39" s="95"/>
    </row>
    <row r="40" spans="1:17" ht="56" x14ac:dyDescent="0.3">
      <c r="A40" s="41" t="s">
        <v>122</v>
      </c>
      <c r="B40" s="32" t="s">
        <v>123</v>
      </c>
      <c r="C40" s="32" t="s">
        <v>67</v>
      </c>
      <c r="D40" s="33" t="e">
        <f>ROUND(SUMIF([1]RV_DATA!Z33:'[1]RV_DATA'!Z45, -1336401491, [1]RV_DATA!I33:'[1]RV_DATA'!I45), 6)</f>
        <v>#REF!</v>
      </c>
      <c r="E40" s="42">
        <f>ROUND([1]RV_DATA!K45, 6)</f>
        <v>140.25</v>
      </c>
      <c r="F40" s="42" t="e">
        <f>ROUND(SUMIF([1]RV_DATA!Z33:'[1]RV_DATA'!Z45, -1336401491, [1]RV_DATA!M33:'[1]RV_DATA'!M45), 6)</f>
        <v>#REF!</v>
      </c>
      <c r="Q40" s="2">
        <v>3</v>
      </c>
    </row>
    <row r="41" spans="1:17" ht="56" x14ac:dyDescent="0.3">
      <c r="A41" s="41" t="s">
        <v>124</v>
      </c>
      <c r="B41" s="32" t="s">
        <v>125</v>
      </c>
      <c r="C41" s="32" t="s">
        <v>62</v>
      </c>
      <c r="D41" s="33" t="e">
        <f>ROUND(SUMIF([1]RV_DATA!Z33:'[1]RV_DATA'!Z45, -1473608290, [1]RV_DATA!I33:'[1]RV_DATA'!I45), 6)</f>
        <v>#REF!</v>
      </c>
      <c r="E41" s="42">
        <f>ROUND([1]RV_DATA!K34, 6)</f>
        <v>3886.23</v>
      </c>
      <c r="F41" s="42" t="e">
        <f>ROUND(SUMIF([1]RV_DATA!Z33:'[1]RV_DATA'!Z45, -1473608290, [1]RV_DATA!M33:'[1]RV_DATA'!M45), 6)</f>
        <v>#REF!</v>
      </c>
      <c r="Q41" s="2">
        <v>3</v>
      </c>
    </row>
    <row r="42" spans="1:17" ht="56" x14ac:dyDescent="0.3">
      <c r="A42" s="41" t="s">
        <v>126</v>
      </c>
      <c r="B42" s="32" t="s">
        <v>127</v>
      </c>
      <c r="C42" s="32" t="s">
        <v>62</v>
      </c>
      <c r="D42" s="33" t="e">
        <f>ROUND(SUMIF([1]RV_DATA!Z33:'[1]RV_DATA'!Z45, -462793493, [1]RV_DATA!I33:'[1]RV_DATA'!I45), 6)</f>
        <v>#REF!</v>
      </c>
      <c r="E42" s="42">
        <f>ROUND([1]RV_DATA!K44, 6)</f>
        <v>3917.3</v>
      </c>
      <c r="F42" s="42" t="e">
        <f>ROUND(SUMIF([1]RV_DATA!Z33:'[1]RV_DATA'!Z45, -462793493, [1]RV_DATA!M33:'[1]RV_DATA'!M45), 6)</f>
        <v>#REF!</v>
      </c>
      <c r="Q42" s="2">
        <v>3</v>
      </c>
    </row>
    <row r="43" spans="1:17" ht="28" x14ac:dyDescent="0.3">
      <c r="A43" s="41" t="s">
        <v>128</v>
      </c>
      <c r="B43" s="32" t="s">
        <v>129</v>
      </c>
      <c r="C43" s="32" t="s">
        <v>62</v>
      </c>
      <c r="D43" s="33" t="e">
        <f>ROUND(SUMIF([1]RV_DATA!Z33:'[1]RV_DATA'!Z45, -718781211, [1]RV_DATA!I33:'[1]RV_DATA'!I45), 6)</f>
        <v>#REF!</v>
      </c>
      <c r="E43" s="42">
        <f>ROUND([1]RV_DATA!K33, 6)</f>
        <v>7871.69</v>
      </c>
      <c r="F43" s="42" t="e">
        <f>ROUND(SUMIF([1]RV_DATA!Z33:'[1]RV_DATA'!Z45, -718781211, [1]RV_DATA!M33:'[1]RV_DATA'!M45), 6)</f>
        <v>#REF!</v>
      </c>
      <c r="Q43" s="2">
        <v>3</v>
      </c>
    </row>
    <row r="44" spans="1:17" ht="14" x14ac:dyDescent="0.3">
      <c r="A44" s="90" t="s">
        <v>115</v>
      </c>
      <c r="B44" s="90"/>
      <c r="C44" s="90"/>
      <c r="D44" s="90"/>
      <c r="E44" s="91" t="e">
        <f>SUMIF(Q40:Q43, 3, F40:F43)</f>
        <v>#REF!</v>
      </c>
      <c r="F44" s="91"/>
    </row>
    <row r="45" spans="1:17" ht="16.5" x14ac:dyDescent="0.25">
      <c r="A45" s="92" t="str">
        <f>CONCATENATE("Раздел: ",IF('Source (3)'!G135&lt;&gt;"Новый раздел", 'Source (3)'!G135, ""))</f>
        <v>Раздел: Устройство малых архитектурных форм</v>
      </c>
      <c r="B45" s="93"/>
      <c r="C45" s="93"/>
      <c r="D45" s="93"/>
      <c r="E45" s="93"/>
      <c r="F45" s="93"/>
    </row>
    <row r="46" spans="1:17" ht="14" x14ac:dyDescent="0.25">
      <c r="A46" s="94" t="s">
        <v>106</v>
      </c>
      <c r="B46" s="95"/>
      <c r="C46" s="95"/>
      <c r="D46" s="95"/>
      <c r="E46" s="95"/>
      <c r="F46" s="95"/>
    </row>
    <row r="47" spans="1:17" ht="42" x14ac:dyDescent="0.3">
      <c r="A47" s="41" t="s">
        <v>130</v>
      </c>
      <c r="B47" s="32" t="s">
        <v>131</v>
      </c>
      <c r="C47" s="32" t="s">
        <v>67</v>
      </c>
      <c r="D47" s="33" t="e">
        <f>ROUND(SUMIF([1]RV_DATA!Z47:'[1]RV_DATA'!Z48, 1633630556, [1]RV_DATA!I47:'[1]RV_DATA'!I48), 6)</f>
        <v>#VALUE!</v>
      </c>
      <c r="E47" s="42">
        <f>ROUND([1]RV_DATA!K48, 6)</f>
        <v>2812.5</v>
      </c>
      <c r="F47" s="42" t="e">
        <f>ROUND(SUMIF([1]RV_DATA!Z47:'[1]RV_DATA'!Z48, 1633630556, [1]RV_DATA!M47:'[1]RV_DATA'!M48), 6)</f>
        <v>#VALUE!</v>
      </c>
      <c r="Q47" s="2">
        <v>3</v>
      </c>
    </row>
    <row r="48" spans="1:17" ht="70" x14ac:dyDescent="0.3">
      <c r="A48" s="41" t="s">
        <v>132</v>
      </c>
      <c r="B48" s="32" t="s">
        <v>133</v>
      </c>
      <c r="C48" s="32" t="s">
        <v>67</v>
      </c>
      <c r="D48" s="33" t="e">
        <f>ROUND(SUMIF([1]RV_DATA!Z47:'[1]RV_DATA'!Z48, -1123188272, [1]RV_DATA!I47:'[1]RV_DATA'!I48), 6)</f>
        <v>#VALUE!</v>
      </c>
      <c r="E48" s="42">
        <f>ROUND([1]RV_DATA!K47, 6)</f>
        <v>20600</v>
      </c>
      <c r="F48" s="42" t="e">
        <f>ROUND(SUMIF([1]RV_DATA!Z47:'[1]RV_DATA'!Z48, -1123188272, [1]RV_DATA!M47:'[1]RV_DATA'!M48), 6)</f>
        <v>#VALUE!</v>
      </c>
      <c r="Q48" s="2">
        <v>3</v>
      </c>
    </row>
    <row r="49" spans="1:17" ht="14" x14ac:dyDescent="0.3">
      <c r="A49" s="90" t="s">
        <v>115</v>
      </c>
      <c r="B49" s="90"/>
      <c r="C49" s="90"/>
      <c r="D49" s="90"/>
      <c r="E49" s="91" t="e">
        <f>SUMIF(Q47:Q48, 3, F47:F48)</f>
        <v>#VALUE!</v>
      </c>
      <c r="F49" s="91"/>
    </row>
    <row r="50" spans="1:17" ht="33" x14ac:dyDescent="0.25">
      <c r="A50" s="92" t="str">
        <f>CONCATENATE("Раздел: ",IF('Source (3)'!G182&lt;&gt;"Новый раздел", 'Source (3)'!G182, ""))</f>
        <v>Раздел: Устройство дорожно-тропиночной сети с асфальтобетонным покрытием -205 м2  ( в том числе площадка отдыха- 65,0 м2, дорожки -140м2)</v>
      </c>
      <c r="B50" s="93"/>
      <c r="C50" s="93"/>
      <c r="D50" s="93"/>
      <c r="E50" s="93"/>
      <c r="F50" s="93"/>
      <c r="O50" s="40" t="s">
        <v>407</v>
      </c>
    </row>
    <row r="51" spans="1:17" ht="14" x14ac:dyDescent="0.25">
      <c r="A51" s="94" t="s">
        <v>79</v>
      </c>
      <c r="B51" s="95"/>
      <c r="C51" s="95"/>
      <c r="D51" s="95"/>
      <c r="E51" s="95"/>
      <c r="F51" s="95"/>
    </row>
    <row r="52" spans="1:17" ht="28" x14ac:dyDescent="0.3">
      <c r="A52" s="41" t="s">
        <v>144</v>
      </c>
      <c r="B52" s="32" t="s">
        <v>145</v>
      </c>
      <c r="C52" s="32" t="s">
        <v>82</v>
      </c>
      <c r="D52" s="33" t="e">
        <f>ROUND(SUMIF([1]RV_DATA!Z50:'[1]RV_DATA'!Z82, -344111480, [1]RV_DATA!I50:'[1]RV_DATA'!I82), 6)</f>
        <v>#REF!</v>
      </c>
      <c r="E52" s="42">
        <f>ROUND([1]RV_DATA!K60, 6)</f>
        <v>1571.99</v>
      </c>
      <c r="F52" s="42" t="e">
        <f>ROUND(SUMIF([1]RV_DATA!Z50:'[1]RV_DATA'!Z82, -344111480, [1]RV_DATA!M50:'[1]RV_DATA'!M82), 6)</f>
        <v>#REF!</v>
      </c>
      <c r="Q52" s="2">
        <v>2</v>
      </c>
    </row>
    <row r="53" spans="1:17" ht="28" x14ac:dyDescent="0.3">
      <c r="A53" s="41" t="s">
        <v>146</v>
      </c>
      <c r="B53" s="32" t="s">
        <v>147</v>
      </c>
      <c r="C53" s="32" t="s">
        <v>82</v>
      </c>
      <c r="D53" s="33" t="e">
        <f>ROUND(SUMIF([1]RV_DATA!Z50:'[1]RV_DATA'!Z82, -874375362, [1]RV_DATA!I50:'[1]RV_DATA'!I82), 6)</f>
        <v>#REF!</v>
      </c>
      <c r="E53" s="42">
        <f>ROUND([1]RV_DATA!K78, 6)</f>
        <v>1012.69</v>
      </c>
      <c r="F53" s="42" t="e">
        <f>ROUND(SUMIF([1]RV_DATA!Z50:'[1]RV_DATA'!Z82, -874375362, [1]RV_DATA!M50:'[1]RV_DATA'!M82), 6)</f>
        <v>#REF!</v>
      </c>
      <c r="Q53" s="2">
        <v>2</v>
      </c>
    </row>
    <row r="54" spans="1:17" ht="28" x14ac:dyDescent="0.3">
      <c r="A54" s="41" t="s">
        <v>148</v>
      </c>
      <c r="B54" s="32" t="s">
        <v>149</v>
      </c>
      <c r="C54" s="32" t="s">
        <v>82</v>
      </c>
      <c r="D54" s="33" t="e">
        <f>ROUND(SUMIF([1]RV_DATA!Z50:'[1]RV_DATA'!Z82, 1178992240, [1]RV_DATA!I50:'[1]RV_DATA'!I82), 6)</f>
        <v>#REF!</v>
      </c>
      <c r="E54" s="42">
        <f>ROUND([1]RV_DATA!K59, 6)</f>
        <v>1129.8900000000001</v>
      </c>
      <c r="F54" s="42" t="e">
        <f>ROUND(SUMIF([1]RV_DATA!Z50:'[1]RV_DATA'!Z82, 1178992240, [1]RV_DATA!M50:'[1]RV_DATA'!M82), 6)</f>
        <v>#REF!</v>
      </c>
      <c r="Q54" s="2">
        <v>2</v>
      </c>
    </row>
    <row r="55" spans="1:17" ht="28" x14ac:dyDescent="0.3">
      <c r="A55" s="41" t="s">
        <v>408</v>
      </c>
      <c r="B55" s="32" t="s">
        <v>409</v>
      </c>
      <c r="C55" s="32" t="s">
        <v>82</v>
      </c>
      <c r="D55" s="33" t="e">
        <f>ROUND(SUMIF([1]RV_DATA!Z50:'[1]RV_DATA'!Z82, -526982905, [1]RV_DATA!I50:'[1]RV_DATA'!I82), 6)</f>
        <v>#REF!</v>
      </c>
      <c r="E55" s="42">
        <f>ROUND([1]RV_DATA!K52, 6)</f>
        <v>1568.39</v>
      </c>
      <c r="F55" s="42" t="e">
        <f>ROUND(SUMIF([1]RV_DATA!Z50:'[1]RV_DATA'!Z82, -526982905, [1]RV_DATA!M50:'[1]RV_DATA'!M82), 6)</f>
        <v>#REF!</v>
      </c>
      <c r="Q55" s="2">
        <v>2</v>
      </c>
    </row>
    <row r="56" spans="1:17" ht="28" x14ac:dyDescent="0.3">
      <c r="A56" s="41" t="s">
        <v>85</v>
      </c>
      <c r="B56" s="32" t="s">
        <v>86</v>
      </c>
      <c r="C56" s="32" t="s">
        <v>82</v>
      </c>
      <c r="D56" s="33" t="e">
        <f>ROUND(SUMIF([1]RV_DATA!Z50:'[1]RV_DATA'!Z82, 1824656456, [1]RV_DATA!I50:'[1]RV_DATA'!I82), 6)</f>
        <v>#REF!</v>
      </c>
      <c r="E56" s="42">
        <f>ROUND([1]RV_DATA!K54, 6)</f>
        <v>1070.1199999999999</v>
      </c>
      <c r="F56" s="42" t="e">
        <f>ROUND(SUMIF([1]RV_DATA!Z50:'[1]RV_DATA'!Z82, 1824656456, [1]RV_DATA!M50:'[1]RV_DATA'!M82), 6)</f>
        <v>#REF!</v>
      </c>
      <c r="Q56" s="2">
        <v>2</v>
      </c>
    </row>
    <row r="57" spans="1:17" ht="28" x14ac:dyDescent="0.3">
      <c r="A57" s="41" t="s">
        <v>87</v>
      </c>
      <c r="B57" s="32" t="s">
        <v>88</v>
      </c>
      <c r="C57" s="32" t="s">
        <v>82</v>
      </c>
      <c r="D57" s="33" t="e">
        <f>ROUND(SUMIF([1]RV_DATA!Z50:'[1]RV_DATA'!Z82, -256044164, [1]RV_DATA!I50:'[1]RV_DATA'!I82), 6)</f>
        <v>#REF!</v>
      </c>
      <c r="E57" s="42">
        <f>ROUND([1]RV_DATA!K53, 6)</f>
        <v>1080.76</v>
      </c>
      <c r="F57" s="42" t="e">
        <f>ROUND(SUMIF([1]RV_DATA!Z50:'[1]RV_DATA'!Z82, -256044164, [1]RV_DATA!M50:'[1]RV_DATA'!M82), 6)</f>
        <v>#REF!</v>
      </c>
      <c r="Q57" s="2">
        <v>2</v>
      </c>
    </row>
    <row r="58" spans="1:17" ht="28" x14ac:dyDescent="0.3">
      <c r="A58" s="41" t="s">
        <v>89</v>
      </c>
      <c r="B58" s="32" t="s">
        <v>90</v>
      </c>
      <c r="C58" s="32" t="s">
        <v>82</v>
      </c>
      <c r="D58" s="33" t="e">
        <f>ROUND(SUMIF([1]RV_DATA!Z50:'[1]RV_DATA'!Z82, -48088149, [1]RV_DATA!I50:'[1]RV_DATA'!I82), 6)</f>
        <v>#REF!</v>
      </c>
      <c r="E58" s="42">
        <f>ROUND([1]RV_DATA!K51, 6)</f>
        <v>780.77</v>
      </c>
      <c r="F58" s="42" t="e">
        <f>ROUND(SUMIF([1]RV_DATA!Z50:'[1]RV_DATA'!Z82, -48088149, [1]RV_DATA!M50:'[1]RV_DATA'!M82), 6)</f>
        <v>#REF!</v>
      </c>
      <c r="Q58" s="2">
        <v>2</v>
      </c>
    </row>
    <row r="59" spans="1:17" ht="28" x14ac:dyDescent="0.3">
      <c r="A59" s="41" t="s">
        <v>150</v>
      </c>
      <c r="B59" s="32" t="s">
        <v>151</v>
      </c>
      <c r="C59" s="32" t="s">
        <v>82</v>
      </c>
      <c r="D59" s="33" t="e">
        <f>ROUND(SUMIF([1]RV_DATA!Z50:'[1]RV_DATA'!Z82, -270256659, [1]RV_DATA!I50:'[1]RV_DATA'!I82), 6)</f>
        <v>#REF!</v>
      </c>
      <c r="E59" s="42">
        <f>ROUND([1]RV_DATA!K70, 6)</f>
        <v>445.81</v>
      </c>
      <c r="F59" s="42" t="e">
        <f>ROUND(SUMIF([1]RV_DATA!Z50:'[1]RV_DATA'!Z82, -270256659, [1]RV_DATA!M50:'[1]RV_DATA'!M82), 6)</f>
        <v>#REF!</v>
      </c>
      <c r="Q59" s="2">
        <v>2</v>
      </c>
    </row>
    <row r="60" spans="1:17" ht="28" x14ac:dyDescent="0.3">
      <c r="A60" s="41" t="s">
        <v>152</v>
      </c>
      <c r="B60" s="32" t="s">
        <v>153</v>
      </c>
      <c r="C60" s="32" t="s">
        <v>82</v>
      </c>
      <c r="D60" s="33" t="e">
        <f>ROUND(SUMIF([1]RV_DATA!Z50:'[1]RV_DATA'!Z82, -1054908000, [1]RV_DATA!I50:'[1]RV_DATA'!I82), 6)</f>
        <v>#REF!</v>
      </c>
      <c r="E60" s="42">
        <f>ROUND([1]RV_DATA!K69, 6)</f>
        <v>2043.52</v>
      </c>
      <c r="F60" s="42" t="e">
        <f>ROUND(SUMIF([1]RV_DATA!Z50:'[1]RV_DATA'!Z82, -1054908000, [1]RV_DATA!M50:'[1]RV_DATA'!M82), 6)</f>
        <v>#REF!</v>
      </c>
      <c r="Q60" s="2">
        <v>2</v>
      </c>
    </row>
    <row r="61" spans="1:17" ht="28" x14ac:dyDescent="0.3">
      <c r="A61" s="41" t="s">
        <v>97</v>
      </c>
      <c r="B61" s="32" t="s">
        <v>98</v>
      </c>
      <c r="C61" s="32" t="s">
        <v>82</v>
      </c>
      <c r="D61" s="33" t="e">
        <f>ROUND(SUMIF([1]RV_DATA!Z50:'[1]RV_DATA'!Z82, -4085501, [1]RV_DATA!I50:'[1]RV_DATA'!I82), 6)</f>
        <v>#REF!</v>
      </c>
      <c r="E61" s="42">
        <f>ROUND([1]RV_DATA!K76, 6)</f>
        <v>1364.68</v>
      </c>
      <c r="F61" s="42" t="e">
        <f>ROUND(SUMIF([1]RV_DATA!Z50:'[1]RV_DATA'!Z82, -4085501, [1]RV_DATA!M50:'[1]RV_DATA'!M82), 6)</f>
        <v>#REF!</v>
      </c>
      <c r="Q61" s="2">
        <v>2</v>
      </c>
    </row>
    <row r="62" spans="1:17" ht="28" x14ac:dyDescent="0.3">
      <c r="A62" s="41" t="s">
        <v>99</v>
      </c>
      <c r="B62" s="32" t="s">
        <v>100</v>
      </c>
      <c r="C62" s="32" t="s">
        <v>82</v>
      </c>
      <c r="D62" s="33" t="e">
        <f>ROUND(SUMIF([1]RV_DATA!Z50:'[1]RV_DATA'!Z82, 1228350729, [1]RV_DATA!I50:'[1]RV_DATA'!I82), 6)</f>
        <v>#REF!</v>
      </c>
      <c r="E62" s="42">
        <f>ROUND([1]RV_DATA!K75, 6)</f>
        <v>1888.15</v>
      </c>
      <c r="F62" s="42" t="e">
        <f>ROUND(SUMIF([1]RV_DATA!Z50:'[1]RV_DATA'!Z82, 1228350729, [1]RV_DATA!M50:'[1]RV_DATA'!M82), 6)</f>
        <v>#REF!</v>
      </c>
      <c r="Q62" s="2">
        <v>2</v>
      </c>
    </row>
    <row r="63" spans="1:17" ht="28" x14ac:dyDescent="0.3">
      <c r="A63" s="41" t="s">
        <v>154</v>
      </c>
      <c r="B63" s="32" t="s">
        <v>155</v>
      </c>
      <c r="C63" s="32" t="s">
        <v>82</v>
      </c>
      <c r="D63" s="33" t="e">
        <f>ROUND(SUMIF([1]RV_DATA!Z50:'[1]RV_DATA'!Z82, 585746729, [1]RV_DATA!I50:'[1]RV_DATA'!I82), 6)</f>
        <v>#REF!</v>
      </c>
      <c r="E63" s="42">
        <f>ROUND([1]RV_DATA!K50, 6)</f>
        <v>1478.7</v>
      </c>
      <c r="F63" s="42" t="e">
        <f>ROUND(SUMIF([1]RV_DATA!Z50:'[1]RV_DATA'!Z82, 585746729, [1]RV_DATA!M50:'[1]RV_DATA'!M82), 6)</f>
        <v>#REF!</v>
      </c>
      <c r="Q63" s="2">
        <v>2</v>
      </c>
    </row>
    <row r="64" spans="1:17" ht="28" x14ac:dyDescent="0.3">
      <c r="A64" s="41" t="s">
        <v>156</v>
      </c>
      <c r="B64" s="32" t="s">
        <v>157</v>
      </c>
      <c r="C64" s="32" t="s">
        <v>82</v>
      </c>
      <c r="D64" s="33" t="e">
        <f>ROUND(SUMIF([1]RV_DATA!Z50:'[1]RV_DATA'!Z82, -873111929, [1]RV_DATA!I50:'[1]RV_DATA'!I82), 6)</f>
        <v>#REF!</v>
      </c>
      <c r="E64" s="42">
        <f>ROUND([1]RV_DATA!K67, 6)</f>
        <v>1268.04</v>
      </c>
      <c r="F64" s="42" t="e">
        <f>ROUND(SUMIF([1]RV_DATA!Z50:'[1]RV_DATA'!Z82, -873111929, [1]RV_DATA!M50:'[1]RV_DATA'!M82), 6)</f>
        <v>#REF!</v>
      </c>
      <c r="Q64" s="2">
        <v>2</v>
      </c>
    </row>
    <row r="65" spans="1:17" ht="14" x14ac:dyDescent="0.3">
      <c r="A65" s="90" t="s">
        <v>105</v>
      </c>
      <c r="B65" s="90"/>
      <c r="C65" s="90"/>
      <c r="D65" s="90"/>
      <c r="E65" s="91" t="e">
        <f>SUMIF(Q52:Q64, 2, F52:F64)</f>
        <v>#REF!</v>
      </c>
      <c r="F65" s="91"/>
    </row>
    <row r="66" spans="1:17" ht="14" x14ac:dyDescent="0.25">
      <c r="A66" s="94" t="s">
        <v>106</v>
      </c>
      <c r="B66" s="95"/>
      <c r="C66" s="95"/>
      <c r="D66" s="95"/>
      <c r="E66" s="95"/>
      <c r="F66" s="95"/>
    </row>
    <row r="67" spans="1:17" ht="14" x14ac:dyDescent="0.3">
      <c r="A67" s="41" t="s">
        <v>158</v>
      </c>
      <c r="B67" s="32" t="s">
        <v>159</v>
      </c>
      <c r="C67" s="32" t="s">
        <v>62</v>
      </c>
      <c r="D67" s="33" t="e">
        <f>ROUND(SUMIF([1]RV_DATA!Z50:'[1]RV_DATA'!Z82, 1710210887, [1]RV_DATA!I50:'[1]RV_DATA'!I82), 6)</f>
        <v>#REF!</v>
      </c>
      <c r="E67" s="42">
        <f>ROUND([1]RV_DATA!K66, 6)</f>
        <v>510.02</v>
      </c>
      <c r="F67" s="42" t="e">
        <f>ROUND(SUMIF([1]RV_DATA!Z50:'[1]RV_DATA'!Z82, 1710210887, [1]RV_DATA!M50:'[1]RV_DATA'!M82), 6)</f>
        <v>#REF!</v>
      </c>
      <c r="Q67" s="2">
        <v>3</v>
      </c>
    </row>
    <row r="68" spans="1:17" ht="42" x14ac:dyDescent="0.3">
      <c r="A68" s="41" t="s">
        <v>107</v>
      </c>
      <c r="B68" s="32" t="s">
        <v>108</v>
      </c>
      <c r="C68" s="32" t="s">
        <v>62</v>
      </c>
      <c r="D68" s="33" t="e">
        <f>ROUND(SUMIF([1]RV_DATA!Z50:'[1]RV_DATA'!Z82, 1599901582, [1]RV_DATA!I50:'[1]RV_DATA'!I82), 6)</f>
        <v>#REF!</v>
      </c>
      <c r="E68" s="42">
        <f>ROUND([1]RV_DATA!K79, 6)</f>
        <v>1232.5</v>
      </c>
      <c r="F68" s="42" t="e">
        <f>ROUND(SUMIF([1]RV_DATA!Z50:'[1]RV_DATA'!Z82, 1599901582, [1]RV_DATA!M50:'[1]RV_DATA'!M82), 6)</f>
        <v>#REF!</v>
      </c>
      <c r="Q68" s="2">
        <v>3</v>
      </c>
    </row>
    <row r="69" spans="1:17" ht="28" x14ac:dyDescent="0.3">
      <c r="A69" s="41" t="s">
        <v>109</v>
      </c>
      <c r="B69" s="32" t="s">
        <v>110</v>
      </c>
      <c r="C69" s="32" t="s">
        <v>63</v>
      </c>
      <c r="D69" s="33" t="e">
        <f>ROUND(SUMIF([1]RV_DATA!Z50:'[1]RV_DATA'!Z82, 294508000, [1]RV_DATA!I50:'[1]RV_DATA'!I82), 6)</f>
        <v>#REF!</v>
      </c>
      <c r="E69" s="42">
        <f>ROUND([1]RV_DATA!K80, 6)</f>
        <v>34834.18</v>
      </c>
      <c r="F69" s="42" t="e">
        <f>ROUND(SUMIF([1]RV_DATA!Z50:'[1]RV_DATA'!Z82, 294508000, [1]RV_DATA!M50:'[1]RV_DATA'!M82), 6)</f>
        <v>#REF!</v>
      </c>
      <c r="Q69" s="2">
        <v>3</v>
      </c>
    </row>
    <row r="70" spans="1:17" ht="14" x14ac:dyDescent="0.3">
      <c r="A70" s="41" t="s">
        <v>111</v>
      </c>
      <c r="B70" s="32" t="s">
        <v>112</v>
      </c>
      <c r="C70" s="32" t="s">
        <v>62</v>
      </c>
      <c r="D70" s="33" t="e">
        <f>ROUND(SUMIF([1]RV_DATA!Z50:'[1]RV_DATA'!Z82, 743170984, [1]RV_DATA!I50:'[1]RV_DATA'!I82), 6)</f>
        <v>#REF!</v>
      </c>
      <c r="E70" s="42">
        <f>ROUND([1]RV_DATA!K65, 6)</f>
        <v>36.31</v>
      </c>
      <c r="F70" s="42" t="e">
        <f>ROUND(SUMIF([1]RV_DATA!Z50:'[1]RV_DATA'!Z82, 743170984, [1]RV_DATA!M50:'[1]RV_DATA'!M82), 6)</f>
        <v>#REF!</v>
      </c>
      <c r="Q70" s="2">
        <v>3</v>
      </c>
    </row>
    <row r="71" spans="1:17" ht="28" x14ac:dyDescent="0.3">
      <c r="A71" s="41" t="s">
        <v>160</v>
      </c>
      <c r="B71" s="32" t="s">
        <v>161</v>
      </c>
      <c r="C71" s="32" t="s">
        <v>63</v>
      </c>
      <c r="D71" s="33" t="e">
        <f>ROUND(SUMIF([1]RV_DATA!Z50:'[1]RV_DATA'!Z82, 1511949740, [1]RV_DATA!I50:'[1]RV_DATA'!I82), 6)</f>
        <v>#REF!</v>
      </c>
      <c r="E71" s="42">
        <f>ROUND([1]RV_DATA!K82, 6)</f>
        <v>2954.24</v>
      </c>
      <c r="F71" s="42" t="e">
        <f>ROUND(SUMIF([1]RV_DATA!Z50:'[1]RV_DATA'!Z82, 1511949740, [1]RV_DATA!M50:'[1]RV_DATA'!M82), 6)</f>
        <v>#REF!</v>
      </c>
      <c r="Q71" s="2">
        <v>3</v>
      </c>
    </row>
    <row r="72" spans="1:17" ht="14" x14ac:dyDescent="0.3">
      <c r="A72" s="90" t="s">
        <v>115</v>
      </c>
      <c r="B72" s="90"/>
      <c r="C72" s="90"/>
      <c r="D72" s="90"/>
      <c r="E72" s="91" t="e">
        <f>SUMIF(Q67:Q71, 3, F67:F71)</f>
        <v>#REF!</v>
      </c>
      <c r="F72" s="91"/>
    </row>
    <row r="73" spans="1:17" ht="16.5" x14ac:dyDescent="0.25">
      <c r="A73" s="92" t="str">
        <f>CONCATENATE("Раздел: ",IF('Source (3)'!G237&lt;&gt;"Новый раздел", 'Source (3)'!G237, ""))</f>
        <v>Раздел: Ремонт газонов -800м2</v>
      </c>
      <c r="B73" s="93"/>
      <c r="C73" s="93"/>
      <c r="D73" s="93"/>
      <c r="E73" s="93"/>
      <c r="F73" s="93"/>
    </row>
    <row r="74" spans="1:17" ht="14" x14ac:dyDescent="0.25">
      <c r="A74" s="94" t="s">
        <v>79</v>
      </c>
      <c r="B74" s="95"/>
      <c r="C74" s="95"/>
      <c r="D74" s="95"/>
      <c r="E74" s="95"/>
      <c r="F74" s="95"/>
    </row>
    <row r="75" spans="1:17" ht="14" x14ac:dyDescent="0.3">
      <c r="A75" s="41" t="s">
        <v>134</v>
      </c>
      <c r="B75" s="32" t="s">
        <v>135</v>
      </c>
      <c r="C75" s="32" t="s">
        <v>82</v>
      </c>
      <c r="D75" s="33" t="e">
        <f>ROUND(SUMIF([1]RV_DATA!Z84:'[1]RV_DATA'!Z90, -1477563123, [1]RV_DATA!I84:'[1]RV_DATA'!I90), 6)</f>
        <v>#REF!</v>
      </c>
      <c r="E75" s="42">
        <f>ROUND([1]RV_DATA!K86, 6)</f>
        <v>17.07</v>
      </c>
      <c r="F75" s="42" t="e">
        <f>ROUND(SUMIF([1]RV_DATA!Z84:'[1]RV_DATA'!Z90, -1477563123, [1]RV_DATA!M84:'[1]RV_DATA'!M90), 6)</f>
        <v>#REF!</v>
      </c>
      <c r="Q75" s="2">
        <v>2</v>
      </c>
    </row>
    <row r="76" spans="1:17" ht="28" x14ac:dyDescent="0.3">
      <c r="A76" s="41" t="s">
        <v>136</v>
      </c>
      <c r="B76" s="32" t="s">
        <v>137</v>
      </c>
      <c r="C76" s="32" t="s">
        <v>82</v>
      </c>
      <c r="D76" s="33" t="e">
        <f>ROUND(SUMIF([1]RV_DATA!Z84:'[1]RV_DATA'!Z90, -1222050215, [1]RV_DATA!I84:'[1]RV_DATA'!I90), 6)</f>
        <v>#REF!</v>
      </c>
      <c r="E76" s="42">
        <f>ROUND([1]RV_DATA!K85, 6)</f>
        <v>1060.5899999999999</v>
      </c>
      <c r="F76" s="42" t="e">
        <f>ROUND(SUMIF([1]RV_DATA!Z84:'[1]RV_DATA'!Z90, -1222050215, [1]RV_DATA!M84:'[1]RV_DATA'!M90), 6)</f>
        <v>#REF!</v>
      </c>
      <c r="Q76" s="2">
        <v>2</v>
      </c>
    </row>
    <row r="77" spans="1:17" ht="14" x14ac:dyDescent="0.3">
      <c r="A77" s="90" t="s">
        <v>105</v>
      </c>
      <c r="B77" s="90"/>
      <c r="C77" s="90"/>
      <c r="D77" s="90"/>
      <c r="E77" s="91" t="e">
        <f>SUMIF(Q75:Q76, 2, F75:F76)</f>
        <v>#REF!</v>
      </c>
      <c r="F77" s="91"/>
    </row>
    <row r="78" spans="1:17" ht="14" x14ac:dyDescent="0.25">
      <c r="A78" s="94" t="s">
        <v>106</v>
      </c>
      <c r="B78" s="95"/>
      <c r="C78" s="95"/>
      <c r="D78" s="95"/>
      <c r="E78" s="95"/>
      <c r="F78" s="95"/>
    </row>
    <row r="79" spans="1:17" ht="14" x14ac:dyDescent="0.3">
      <c r="A79" s="41" t="s">
        <v>111</v>
      </c>
      <c r="B79" s="32" t="s">
        <v>112</v>
      </c>
      <c r="C79" s="32" t="s">
        <v>62</v>
      </c>
      <c r="D79" s="33" t="e">
        <f>ROUND(SUMIF([1]RV_DATA!Z84:'[1]RV_DATA'!Z90, 743170984, [1]RV_DATA!I84:'[1]RV_DATA'!I90), 6)</f>
        <v>#REF!</v>
      </c>
      <c r="E79" s="42">
        <f>ROUND([1]RV_DATA!K90, 6)</f>
        <v>36.31</v>
      </c>
      <c r="F79" s="42" t="e">
        <f>ROUND(SUMIF([1]RV_DATA!Z84:'[1]RV_DATA'!Z90, 743170984, [1]RV_DATA!M84:'[1]RV_DATA'!M90), 6)</f>
        <v>#REF!</v>
      </c>
      <c r="Q79" s="2">
        <v>3</v>
      </c>
    </row>
    <row r="80" spans="1:17" ht="28" x14ac:dyDescent="0.3">
      <c r="A80" s="41" t="s">
        <v>138</v>
      </c>
      <c r="B80" s="32" t="s">
        <v>139</v>
      </c>
      <c r="C80" s="32" t="s">
        <v>140</v>
      </c>
      <c r="D80" s="33" t="e">
        <f>ROUND(SUMIF([1]RV_DATA!Z84:'[1]RV_DATA'!Z90, 864576860, [1]RV_DATA!I84:'[1]RV_DATA'!I90), 6)</f>
        <v>#REF!</v>
      </c>
      <c r="E80" s="42">
        <f>ROUND([1]RV_DATA!K89, 6)</f>
        <v>331.36</v>
      </c>
      <c r="F80" s="42" t="e">
        <f>ROUND(SUMIF([1]RV_DATA!Z84:'[1]RV_DATA'!Z90, 864576860, [1]RV_DATA!M84:'[1]RV_DATA'!M90), 6)</f>
        <v>#REF!</v>
      </c>
      <c r="Q80" s="2">
        <v>3</v>
      </c>
    </row>
    <row r="81" spans="1:17" ht="14" x14ac:dyDescent="0.3">
      <c r="A81" s="41" t="s">
        <v>141</v>
      </c>
      <c r="B81" s="32" t="s">
        <v>142</v>
      </c>
      <c r="C81" s="32" t="s">
        <v>62</v>
      </c>
      <c r="D81" s="33" t="e">
        <f>ROUND(SUMIF([1]RV_DATA!Z84:'[1]RV_DATA'!Z90, -2147437159, [1]RV_DATA!I84:'[1]RV_DATA'!I90), 6)</f>
        <v>#REF!</v>
      </c>
      <c r="E81" s="42">
        <f>ROUND([1]RV_DATA!K84, 6)</f>
        <v>790.5</v>
      </c>
      <c r="F81" s="42" t="e">
        <f>ROUND(SUMIF([1]RV_DATA!Z84:'[1]RV_DATA'!Z90, -2147437159, [1]RV_DATA!M84:'[1]RV_DATA'!M90), 6)</f>
        <v>#REF!</v>
      </c>
      <c r="Q81" s="2">
        <v>3</v>
      </c>
    </row>
    <row r="82" spans="1:17" ht="14" x14ac:dyDescent="0.3">
      <c r="A82" s="90" t="s">
        <v>115</v>
      </c>
      <c r="B82" s="90"/>
      <c r="C82" s="90"/>
      <c r="D82" s="90"/>
      <c r="E82" s="91" t="e">
        <f>SUMIF(Q79:Q81, 3, F79:F81)</f>
        <v>#REF!</v>
      </c>
      <c r="F82" s="91"/>
    </row>
    <row r="83" spans="1:17" ht="16.5" x14ac:dyDescent="0.25">
      <c r="A83" s="92" t="str">
        <f>CONCATENATE("Раздел: ",IF('Source (3)'!G276&lt;&gt;"Новый раздел", 'Source (3)'!G276, ""))</f>
        <v>Раздел: Устройство парковочных столбиков -42 шт.</v>
      </c>
      <c r="B83" s="93"/>
      <c r="C83" s="93"/>
      <c r="D83" s="93"/>
      <c r="E83" s="93"/>
      <c r="F83" s="93"/>
    </row>
    <row r="84" spans="1:17" ht="14" x14ac:dyDescent="0.25">
      <c r="A84" s="94" t="s">
        <v>79</v>
      </c>
      <c r="B84" s="95"/>
      <c r="C84" s="95"/>
      <c r="D84" s="95"/>
      <c r="E84" s="95"/>
      <c r="F84" s="95"/>
    </row>
    <row r="85" spans="1:17" ht="28" x14ac:dyDescent="0.3">
      <c r="A85" s="41" t="s">
        <v>410</v>
      </c>
      <c r="B85" s="32" t="s">
        <v>411</v>
      </c>
      <c r="C85" s="32" t="s">
        <v>82</v>
      </c>
      <c r="D85" s="33" t="e">
        <f>ROUND(SUMIF([1]RV_DATA!Z92:'[1]RV_DATA'!Z94, -690373054, [1]RV_DATA!I92:'[1]RV_DATA'!I94), 6)</f>
        <v>#REF!</v>
      </c>
      <c r="E85" s="42">
        <f>ROUND([1]RV_DATA!K93, 6)</f>
        <v>3.14</v>
      </c>
      <c r="F85" s="42" t="e">
        <f>ROUND(SUMIF([1]RV_DATA!Z92:'[1]RV_DATA'!Z94, -690373054, [1]RV_DATA!M92:'[1]RV_DATA'!M94), 6)</f>
        <v>#REF!</v>
      </c>
      <c r="Q85" s="2">
        <v>2</v>
      </c>
    </row>
    <row r="86" spans="1:17" ht="14" x14ac:dyDescent="0.3">
      <c r="A86" s="90" t="s">
        <v>105</v>
      </c>
      <c r="B86" s="90"/>
      <c r="C86" s="90"/>
      <c r="D86" s="90"/>
      <c r="E86" s="91" t="e">
        <f>SUMIF(Q85:Q85, 2, F85:F85)</f>
        <v>#REF!</v>
      </c>
      <c r="F86" s="91"/>
    </row>
    <row r="87" spans="1:17" ht="14" x14ac:dyDescent="0.25">
      <c r="A87" s="94" t="s">
        <v>106</v>
      </c>
      <c r="B87" s="95"/>
      <c r="C87" s="95"/>
      <c r="D87" s="95"/>
      <c r="E87" s="95"/>
      <c r="F87" s="95"/>
    </row>
    <row r="88" spans="1:17" ht="28" x14ac:dyDescent="0.3">
      <c r="A88" s="41" t="s">
        <v>412</v>
      </c>
      <c r="B88" s="32" t="s">
        <v>413</v>
      </c>
      <c r="C88" s="32" t="s">
        <v>67</v>
      </c>
      <c r="D88" s="33" t="e">
        <f>ROUND(SUMIF([1]RV_DATA!Z92:'[1]RV_DATA'!Z94, 331221607, [1]RV_DATA!I92:'[1]RV_DATA'!I94), 6)</f>
        <v>#REF!</v>
      </c>
      <c r="E88" s="42">
        <f>ROUND([1]RV_DATA!K92, 6)</f>
        <v>1059.3499999999999</v>
      </c>
      <c r="F88" s="42" t="e">
        <f>ROUND(SUMIF([1]RV_DATA!Z92:'[1]RV_DATA'!Z94, 331221607, [1]RV_DATA!M92:'[1]RV_DATA'!M94), 6)</f>
        <v>#REF!</v>
      </c>
      <c r="Q88" s="2">
        <v>3</v>
      </c>
    </row>
    <row r="89" spans="1:17" ht="42" x14ac:dyDescent="0.3">
      <c r="A89" s="41" t="s">
        <v>414</v>
      </c>
      <c r="B89" s="32" t="s">
        <v>415</v>
      </c>
      <c r="C89" s="32" t="s">
        <v>67</v>
      </c>
      <c r="D89" s="33" t="e">
        <f>ROUND(SUMIF([1]RV_DATA!Z92:'[1]RV_DATA'!Z94, 1334241499, [1]RV_DATA!I92:'[1]RV_DATA'!I94), 6)</f>
        <v>#REF!</v>
      </c>
      <c r="E89" s="42">
        <f>ROUND([1]RV_DATA!K94, 6)</f>
        <v>1291.67</v>
      </c>
      <c r="F89" s="42" t="e">
        <f>ROUND(SUMIF([1]RV_DATA!Z92:'[1]RV_DATA'!Z94, 1334241499, [1]RV_DATA!M92:'[1]RV_DATA'!M94), 6)</f>
        <v>#REF!</v>
      </c>
      <c r="Q89" s="2">
        <v>3</v>
      </c>
    </row>
    <row r="90" spans="1:17" ht="14" x14ac:dyDescent="0.3">
      <c r="A90" s="90" t="s">
        <v>115</v>
      </c>
      <c r="B90" s="90"/>
      <c r="C90" s="90"/>
      <c r="D90" s="90"/>
      <c r="E90" s="91" t="e">
        <f>SUMIF(Q88:Q89, 3, F88:F89)</f>
        <v>#REF!</v>
      </c>
      <c r="F90" s="91"/>
    </row>
  </sheetData>
  <mergeCells count="47">
    <mergeCell ref="A24:F24"/>
    <mergeCell ref="A2:F2"/>
    <mergeCell ref="A3:F3"/>
    <mergeCell ref="A4:A6"/>
    <mergeCell ref="B4:B6"/>
    <mergeCell ref="C4:C6"/>
    <mergeCell ref="D4:D6"/>
    <mergeCell ref="E4:F5"/>
    <mergeCell ref="A8:F8"/>
    <mergeCell ref="A9:F9"/>
    <mergeCell ref="A10:F10"/>
    <mergeCell ref="A23:D23"/>
    <mergeCell ref="E23:F23"/>
    <mergeCell ref="A29:D29"/>
    <mergeCell ref="E29:F29"/>
    <mergeCell ref="A30:F30"/>
    <mergeCell ref="A31:F31"/>
    <mergeCell ref="A38:D38"/>
    <mergeCell ref="E38:F38"/>
    <mergeCell ref="A72:D72"/>
    <mergeCell ref="E72:F72"/>
    <mergeCell ref="A39:F39"/>
    <mergeCell ref="A44:D44"/>
    <mergeCell ref="E44:F44"/>
    <mergeCell ref="A45:F45"/>
    <mergeCell ref="A46:F46"/>
    <mergeCell ref="A49:D49"/>
    <mergeCell ref="E49:F49"/>
    <mergeCell ref="A50:F50"/>
    <mergeCell ref="A51:F51"/>
    <mergeCell ref="A65:D65"/>
    <mergeCell ref="E65:F65"/>
    <mergeCell ref="A66:F66"/>
    <mergeCell ref="A90:D90"/>
    <mergeCell ref="E90:F90"/>
    <mergeCell ref="A73:F73"/>
    <mergeCell ref="A74:F74"/>
    <mergeCell ref="A77:D77"/>
    <mergeCell ref="E77:F77"/>
    <mergeCell ref="A78:F78"/>
    <mergeCell ref="A82:D82"/>
    <mergeCell ref="E82:F82"/>
    <mergeCell ref="A83:F83"/>
    <mergeCell ref="A84:F84"/>
    <mergeCell ref="A86:D86"/>
    <mergeCell ref="E86:F86"/>
    <mergeCell ref="A87:F87"/>
  </mergeCells>
  <pageMargins left="0.6" right="0.4" top="0.65" bottom="0.4" header="0.4" footer="0.4"/>
  <pageSetup paperSize="9" scale="85" fitToHeight="0" orientation="portrait" r:id="rId1"/>
  <headerFooter>
    <oddHeader>&amp;C&amp;P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DC5CF-9B79-412B-A052-AEC817AED5D2}">
  <dimension ref="A1:IK401"/>
  <sheetViews>
    <sheetView topLeftCell="A271" workbookViewId="0">
      <selection activeCell="J298" sqref="J298"/>
    </sheetView>
  </sheetViews>
  <sheetFormatPr defaultColWidth="9.1796875" defaultRowHeight="12.5" x14ac:dyDescent="0.25"/>
  <cols>
    <col min="1" max="256" width="9.1796875" style="2" customWidth="1"/>
    <col min="257" max="16384" width="9.1796875" style="2"/>
  </cols>
  <sheetData>
    <row r="1" spans="1:133" x14ac:dyDescent="0.25">
      <c r="A1" s="2">
        <v>0</v>
      </c>
      <c r="B1" s="2" t="s">
        <v>162</v>
      </c>
      <c r="D1" s="2" t="s">
        <v>163</v>
      </c>
      <c r="F1" s="2">
        <v>0</v>
      </c>
      <c r="G1" s="2">
        <v>0</v>
      </c>
      <c r="H1" s="2">
        <v>0</v>
      </c>
      <c r="I1" s="2" t="s">
        <v>164</v>
      </c>
      <c r="J1" s="2" t="s">
        <v>30</v>
      </c>
      <c r="K1" s="2">
        <v>1</v>
      </c>
      <c r="L1" s="2">
        <v>53533</v>
      </c>
      <c r="M1" s="2">
        <v>10</v>
      </c>
      <c r="N1" s="2">
        <v>11</v>
      </c>
      <c r="O1" s="2">
        <v>5</v>
      </c>
      <c r="P1" s="2">
        <v>1</v>
      </c>
      <c r="Q1" s="2">
        <v>0</v>
      </c>
    </row>
    <row r="12" spans="1:133" ht="13" x14ac:dyDescent="0.3">
      <c r="A12" s="51">
        <v>1</v>
      </c>
      <c r="B12" s="51">
        <v>397</v>
      </c>
      <c r="C12" s="51">
        <v>0</v>
      </c>
      <c r="D12" s="51">
        <f>ROW(A354)</f>
        <v>354</v>
      </c>
      <c r="E12" s="51">
        <v>0</v>
      </c>
      <c r="F12" s="51" t="s">
        <v>416</v>
      </c>
      <c r="G12" s="51" t="s">
        <v>417</v>
      </c>
      <c r="H12" s="51" t="s">
        <v>30</v>
      </c>
      <c r="I12" s="51">
        <v>0</v>
      </c>
      <c r="J12" s="51" t="s">
        <v>30</v>
      </c>
      <c r="K12" s="51">
        <v>0</v>
      </c>
      <c r="L12" s="51">
        <v>0</v>
      </c>
      <c r="M12" s="51">
        <v>2</v>
      </c>
      <c r="N12" s="51"/>
      <c r="O12" s="51">
        <v>0</v>
      </c>
      <c r="P12" s="51">
        <v>0</v>
      </c>
      <c r="Q12" s="51">
        <v>0</v>
      </c>
      <c r="R12" s="51">
        <v>108</v>
      </c>
      <c r="S12" s="51"/>
      <c r="T12" s="51">
        <v>1</v>
      </c>
      <c r="U12" s="51" t="s">
        <v>30</v>
      </c>
      <c r="V12" s="51">
        <v>0</v>
      </c>
      <c r="W12" s="51" t="s">
        <v>30</v>
      </c>
      <c r="X12" s="51" t="s">
        <v>30</v>
      </c>
      <c r="Y12" s="51" t="s">
        <v>30</v>
      </c>
      <c r="Z12" s="51" t="s">
        <v>30</v>
      </c>
      <c r="AA12" s="51" t="s">
        <v>30</v>
      </c>
      <c r="AB12" s="51" t="s">
        <v>30</v>
      </c>
      <c r="AC12" s="51" t="s">
        <v>30</v>
      </c>
      <c r="AD12" s="51" t="s">
        <v>30</v>
      </c>
      <c r="AE12" s="51" t="s">
        <v>30</v>
      </c>
      <c r="AF12" s="51" t="s">
        <v>30</v>
      </c>
      <c r="AG12" s="51" t="s">
        <v>30</v>
      </c>
      <c r="AH12" s="51" t="s">
        <v>30</v>
      </c>
      <c r="AI12" s="51" t="s">
        <v>30</v>
      </c>
      <c r="AJ12" s="51" t="s">
        <v>30</v>
      </c>
      <c r="AK12" s="51"/>
      <c r="AL12" s="51" t="s">
        <v>30</v>
      </c>
      <c r="AM12" s="51" t="s">
        <v>30</v>
      </c>
      <c r="AN12" s="51" t="s">
        <v>30</v>
      </c>
      <c r="AO12" s="51"/>
      <c r="AP12" s="51" t="s">
        <v>30</v>
      </c>
      <c r="AQ12" s="51" t="s">
        <v>30</v>
      </c>
      <c r="AR12" s="51" t="s">
        <v>30</v>
      </c>
      <c r="AS12" s="51"/>
      <c r="AT12" s="51"/>
      <c r="AU12" s="51"/>
      <c r="AV12" s="51"/>
      <c r="AW12" s="51"/>
      <c r="AX12" s="51" t="s">
        <v>30</v>
      </c>
      <c r="AY12" s="51" t="s">
        <v>30</v>
      </c>
      <c r="AZ12" s="51" t="s">
        <v>30</v>
      </c>
      <c r="BA12" s="51"/>
      <c r="BB12" s="51">
        <v>0</v>
      </c>
      <c r="BC12" s="51"/>
      <c r="BD12" s="51"/>
      <c r="BE12" s="51"/>
      <c r="BF12" s="51"/>
      <c r="BG12" s="51"/>
      <c r="BH12" s="51" t="s">
        <v>167</v>
      </c>
      <c r="BI12" s="51" t="s">
        <v>168</v>
      </c>
      <c r="BJ12" s="51">
        <v>1</v>
      </c>
      <c r="BK12" s="51">
        <v>1</v>
      </c>
      <c r="BL12" s="51">
        <v>0</v>
      </c>
      <c r="BM12" s="51">
        <v>0</v>
      </c>
      <c r="BN12" s="51">
        <v>1</v>
      </c>
      <c r="BO12" s="51">
        <v>0</v>
      </c>
      <c r="BP12" s="51">
        <v>6</v>
      </c>
      <c r="BQ12" s="51">
        <v>2</v>
      </c>
      <c r="BR12" s="51">
        <v>1</v>
      </c>
      <c r="BS12" s="51">
        <v>1</v>
      </c>
      <c r="BT12" s="51">
        <v>0</v>
      </c>
      <c r="BU12" s="51">
        <v>0</v>
      </c>
      <c r="BV12" s="51">
        <v>0</v>
      </c>
      <c r="BW12" s="51">
        <v>0</v>
      </c>
      <c r="BX12" s="51">
        <v>0</v>
      </c>
      <c r="BY12" s="51" t="s">
        <v>169</v>
      </c>
      <c r="BZ12" s="51" t="s">
        <v>170</v>
      </c>
      <c r="CA12" s="51" t="s">
        <v>171</v>
      </c>
      <c r="CB12" s="51" t="s">
        <v>171</v>
      </c>
      <c r="CC12" s="51" t="s">
        <v>171</v>
      </c>
      <c r="CD12" s="51" t="s">
        <v>171</v>
      </c>
      <c r="CE12" s="51" t="s">
        <v>172</v>
      </c>
      <c r="CF12" s="51">
        <v>0</v>
      </c>
      <c r="CG12" s="51">
        <v>0</v>
      </c>
      <c r="CH12" s="51">
        <v>8</v>
      </c>
      <c r="CI12" s="51" t="s">
        <v>30</v>
      </c>
      <c r="CJ12" s="51" t="s">
        <v>30</v>
      </c>
      <c r="CK12" s="51">
        <v>0</v>
      </c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51"/>
      <c r="DD12" s="51"/>
      <c r="DE12" s="51"/>
      <c r="DF12" s="51"/>
      <c r="DG12" s="51"/>
      <c r="DH12" s="51"/>
      <c r="DI12" s="51"/>
      <c r="DJ12" s="51"/>
      <c r="DK12" s="51"/>
      <c r="DL12" s="51"/>
      <c r="DM12" s="51"/>
      <c r="DN12" s="51"/>
      <c r="DO12" s="51"/>
      <c r="DP12" s="51"/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B12" s="51"/>
      <c r="EC12" s="51">
        <v>0</v>
      </c>
    </row>
    <row r="15" spans="1:133" ht="13" x14ac:dyDescent="0.3">
      <c r="A15" s="51">
        <v>15</v>
      </c>
      <c r="B15" s="51">
        <v>1</v>
      </c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51"/>
      <c r="DD15" s="51"/>
      <c r="DE15" s="51"/>
      <c r="DF15" s="51"/>
      <c r="DG15" s="51"/>
      <c r="DH15" s="51"/>
      <c r="DI15" s="51"/>
      <c r="DJ15" s="51"/>
      <c r="DK15" s="51"/>
      <c r="DL15" s="51"/>
      <c r="DM15" s="51"/>
      <c r="DN15" s="51"/>
      <c r="DO15" s="51"/>
      <c r="DP15" s="51"/>
      <c r="DQ15" s="51"/>
      <c r="DR15" s="51"/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</row>
    <row r="18" spans="1:245" ht="13" x14ac:dyDescent="0.3">
      <c r="A18" s="52">
        <v>52</v>
      </c>
      <c r="B18" s="52">
        <f t="shared" ref="B18:G18" si="0">B354</f>
        <v>397</v>
      </c>
      <c r="C18" s="52">
        <f t="shared" si="0"/>
        <v>1</v>
      </c>
      <c r="D18" s="52">
        <f t="shared" si="0"/>
        <v>12</v>
      </c>
      <c r="E18" s="52">
        <f t="shared" si="0"/>
        <v>0</v>
      </c>
      <c r="F18" s="52" t="str">
        <f t="shared" si="0"/>
        <v>Г43 в ценах 2022г._(Копия)</v>
      </c>
      <c r="G18" s="52" t="str">
        <f t="shared" si="0"/>
        <v>Шоссейная д.20</v>
      </c>
      <c r="H18" s="52"/>
      <c r="I18" s="52"/>
      <c r="J18" s="52"/>
      <c r="K18" s="52"/>
      <c r="L18" s="52"/>
      <c r="M18" s="52"/>
      <c r="N18" s="52"/>
      <c r="O18" s="52">
        <f t="shared" ref="O18:BZ18" si="1">O354</f>
        <v>2882247.77</v>
      </c>
      <c r="P18" s="52">
        <f t="shared" si="1"/>
        <v>1632800.28</v>
      </c>
      <c r="Q18" s="52">
        <f t="shared" si="1"/>
        <v>967571.03</v>
      </c>
      <c r="R18" s="52">
        <f t="shared" si="1"/>
        <v>499273.45</v>
      </c>
      <c r="S18" s="52">
        <f t="shared" si="1"/>
        <v>281876.46000000002</v>
      </c>
      <c r="T18" s="52">
        <f t="shared" si="1"/>
        <v>0</v>
      </c>
      <c r="U18" s="52">
        <f t="shared" si="1"/>
        <v>1305.664231</v>
      </c>
      <c r="V18" s="52">
        <f t="shared" si="1"/>
        <v>0</v>
      </c>
      <c r="W18" s="52">
        <f t="shared" si="1"/>
        <v>0</v>
      </c>
      <c r="X18" s="52">
        <f t="shared" si="1"/>
        <v>197313.54</v>
      </c>
      <c r="Y18" s="52">
        <f t="shared" si="1"/>
        <v>28187.66</v>
      </c>
      <c r="Z18" s="52">
        <f t="shared" si="1"/>
        <v>0</v>
      </c>
      <c r="AA18" s="52">
        <f t="shared" si="1"/>
        <v>0</v>
      </c>
      <c r="AB18" s="52">
        <f t="shared" si="1"/>
        <v>0</v>
      </c>
      <c r="AC18" s="52">
        <f t="shared" si="1"/>
        <v>0</v>
      </c>
      <c r="AD18" s="52">
        <f t="shared" si="1"/>
        <v>0</v>
      </c>
      <c r="AE18" s="52">
        <f t="shared" si="1"/>
        <v>0</v>
      </c>
      <c r="AF18" s="52">
        <f t="shared" si="1"/>
        <v>0</v>
      </c>
      <c r="AG18" s="52">
        <f t="shared" si="1"/>
        <v>0</v>
      </c>
      <c r="AH18" s="52">
        <f t="shared" si="1"/>
        <v>0</v>
      </c>
      <c r="AI18" s="52">
        <f t="shared" si="1"/>
        <v>0</v>
      </c>
      <c r="AJ18" s="52">
        <f t="shared" si="1"/>
        <v>0</v>
      </c>
      <c r="AK18" s="52">
        <f t="shared" si="1"/>
        <v>0</v>
      </c>
      <c r="AL18" s="52">
        <f t="shared" si="1"/>
        <v>0</v>
      </c>
      <c r="AM18" s="52">
        <f t="shared" si="1"/>
        <v>0</v>
      </c>
      <c r="AN18" s="52">
        <f t="shared" si="1"/>
        <v>0</v>
      </c>
      <c r="AO18" s="52">
        <f t="shared" si="1"/>
        <v>0</v>
      </c>
      <c r="AP18" s="52">
        <f t="shared" si="1"/>
        <v>0</v>
      </c>
      <c r="AQ18" s="52">
        <f t="shared" si="1"/>
        <v>0</v>
      </c>
      <c r="AR18" s="52">
        <f t="shared" si="1"/>
        <v>3243130.39</v>
      </c>
      <c r="AS18" s="52">
        <f t="shared" si="1"/>
        <v>0</v>
      </c>
      <c r="AT18" s="52">
        <f t="shared" si="1"/>
        <v>0</v>
      </c>
      <c r="AU18" s="52">
        <f t="shared" si="1"/>
        <v>3243130.39</v>
      </c>
      <c r="AV18" s="52">
        <f t="shared" si="1"/>
        <v>1632800.28</v>
      </c>
      <c r="AW18" s="52">
        <f t="shared" si="1"/>
        <v>1632800.28</v>
      </c>
      <c r="AX18" s="52">
        <f t="shared" si="1"/>
        <v>0</v>
      </c>
      <c r="AY18" s="52">
        <f t="shared" si="1"/>
        <v>1632800.28</v>
      </c>
      <c r="AZ18" s="52">
        <f t="shared" si="1"/>
        <v>0</v>
      </c>
      <c r="BA18" s="52">
        <f t="shared" si="1"/>
        <v>0</v>
      </c>
      <c r="BB18" s="52">
        <f t="shared" si="1"/>
        <v>0</v>
      </c>
      <c r="BC18" s="52">
        <f t="shared" si="1"/>
        <v>0</v>
      </c>
      <c r="BD18" s="52">
        <f t="shared" si="1"/>
        <v>0</v>
      </c>
      <c r="BE18" s="52">
        <f t="shared" si="1"/>
        <v>0</v>
      </c>
      <c r="BF18" s="52">
        <f t="shared" si="1"/>
        <v>0</v>
      </c>
      <c r="BG18" s="52">
        <f t="shared" si="1"/>
        <v>0</v>
      </c>
      <c r="BH18" s="52">
        <f t="shared" si="1"/>
        <v>0</v>
      </c>
      <c r="BI18" s="52">
        <f t="shared" si="1"/>
        <v>0</v>
      </c>
      <c r="BJ18" s="52">
        <f t="shared" si="1"/>
        <v>0</v>
      </c>
      <c r="BK18" s="52">
        <f t="shared" si="1"/>
        <v>0</v>
      </c>
      <c r="BL18" s="52">
        <f t="shared" si="1"/>
        <v>0</v>
      </c>
      <c r="BM18" s="52">
        <f t="shared" si="1"/>
        <v>0</v>
      </c>
      <c r="BN18" s="52">
        <f t="shared" si="1"/>
        <v>0</v>
      </c>
      <c r="BO18" s="52">
        <f t="shared" si="1"/>
        <v>0</v>
      </c>
      <c r="BP18" s="52">
        <f t="shared" si="1"/>
        <v>0</v>
      </c>
      <c r="BQ18" s="52">
        <f t="shared" si="1"/>
        <v>0</v>
      </c>
      <c r="BR18" s="52">
        <f t="shared" si="1"/>
        <v>0</v>
      </c>
      <c r="BS18" s="52">
        <f t="shared" si="1"/>
        <v>0</v>
      </c>
      <c r="BT18" s="52">
        <f t="shared" si="1"/>
        <v>0</v>
      </c>
      <c r="BU18" s="52">
        <f t="shared" si="1"/>
        <v>0</v>
      </c>
      <c r="BV18" s="52">
        <f t="shared" si="1"/>
        <v>0</v>
      </c>
      <c r="BW18" s="52">
        <f t="shared" si="1"/>
        <v>0</v>
      </c>
      <c r="BX18" s="52">
        <f t="shared" si="1"/>
        <v>0</v>
      </c>
      <c r="BY18" s="52">
        <f t="shared" si="1"/>
        <v>0</v>
      </c>
      <c r="BZ18" s="52">
        <f t="shared" si="1"/>
        <v>0</v>
      </c>
      <c r="CA18" s="52">
        <f t="shared" ref="CA18:EL18" si="2">CA354</f>
        <v>0</v>
      </c>
      <c r="CB18" s="52">
        <f t="shared" si="2"/>
        <v>0</v>
      </c>
      <c r="CC18" s="52">
        <f t="shared" si="2"/>
        <v>0</v>
      </c>
      <c r="CD18" s="52">
        <f t="shared" si="2"/>
        <v>0</v>
      </c>
      <c r="CE18" s="52">
        <f t="shared" si="2"/>
        <v>0</v>
      </c>
      <c r="CF18" s="52">
        <f t="shared" si="2"/>
        <v>0</v>
      </c>
      <c r="CG18" s="52">
        <f t="shared" si="2"/>
        <v>0</v>
      </c>
      <c r="CH18" s="52">
        <f t="shared" si="2"/>
        <v>0</v>
      </c>
      <c r="CI18" s="52">
        <f t="shared" si="2"/>
        <v>0</v>
      </c>
      <c r="CJ18" s="52">
        <f t="shared" si="2"/>
        <v>0</v>
      </c>
      <c r="CK18" s="52">
        <f t="shared" si="2"/>
        <v>0</v>
      </c>
      <c r="CL18" s="52">
        <f t="shared" si="2"/>
        <v>0</v>
      </c>
      <c r="CM18" s="52">
        <f t="shared" si="2"/>
        <v>0</v>
      </c>
      <c r="CN18" s="52">
        <f t="shared" si="2"/>
        <v>0</v>
      </c>
      <c r="CO18" s="52">
        <f t="shared" si="2"/>
        <v>0</v>
      </c>
      <c r="CP18" s="52">
        <f t="shared" si="2"/>
        <v>0</v>
      </c>
      <c r="CQ18" s="52">
        <f t="shared" si="2"/>
        <v>0</v>
      </c>
      <c r="CR18" s="52">
        <f t="shared" si="2"/>
        <v>0</v>
      </c>
      <c r="CS18" s="52">
        <f t="shared" si="2"/>
        <v>0</v>
      </c>
      <c r="CT18" s="52">
        <f t="shared" si="2"/>
        <v>0</v>
      </c>
      <c r="CU18" s="52">
        <f t="shared" si="2"/>
        <v>0</v>
      </c>
      <c r="CV18" s="52">
        <f t="shared" si="2"/>
        <v>0</v>
      </c>
      <c r="CW18" s="52">
        <f t="shared" si="2"/>
        <v>0</v>
      </c>
      <c r="CX18" s="52">
        <f t="shared" si="2"/>
        <v>0</v>
      </c>
      <c r="CY18" s="52">
        <f t="shared" si="2"/>
        <v>0</v>
      </c>
      <c r="CZ18" s="52">
        <f t="shared" si="2"/>
        <v>0</v>
      </c>
      <c r="DA18" s="52">
        <f t="shared" si="2"/>
        <v>0</v>
      </c>
      <c r="DB18" s="52">
        <f t="shared" si="2"/>
        <v>0</v>
      </c>
      <c r="DC18" s="52">
        <f t="shared" si="2"/>
        <v>0</v>
      </c>
      <c r="DD18" s="52">
        <f t="shared" si="2"/>
        <v>0</v>
      </c>
      <c r="DE18" s="52">
        <f t="shared" si="2"/>
        <v>0</v>
      </c>
      <c r="DF18" s="52">
        <f t="shared" si="2"/>
        <v>0</v>
      </c>
      <c r="DG18" s="53">
        <f t="shared" si="2"/>
        <v>0</v>
      </c>
      <c r="DH18" s="53">
        <f t="shared" si="2"/>
        <v>0</v>
      </c>
      <c r="DI18" s="53">
        <f t="shared" si="2"/>
        <v>0</v>
      </c>
      <c r="DJ18" s="53">
        <f t="shared" si="2"/>
        <v>0</v>
      </c>
      <c r="DK18" s="53">
        <f t="shared" si="2"/>
        <v>0</v>
      </c>
      <c r="DL18" s="53">
        <f t="shared" si="2"/>
        <v>0</v>
      </c>
      <c r="DM18" s="53">
        <f t="shared" si="2"/>
        <v>0</v>
      </c>
      <c r="DN18" s="53">
        <f t="shared" si="2"/>
        <v>0</v>
      </c>
      <c r="DO18" s="53">
        <f t="shared" si="2"/>
        <v>0</v>
      </c>
      <c r="DP18" s="53">
        <f t="shared" si="2"/>
        <v>0</v>
      </c>
      <c r="DQ18" s="53">
        <f t="shared" si="2"/>
        <v>0</v>
      </c>
      <c r="DR18" s="53">
        <f t="shared" si="2"/>
        <v>0</v>
      </c>
      <c r="DS18" s="53">
        <f t="shared" si="2"/>
        <v>0</v>
      </c>
      <c r="DT18" s="53">
        <f t="shared" si="2"/>
        <v>0</v>
      </c>
      <c r="DU18" s="53">
        <f t="shared" si="2"/>
        <v>0</v>
      </c>
      <c r="DV18" s="53">
        <f t="shared" si="2"/>
        <v>0</v>
      </c>
      <c r="DW18" s="53">
        <f t="shared" si="2"/>
        <v>0</v>
      </c>
      <c r="DX18" s="53">
        <f t="shared" si="2"/>
        <v>0</v>
      </c>
      <c r="DY18" s="53">
        <f t="shared" si="2"/>
        <v>0</v>
      </c>
      <c r="DZ18" s="53">
        <f t="shared" si="2"/>
        <v>0</v>
      </c>
      <c r="EA18" s="53">
        <f t="shared" si="2"/>
        <v>0</v>
      </c>
      <c r="EB18" s="53">
        <f t="shared" si="2"/>
        <v>0</v>
      </c>
      <c r="EC18" s="53">
        <f t="shared" si="2"/>
        <v>0</v>
      </c>
      <c r="ED18" s="53">
        <f t="shared" si="2"/>
        <v>0</v>
      </c>
      <c r="EE18" s="53">
        <f t="shared" si="2"/>
        <v>0</v>
      </c>
      <c r="EF18" s="53">
        <f t="shared" si="2"/>
        <v>0</v>
      </c>
      <c r="EG18" s="53">
        <f t="shared" si="2"/>
        <v>0</v>
      </c>
      <c r="EH18" s="53">
        <f t="shared" si="2"/>
        <v>0</v>
      </c>
      <c r="EI18" s="53">
        <f t="shared" si="2"/>
        <v>0</v>
      </c>
      <c r="EJ18" s="53">
        <f t="shared" si="2"/>
        <v>0</v>
      </c>
      <c r="EK18" s="53">
        <f t="shared" si="2"/>
        <v>0</v>
      </c>
      <c r="EL18" s="53">
        <f t="shared" si="2"/>
        <v>0</v>
      </c>
      <c r="EM18" s="53">
        <f t="shared" ref="EM18:GX18" si="3">EM354</f>
        <v>0</v>
      </c>
      <c r="EN18" s="53">
        <f t="shared" si="3"/>
        <v>0</v>
      </c>
      <c r="EO18" s="53">
        <f t="shared" si="3"/>
        <v>0</v>
      </c>
      <c r="EP18" s="53">
        <f t="shared" si="3"/>
        <v>0</v>
      </c>
      <c r="EQ18" s="53">
        <f t="shared" si="3"/>
        <v>0</v>
      </c>
      <c r="ER18" s="53">
        <f t="shared" si="3"/>
        <v>0</v>
      </c>
      <c r="ES18" s="53">
        <f t="shared" si="3"/>
        <v>0</v>
      </c>
      <c r="ET18" s="53">
        <f t="shared" si="3"/>
        <v>0</v>
      </c>
      <c r="EU18" s="53">
        <f t="shared" si="3"/>
        <v>0</v>
      </c>
      <c r="EV18" s="53">
        <f t="shared" si="3"/>
        <v>0</v>
      </c>
      <c r="EW18" s="53">
        <f t="shared" si="3"/>
        <v>0</v>
      </c>
      <c r="EX18" s="53">
        <f t="shared" si="3"/>
        <v>0</v>
      </c>
      <c r="EY18" s="53">
        <f t="shared" si="3"/>
        <v>0</v>
      </c>
      <c r="EZ18" s="53">
        <f t="shared" si="3"/>
        <v>0</v>
      </c>
      <c r="FA18" s="53">
        <f t="shared" si="3"/>
        <v>0</v>
      </c>
      <c r="FB18" s="53">
        <f t="shared" si="3"/>
        <v>0</v>
      </c>
      <c r="FC18" s="53">
        <f t="shared" si="3"/>
        <v>0</v>
      </c>
      <c r="FD18" s="53">
        <f t="shared" si="3"/>
        <v>0</v>
      </c>
      <c r="FE18" s="53">
        <f t="shared" si="3"/>
        <v>0</v>
      </c>
      <c r="FF18" s="53">
        <f t="shared" si="3"/>
        <v>0</v>
      </c>
      <c r="FG18" s="53">
        <f t="shared" si="3"/>
        <v>0</v>
      </c>
      <c r="FH18" s="53">
        <f t="shared" si="3"/>
        <v>0</v>
      </c>
      <c r="FI18" s="53">
        <f t="shared" si="3"/>
        <v>0</v>
      </c>
      <c r="FJ18" s="53">
        <f t="shared" si="3"/>
        <v>0</v>
      </c>
      <c r="FK18" s="53">
        <f t="shared" si="3"/>
        <v>0</v>
      </c>
      <c r="FL18" s="53">
        <f t="shared" si="3"/>
        <v>0</v>
      </c>
      <c r="FM18" s="53">
        <f t="shared" si="3"/>
        <v>0</v>
      </c>
      <c r="FN18" s="53">
        <f t="shared" si="3"/>
        <v>0</v>
      </c>
      <c r="FO18" s="53">
        <f t="shared" si="3"/>
        <v>0</v>
      </c>
      <c r="FP18" s="53">
        <f t="shared" si="3"/>
        <v>0</v>
      </c>
      <c r="FQ18" s="53">
        <f t="shared" si="3"/>
        <v>0</v>
      </c>
      <c r="FR18" s="53">
        <f t="shared" si="3"/>
        <v>0</v>
      </c>
      <c r="FS18" s="53">
        <f t="shared" si="3"/>
        <v>0</v>
      </c>
      <c r="FT18" s="53">
        <f t="shared" si="3"/>
        <v>0</v>
      </c>
      <c r="FU18" s="53">
        <f t="shared" si="3"/>
        <v>0</v>
      </c>
      <c r="FV18" s="53">
        <f t="shared" si="3"/>
        <v>0</v>
      </c>
      <c r="FW18" s="53">
        <f t="shared" si="3"/>
        <v>0</v>
      </c>
      <c r="FX18" s="53">
        <f t="shared" si="3"/>
        <v>0</v>
      </c>
      <c r="FY18" s="53">
        <f t="shared" si="3"/>
        <v>0</v>
      </c>
      <c r="FZ18" s="53">
        <f t="shared" si="3"/>
        <v>0</v>
      </c>
      <c r="GA18" s="53">
        <f t="shared" si="3"/>
        <v>0</v>
      </c>
      <c r="GB18" s="53">
        <f t="shared" si="3"/>
        <v>0</v>
      </c>
      <c r="GC18" s="53">
        <f t="shared" si="3"/>
        <v>0</v>
      </c>
      <c r="GD18" s="53">
        <f t="shared" si="3"/>
        <v>0</v>
      </c>
      <c r="GE18" s="53">
        <f t="shared" si="3"/>
        <v>0</v>
      </c>
      <c r="GF18" s="53">
        <f t="shared" si="3"/>
        <v>0</v>
      </c>
      <c r="GG18" s="53">
        <f t="shared" si="3"/>
        <v>0</v>
      </c>
      <c r="GH18" s="53">
        <f t="shared" si="3"/>
        <v>0</v>
      </c>
      <c r="GI18" s="53">
        <f t="shared" si="3"/>
        <v>0</v>
      </c>
      <c r="GJ18" s="53">
        <f t="shared" si="3"/>
        <v>0</v>
      </c>
      <c r="GK18" s="53">
        <f t="shared" si="3"/>
        <v>0</v>
      </c>
      <c r="GL18" s="53">
        <f t="shared" si="3"/>
        <v>0</v>
      </c>
      <c r="GM18" s="53">
        <f t="shared" si="3"/>
        <v>0</v>
      </c>
      <c r="GN18" s="53">
        <f t="shared" si="3"/>
        <v>0</v>
      </c>
      <c r="GO18" s="53">
        <f t="shared" si="3"/>
        <v>0</v>
      </c>
      <c r="GP18" s="53">
        <f t="shared" si="3"/>
        <v>0</v>
      </c>
      <c r="GQ18" s="53">
        <f t="shared" si="3"/>
        <v>0</v>
      </c>
      <c r="GR18" s="53">
        <f t="shared" si="3"/>
        <v>0</v>
      </c>
      <c r="GS18" s="53">
        <f t="shared" si="3"/>
        <v>0</v>
      </c>
      <c r="GT18" s="53">
        <f t="shared" si="3"/>
        <v>0</v>
      </c>
      <c r="GU18" s="53">
        <f t="shared" si="3"/>
        <v>0</v>
      </c>
      <c r="GV18" s="53">
        <f t="shared" si="3"/>
        <v>0</v>
      </c>
      <c r="GW18" s="53">
        <f t="shared" si="3"/>
        <v>0</v>
      </c>
      <c r="GX18" s="53">
        <f t="shared" si="3"/>
        <v>0</v>
      </c>
    </row>
    <row r="20" spans="1:245" ht="13" x14ac:dyDescent="0.3">
      <c r="A20" s="51">
        <v>3</v>
      </c>
      <c r="B20" s="51">
        <v>1</v>
      </c>
      <c r="C20" s="51"/>
      <c r="D20" s="51">
        <f>ROW(A314)</f>
        <v>314</v>
      </c>
      <c r="E20" s="51"/>
      <c r="F20" s="51" t="s">
        <v>173</v>
      </c>
      <c r="G20" s="51" t="s">
        <v>173</v>
      </c>
      <c r="H20" s="51" t="s">
        <v>30</v>
      </c>
      <c r="I20" s="51">
        <v>0</v>
      </c>
      <c r="J20" s="51" t="s">
        <v>30</v>
      </c>
      <c r="K20" s="51">
        <v>0</v>
      </c>
      <c r="L20" s="51" t="s">
        <v>30</v>
      </c>
      <c r="M20" s="51" t="s">
        <v>30</v>
      </c>
      <c r="N20" s="51"/>
      <c r="O20" s="51"/>
      <c r="P20" s="51"/>
      <c r="Q20" s="51"/>
      <c r="R20" s="51"/>
      <c r="S20" s="51">
        <v>0</v>
      </c>
      <c r="T20" s="51"/>
      <c r="U20" s="51" t="s">
        <v>30</v>
      </c>
      <c r="V20" s="51">
        <v>0</v>
      </c>
      <c r="W20" s="51"/>
      <c r="X20" s="51"/>
      <c r="Y20" s="51"/>
      <c r="Z20" s="51"/>
      <c r="AA20" s="51"/>
      <c r="AB20" s="51" t="s">
        <v>30</v>
      </c>
      <c r="AC20" s="51" t="s">
        <v>30</v>
      </c>
      <c r="AD20" s="51" t="s">
        <v>30</v>
      </c>
      <c r="AE20" s="51" t="s">
        <v>30</v>
      </c>
      <c r="AF20" s="51" t="s">
        <v>30</v>
      </c>
      <c r="AG20" s="51" t="s">
        <v>30</v>
      </c>
      <c r="AH20" s="51"/>
      <c r="AI20" s="51"/>
      <c r="AJ20" s="51"/>
      <c r="AK20" s="51"/>
      <c r="AL20" s="51"/>
      <c r="AM20" s="51"/>
      <c r="AN20" s="51"/>
      <c r="AO20" s="51"/>
      <c r="AP20" s="51" t="s">
        <v>30</v>
      </c>
      <c r="AQ20" s="51" t="s">
        <v>30</v>
      </c>
      <c r="AR20" s="51" t="s">
        <v>30</v>
      </c>
      <c r="AS20" s="51"/>
      <c r="AT20" s="51"/>
      <c r="AU20" s="51"/>
      <c r="AV20" s="51"/>
      <c r="AW20" s="51"/>
      <c r="AX20" s="51"/>
      <c r="AY20" s="51"/>
      <c r="AZ20" s="51" t="s">
        <v>30</v>
      </c>
      <c r="BA20" s="51"/>
      <c r="BB20" s="51" t="s">
        <v>30</v>
      </c>
      <c r="BC20" s="51" t="s">
        <v>30</v>
      </c>
      <c r="BD20" s="51" t="s">
        <v>30</v>
      </c>
      <c r="BE20" s="51" t="s">
        <v>30</v>
      </c>
      <c r="BF20" s="51" t="s">
        <v>30</v>
      </c>
      <c r="BG20" s="51" t="s">
        <v>30</v>
      </c>
      <c r="BH20" s="51" t="s">
        <v>30</v>
      </c>
      <c r="BI20" s="51" t="s">
        <v>30</v>
      </c>
      <c r="BJ20" s="51" t="s">
        <v>30</v>
      </c>
      <c r="BK20" s="51" t="s">
        <v>30</v>
      </c>
      <c r="BL20" s="51" t="s">
        <v>30</v>
      </c>
      <c r="BM20" s="51" t="s">
        <v>30</v>
      </c>
      <c r="BN20" s="51" t="s">
        <v>30</v>
      </c>
      <c r="BO20" s="51" t="s">
        <v>30</v>
      </c>
      <c r="BP20" s="51" t="s">
        <v>30</v>
      </c>
      <c r="BQ20" s="51"/>
      <c r="BR20" s="51"/>
      <c r="BS20" s="51"/>
      <c r="BT20" s="51"/>
      <c r="BU20" s="51"/>
      <c r="BV20" s="51"/>
      <c r="BW20" s="51"/>
      <c r="BX20" s="51">
        <v>0</v>
      </c>
      <c r="BY20" s="51"/>
      <c r="BZ20" s="51"/>
      <c r="CA20" s="51"/>
      <c r="CB20" s="51"/>
      <c r="CC20" s="51"/>
      <c r="CD20" s="51"/>
      <c r="CE20" s="51"/>
      <c r="CF20" s="51">
        <v>0</v>
      </c>
      <c r="CG20" s="51">
        <v>0</v>
      </c>
      <c r="CH20" s="51"/>
      <c r="CI20" s="51" t="s">
        <v>30</v>
      </c>
      <c r="CJ20" s="51" t="s">
        <v>30</v>
      </c>
      <c r="CK20" s="2" t="s">
        <v>30</v>
      </c>
      <c r="CL20" s="2" t="s">
        <v>30</v>
      </c>
      <c r="CM20" s="2" t="s">
        <v>30</v>
      </c>
      <c r="CN20" s="2" t="s">
        <v>30</v>
      </c>
      <c r="CO20" s="2" t="s">
        <v>30</v>
      </c>
      <c r="CP20" s="2" t="s">
        <v>30</v>
      </c>
      <c r="CQ20" s="2" t="s">
        <v>30</v>
      </c>
    </row>
    <row r="22" spans="1:245" ht="13" x14ac:dyDescent="0.3">
      <c r="A22" s="52">
        <v>52</v>
      </c>
      <c r="B22" s="52">
        <f t="shared" ref="B22:G22" si="4">B314</f>
        <v>1</v>
      </c>
      <c r="C22" s="52">
        <f t="shared" si="4"/>
        <v>3</v>
      </c>
      <c r="D22" s="52">
        <f t="shared" si="4"/>
        <v>20</v>
      </c>
      <c r="E22" s="52">
        <f t="shared" si="4"/>
        <v>0</v>
      </c>
      <c r="F22" s="52" t="str">
        <f t="shared" si="4"/>
        <v>Новая локальная смета</v>
      </c>
      <c r="G22" s="52" t="str">
        <f t="shared" si="4"/>
        <v>Новая локальная смета</v>
      </c>
      <c r="H22" s="52"/>
      <c r="I22" s="52"/>
      <c r="J22" s="52"/>
      <c r="K22" s="52"/>
      <c r="L22" s="52"/>
      <c r="M22" s="52"/>
      <c r="N22" s="52"/>
      <c r="O22" s="52">
        <f t="shared" ref="O22:BZ22" si="5">O314</f>
        <v>2882247.77</v>
      </c>
      <c r="P22" s="52">
        <f t="shared" si="5"/>
        <v>1632800.28</v>
      </c>
      <c r="Q22" s="52">
        <f t="shared" si="5"/>
        <v>967571.03</v>
      </c>
      <c r="R22" s="52">
        <f t="shared" si="5"/>
        <v>499273.45</v>
      </c>
      <c r="S22" s="52">
        <f t="shared" si="5"/>
        <v>281876.46000000002</v>
      </c>
      <c r="T22" s="52">
        <f t="shared" si="5"/>
        <v>0</v>
      </c>
      <c r="U22" s="52">
        <f t="shared" si="5"/>
        <v>1305.664231</v>
      </c>
      <c r="V22" s="52">
        <f t="shared" si="5"/>
        <v>0</v>
      </c>
      <c r="W22" s="52">
        <f t="shared" si="5"/>
        <v>0</v>
      </c>
      <c r="X22" s="52">
        <f t="shared" si="5"/>
        <v>197313.54</v>
      </c>
      <c r="Y22" s="52">
        <f t="shared" si="5"/>
        <v>28187.66</v>
      </c>
      <c r="Z22" s="52">
        <f t="shared" si="5"/>
        <v>0</v>
      </c>
      <c r="AA22" s="52">
        <f t="shared" si="5"/>
        <v>0</v>
      </c>
      <c r="AB22" s="52">
        <f t="shared" si="5"/>
        <v>0</v>
      </c>
      <c r="AC22" s="52">
        <f t="shared" si="5"/>
        <v>0</v>
      </c>
      <c r="AD22" s="52">
        <f t="shared" si="5"/>
        <v>0</v>
      </c>
      <c r="AE22" s="52">
        <f t="shared" si="5"/>
        <v>0</v>
      </c>
      <c r="AF22" s="52">
        <f t="shared" si="5"/>
        <v>0</v>
      </c>
      <c r="AG22" s="52">
        <f t="shared" si="5"/>
        <v>0</v>
      </c>
      <c r="AH22" s="52">
        <f t="shared" si="5"/>
        <v>0</v>
      </c>
      <c r="AI22" s="52">
        <f t="shared" si="5"/>
        <v>0</v>
      </c>
      <c r="AJ22" s="52">
        <f t="shared" si="5"/>
        <v>0</v>
      </c>
      <c r="AK22" s="52">
        <f t="shared" si="5"/>
        <v>0</v>
      </c>
      <c r="AL22" s="52">
        <f t="shared" si="5"/>
        <v>0</v>
      </c>
      <c r="AM22" s="52">
        <f t="shared" si="5"/>
        <v>0</v>
      </c>
      <c r="AN22" s="52">
        <f t="shared" si="5"/>
        <v>0</v>
      </c>
      <c r="AO22" s="52">
        <f t="shared" si="5"/>
        <v>0</v>
      </c>
      <c r="AP22" s="52">
        <f t="shared" si="5"/>
        <v>0</v>
      </c>
      <c r="AQ22" s="52">
        <f t="shared" si="5"/>
        <v>0</v>
      </c>
      <c r="AR22" s="52">
        <f t="shared" si="5"/>
        <v>3243130.39</v>
      </c>
      <c r="AS22" s="52">
        <f t="shared" si="5"/>
        <v>0</v>
      </c>
      <c r="AT22" s="52">
        <f t="shared" si="5"/>
        <v>0</v>
      </c>
      <c r="AU22" s="52">
        <f t="shared" si="5"/>
        <v>3243130.39</v>
      </c>
      <c r="AV22" s="52">
        <f t="shared" si="5"/>
        <v>1632800.28</v>
      </c>
      <c r="AW22" s="52">
        <f t="shared" si="5"/>
        <v>1632800.28</v>
      </c>
      <c r="AX22" s="52">
        <f t="shared" si="5"/>
        <v>0</v>
      </c>
      <c r="AY22" s="52">
        <f t="shared" si="5"/>
        <v>1632800.28</v>
      </c>
      <c r="AZ22" s="52">
        <f t="shared" si="5"/>
        <v>0</v>
      </c>
      <c r="BA22" s="52">
        <f t="shared" si="5"/>
        <v>0</v>
      </c>
      <c r="BB22" s="52">
        <f t="shared" si="5"/>
        <v>0</v>
      </c>
      <c r="BC22" s="52">
        <f t="shared" si="5"/>
        <v>0</v>
      </c>
      <c r="BD22" s="52">
        <f t="shared" si="5"/>
        <v>0</v>
      </c>
      <c r="BE22" s="52">
        <f t="shared" si="5"/>
        <v>0</v>
      </c>
      <c r="BF22" s="52">
        <f t="shared" si="5"/>
        <v>0</v>
      </c>
      <c r="BG22" s="52">
        <f t="shared" si="5"/>
        <v>0</v>
      </c>
      <c r="BH22" s="52">
        <f t="shared" si="5"/>
        <v>0</v>
      </c>
      <c r="BI22" s="52">
        <f t="shared" si="5"/>
        <v>0</v>
      </c>
      <c r="BJ22" s="52">
        <f t="shared" si="5"/>
        <v>0</v>
      </c>
      <c r="BK22" s="52">
        <f t="shared" si="5"/>
        <v>0</v>
      </c>
      <c r="BL22" s="52">
        <f t="shared" si="5"/>
        <v>0</v>
      </c>
      <c r="BM22" s="52">
        <f t="shared" si="5"/>
        <v>0</v>
      </c>
      <c r="BN22" s="52">
        <f t="shared" si="5"/>
        <v>0</v>
      </c>
      <c r="BO22" s="52">
        <f t="shared" si="5"/>
        <v>0</v>
      </c>
      <c r="BP22" s="52">
        <f t="shared" si="5"/>
        <v>0</v>
      </c>
      <c r="BQ22" s="52">
        <f t="shared" si="5"/>
        <v>0</v>
      </c>
      <c r="BR22" s="52">
        <f t="shared" si="5"/>
        <v>0</v>
      </c>
      <c r="BS22" s="52">
        <f t="shared" si="5"/>
        <v>0</v>
      </c>
      <c r="BT22" s="52">
        <f t="shared" si="5"/>
        <v>0</v>
      </c>
      <c r="BU22" s="52">
        <f t="shared" si="5"/>
        <v>0</v>
      </c>
      <c r="BV22" s="52">
        <f t="shared" si="5"/>
        <v>0</v>
      </c>
      <c r="BW22" s="52">
        <f t="shared" si="5"/>
        <v>0</v>
      </c>
      <c r="BX22" s="52">
        <f t="shared" si="5"/>
        <v>0</v>
      </c>
      <c r="BY22" s="52">
        <f t="shared" si="5"/>
        <v>0</v>
      </c>
      <c r="BZ22" s="52">
        <f t="shared" si="5"/>
        <v>0</v>
      </c>
      <c r="CA22" s="52">
        <f t="shared" ref="CA22:EL22" si="6">CA314</f>
        <v>0</v>
      </c>
      <c r="CB22" s="52">
        <f t="shared" si="6"/>
        <v>0</v>
      </c>
      <c r="CC22" s="52">
        <f t="shared" si="6"/>
        <v>0</v>
      </c>
      <c r="CD22" s="52">
        <f t="shared" si="6"/>
        <v>0</v>
      </c>
      <c r="CE22" s="52">
        <f t="shared" si="6"/>
        <v>0</v>
      </c>
      <c r="CF22" s="52">
        <f t="shared" si="6"/>
        <v>0</v>
      </c>
      <c r="CG22" s="52">
        <f t="shared" si="6"/>
        <v>0</v>
      </c>
      <c r="CH22" s="52">
        <f t="shared" si="6"/>
        <v>0</v>
      </c>
      <c r="CI22" s="52">
        <f t="shared" si="6"/>
        <v>0</v>
      </c>
      <c r="CJ22" s="52">
        <f t="shared" si="6"/>
        <v>0</v>
      </c>
      <c r="CK22" s="52">
        <f t="shared" si="6"/>
        <v>0</v>
      </c>
      <c r="CL22" s="52">
        <f t="shared" si="6"/>
        <v>0</v>
      </c>
      <c r="CM22" s="52">
        <f t="shared" si="6"/>
        <v>0</v>
      </c>
      <c r="CN22" s="52">
        <f t="shared" si="6"/>
        <v>0</v>
      </c>
      <c r="CO22" s="52">
        <f t="shared" si="6"/>
        <v>0</v>
      </c>
      <c r="CP22" s="52">
        <f t="shared" si="6"/>
        <v>0</v>
      </c>
      <c r="CQ22" s="52">
        <f t="shared" si="6"/>
        <v>0</v>
      </c>
      <c r="CR22" s="52">
        <f t="shared" si="6"/>
        <v>0</v>
      </c>
      <c r="CS22" s="52">
        <f t="shared" si="6"/>
        <v>0</v>
      </c>
      <c r="CT22" s="52">
        <f t="shared" si="6"/>
        <v>0</v>
      </c>
      <c r="CU22" s="52">
        <f t="shared" si="6"/>
        <v>0</v>
      </c>
      <c r="CV22" s="52">
        <f t="shared" si="6"/>
        <v>0</v>
      </c>
      <c r="CW22" s="52">
        <f t="shared" si="6"/>
        <v>0</v>
      </c>
      <c r="CX22" s="52">
        <f t="shared" si="6"/>
        <v>0</v>
      </c>
      <c r="CY22" s="52">
        <f t="shared" si="6"/>
        <v>0</v>
      </c>
      <c r="CZ22" s="52">
        <f t="shared" si="6"/>
        <v>0</v>
      </c>
      <c r="DA22" s="52">
        <f t="shared" si="6"/>
        <v>0</v>
      </c>
      <c r="DB22" s="52">
        <f t="shared" si="6"/>
        <v>0</v>
      </c>
      <c r="DC22" s="52">
        <f t="shared" si="6"/>
        <v>0</v>
      </c>
      <c r="DD22" s="52">
        <f t="shared" si="6"/>
        <v>0</v>
      </c>
      <c r="DE22" s="52">
        <f t="shared" si="6"/>
        <v>0</v>
      </c>
      <c r="DF22" s="52">
        <f t="shared" si="6"/>
        <v>0</v>
      </c>
      <c r="DG22" s="53">
        <f t="shared" si="6"/>
        <v>0</v>
      </c>
      <c r="DH22" s="53">
        <f t="shared" si="6"/>
        <v>0</v>
      </c>
      <c r="DI22" s="53">
        <f t="shared" si="6"/>
        <v>0</v>
      </c>
      <c r="DJ22" s="53">
        <f t="shared" si="6"/>
        <v>0</v>
      </c>
      <c r="DK22" s="53">
        <f t="shared" si="6"/>
        <v>0</v>
      </c>
      <c r="DL22" s="53">
        <f t="shared" si="6"/>
        <v>0</v>
      </c>
      <c r="DM22" s="53">
        <f t="shared" si="6"/>
        <v>0</v>
      </c>
      <c r="DN22" s="53">
        <f t="shared" si="6"/>
        <v>0</v>
      </c>
      <c r="DO22" s="53">
        <f t="shared" si="6"/>
        <v>0</v>
      </c>
      <c r="DP22" s="53">
        <f t="shared" si="6"/>
        <v>0</v>
      </c>
      <c r="DQ22" s="53">
        <f t="shared" si="6"/>
        <v>0</v>
      </c>
      <c r="DR22" s="53">
        <f t="shared" si="6"/>
        <v>0</v>
      </c>
      <c r="DS22" s="53">
        <f t="shared" si="6"/>
        <v>0</v>
      </c>
      <c r="DT22" s="53">
        <f t="shared" si="6"/>
        <v>0</v>
      </c>
      <c r="DU22" s="53">
        <f t="shared" si="6"/>
        <v>0</v>
      </c>
      <c r="DV22" s="53">
        <f t="shared" si="6"/>
        <v>0</v>
      </c>
      <c r="DW22" s="53">
        <f t="shared" si="6"/>
        <v>0</v>
      </c>
      <c r="DX22" s="53">
        <f t="shared" si="6"/>
        <v>0</v>
      </c>
      <c r="DY22" s="53">
        <f t="shared" si="6"/>
        <v>0</v>
      </c>
      <c r="DZ22" s="53">
        <f t="shared" si="6"/>
        <v>0</v>
      </c>
      <c r="EA22" s="53">
        <f t="shared" si="6"/>
        <v>0</v>
      </c>
      <c r="EB22" s="53">
        <f t="shared" si="6"/>
        <v>0</v>
      </c>
      <c r="EC22" s="53">
        <f t="shared" si="6"/>
        <v>0</v>
      </c>
      <c r="ED22" s="53">
        <f t="shared" si="6"/>
        <v>0</v>
      </c>
      <c r="EE22" s="53">
        <f t="shared" si="6"/>
        <v>0</v>
      </c>
      <c r="EF22" s="53">
        <f t="shared" si="6"/>
        <v>0</v>
      </c>
      <c r="EG22" s="53">
        <f t="shared" si="6"/>
        <v>0</v>
      </c>
      <c r="EH22" s="53">
        <f t="shared" si="6"/>
        <v>0</v>
      </c>
      <c r="EI22" s="53">
        <f t="shared" si="6"/>
        <v>0</v>
      </c>
      <c r="EJ22" s="53">
        <f t="shared" si="6"/>
        <v>0</v>
      </c>
      <c r="EK22" s="53">
        <f t="shared" si="6"/>
        <v>0</v>
      </c>
      <c r="EL22" s="53">
        <f t="shared" si="6"/>
        <v>0</v>
      </c>
      <c r="EM22" s="53">
        <f t="shared" ref="EM22:GX22" si="7">EM314</f>
        <v>0</v>
      </c>
      <c r="EN22" s="53">
        <f t="shared" si="7"/>
        <v>0</v>
      </c>
      <c r="EO22" s="53">
        <f t="shared" si="7"/>
        <v>0</v>
      </c>
      <c r="EP22" s="53">
        <f t="shared" si="7"/>
        <v>0</v>
      </c>
      <c r="EQ22" s="53">
        <f t="shared" si="7"/>
        <v>0</v>
      </c>
      <c r="ER22" s="53">
        <f t="shared" si="7"/>
        <v>0</v>
      </c>
      <c r="ES22" s="53">
        <f t="shared" si="7"/>
        <v>0</v>
      </c>
      <c r="ET22" s="53">
        <f t="shared" si="7"/>
        <v>0</v>
      </c>
      <c r="EU22" s="53">
        <f t="shared" si="7"/>
        <v>0</v>
      </c>
      <c r="EV22" s="53">
        <f t="shared" si="7"/>
        <v>0</v>
      </c>
      <c r="EW22" s="53">
        <f t="shared" si="7"/>
        <v>0</v>
      </c>
      <c r="EX22" s="53">
        <f t="shared" si="7"/>
        <v>0</v>
      </c>
      <c r="EY22" s="53">
        <f t="shared" si="7"/>
        <v>0</v>
      </c>
      <c r="EZ22" s="53">
        <f t="shared" si="7"/>
        <v>0</v>
      </c>
      <c r="FA22" s="53">
        <f t="shared" si="7"/>
        <v>0</v>
      </c>
      <c r="FB22" s="53">
        <f t="shared" si="7"/>
        <v>0</v>
      </c>
      <c r="FC22" s="53">
        <f t="shared" si="7"/>
        <v>0</v>
      </c>
      <c r="FD22" s="53">
        <f t="shared" si="7"/>
        <v>0</v>
      </c>
      <c r="FE22" s="53">
        <f t="shared" si="7"/>
        <v>0</v>
      </c>
      <c r="FF22" s="53">
        <f t="shared" si="7"/>
        <v>0</v>
      </c>
      <c r="FG22" s="53">
        <f t="shared" si="7"/>
        <v>0</v>
      </c>
      <c r="FH22" s="53">
        <f t="shared" si="7"/>
        <v>0</v>
      </c>
      <c r="FI22" s="53">
        <f t="shared" si="7"/>
        <v>0</v>
      </c>
      <c r="FJ22" s="53">
        <f t="shared" si="7"/>
        <v>0</v>
      </c>
      <c r="FK22" s="53">
        <f t="shared" si="7"/>
        <v>0</v>
      </c>
      <c r="FL22" s="53">
        <f t="shared" si="7"/>
        <v>0</v>
      </c>
      <c r="FM22" s="53">
        <f t="shared" si="7"/>
        <v>0</v>
      </c>
      <c r="FN22" s="53">
        <f t="shared" si="7"/>
        <v>0</v>
      </c>
      <c r="FO22" s="53">
        <f t="shared" si="7"/>
        <v>0</v>
      </c>
      <c r="FP22" s="53">
        <f t="shared" si="7"/>
        <v>0</v>
      </c>
      <c r="FQ22" s="53">
        <f t="shared" si="7"/>
        <v>0</v>
      </c>
      <c r="FR22" s="53">
        <f t="shared" si="7"/>
        <v>0</v>
      </c>
      <c r="FS22" s="53">
        <f t="shared" si="7"/>
        <v>0</v>
      </c>
      <c r="FT22" s="53">
        <f t="shared" si="7"/>
        <v>0</v>
      </c>
      <c r="FU22" s="53">
        <f t="shared" si="7"/>
        <v>0</v>
      </c>
      <c r="FV22" s="53">
        <f t="shared" si="7"/>
        <v>0</v>
      </c>
      <c r="FW22" s="53">
        <f t="shared" si="7"/>
        <v>0</v>
      </c>
      <c r="FX22" s="53">
        <f t="shared" si="7"/>
        <v>0</v>
      </c>
      <c r="FY22" s="53">
        <f t="shared" si="7"/>
        <v>0</v>
      </c>
      <c r="FZ22" s="53">
        <f t="shared" si="7"/>
        <v>0</v>
      </c>
      <c r="GA22" s="53">
        <f t="shared" si="7"/>
        <v>0</v>
      </c>
      <c r="GB22" s="53">
        <f t="shared" si="7"/>
        <v>0</v>
      </c>
      <c r="GC22" s="53">
        <f t="shared" si="7"/>
        <v>0</v>
      </c>
      <c r="GD22" s="53">
        <f t="shared" si="7"/>
        <v>0</v>
      </c>
      <c r="GE22" s="53">
        <f t="shared" si="7"/>
        <v>0</v>
      </c>
      <c r="GF22" s="53">
        <f t="shared" si="7"/>
        <v>0</v>
      </c>
      <c r="GG22" s="53">
        <f t="shared" si="7"/>
        <v>0</v>
      </c>
      <c r="GH22" s="53">
        <f t="shared" si="7"/>
        <v>0</v>
      </c>
      <c r="GI22" s="53">
        <f t="shared" si="7"/>
        <v>0</v>
      </c>
      <c r="GJ22" s="53">
        <f t="shared" si="7"/>
        <v>0</v>
      </c>
      <c r="GK22" s="53">
        <f t="shared" si="7"/>
        <v>0</v>
      </c>
      <c r="GL22" s="53">
        <f t="shared" si="7"/>
        <v>0</v>
      </c>
      <c r="GM22" s="53">
        <f t="shared" si="7"/>
        <v>0</v>
      </c>
      <c r="GN22" s="53">
        <f t="shared" si="7"/>
        <v>0</v>
      </c>
      <c r="GO22" s="53">
        <f t="shared" si="7"/>
        <v>0</v>
      </c>
      <c r="GP22" s="53">
        <f t="shared" si="7"/>
        <v>0</v>
      </c>
      <c r="GQ22" s="53">
        <f t="shared" si="7"/>
        <v>0</v>
      </c>
      <c r="GR22" s="53">
        <f t="shared" si="7"/>
        <v>0</v>
      </c>
      <c r="GS22" s="53">
        <f t="shared" si="7"/>
        <v>0</v>
      </c>
      <c r="GT22" s="53">
        <f t="shared" si="7"/>
        <v>0</v>
      </c>
      <c r="GU22" s="53">
        <f t="shared" si="7"/>
        <v>0</v>
      </c>
      <c r="GV22" s="53">
        <f t="shared" si="7"/>
        <v>0</v>
      </c>
      <c r="GW22" s="53">
        <f t="shared" si="7"/>
        <v>0</v>
      </c>
      <c r="GX22" s="53">
        <f t="shared" si="7"/>
        <v>0</v>
      </c>
    </row>
    <row r="24" spans="1:245" ht="13" x14ac:dyDescent="0.3">
      <c r="A24" s="51">
        <v>4</v>
      </c>
      <c r="B24" s="51">
        <v>1</v>
      </c>
      <c r="C24" s="51"/>
      <c r="D24" s="51">
        <f>ROW(A40)</f>
        <v>40</v>
      </c>
      <c r="E24" s="51"/>
      <c r="F24" s="51" t="s">
        <v>174</v>
      </c>
      <c r="G24" s="51" t="s">
        <v>418</v>
      </c>
      <c r="H24" s="51" t="s">
        <v>30</v>
      </c>
      <c r="I24" s="51">
        <v>0</v>
      </c>
      <c r="J24" s="51"/>
      <c r="K24" s="51">
        <v>-1</v>
      </c>
      <c r="L24" s="51"/>
      <c r="M24" s="51" t="s">
        <v>30</v>
      </c>
      <c r="N24" s="51"/>
      <c r="O24" s="51"/>
      <c r="P24" s="51"/>
      <c r="Q24" s="51"/>
      <c r="R24" s="51"/>
      <c r="S24" s="51">
        <v>0</v>
      </c>
      <c r="T24" s="51"/>
      <c r="U24" s="51" t="s">
        <v>30</v>
      </c>
      <c r="V24" s="51">
        <v>0</v>
      </c>
      <c r="W24" s="51"/>
      <c r="X24" s="51"/>
      <c r="Y24" s="51"/>
      <c r="Z24" s="51"/>
      <c r="AA24" s="51"/>
      <c r="AB24" s="51" t="s">
        <v>30</v>
      </c>
      <c r="AC24" s="51" t="s">
        <v>30</v>
      </c>
      <c r="AD24" s="51" t="s">
        <v>30</v>
      </c>
      <c r="AE24" s="51" t="s">
        <v>30</v>
      </c>
      <c r="AF24" s="51" t="s">
        <v>30</v>
      </c>
      <c r="AG24" s="51" t="s">
        <v>30</v>
      </c>
      <c r="AH24" s="51"/>
      <c r="AI24" s="51"/>
      <c r="AJ24" s="51"/>
      <c r="AK24" s="51"/>
      <c r="AL24" s="51"/>
      <c r="AM24" s="51"/>
      <c r="AN24" s="51"/>
      <c r="AO24" s="51"/>
      <c r="AP24" s="51" t="s">
        <v>30</v>
      </c>
      <c r="AQ24" s="51" t="s">
        <v>30</v>
      </c>
      <c r="AR24" s="51" t="s">
        <v>30</v>
      </c>
      <c r="AS24" s="51"/>
      <c r="AT24" s="51"/>
      <c r="AU24" s="51"/>
      <c r="AV24" s="51"/>
      <c r="AW24" s="51"/>
      <c r="AX24" s="51"/>
      <c r="AY24" s="51"/>
      <c r="AZ24" s="51" t="s">
        <v>30</v>
      </c>
      <c r="BA24" s="51"/>
      <c r="BB24" s="51" t="s">
        <v>30</v>
      </c>
      <c r="BC24" s="51" t="s">
        <v>30</v>
      </c>
      <c r="BD24" s="51" t="s">
        <v>30</v>
      </c>
      <c r="BE24" s="51" t="s">
        <v>30</v>
      </c>
      <c r="BF24" s="51" t="s">
        <v>30</v>
      </c>
      <c r="BG24" s="51" t="s">
        <v>30</v>
      </c>
      <c r="BH24" s="51" t="s">
        <v>30</v>
      </c>
      <c r="BI24" s="51" t="s">
        <v>30</v>
      </c>
      <c r="BJ24" s="51" t="s">
        <v>30</v>
      </c>
      <c r="BK24" s="51" t="s">
        <v>30</v>
      </c>
      <c r="BL24" s="51" t="s">
        <v>30</v>
      </c>
      <c r="BM24" s="51" t="s">
        <v>30</v>
      </c>
      <c r="BN24" s="51" t="s">
        <v>30</v>
      </c>
      <c r="BO24" s="51" t="s">
        <v>30</v>
      </c>
      <c r="BP24" s="51" t="s">
        <v>30</v>
      </c>
      <c r="BQ24" s="51"/>
      <c r="BR24" s="51"/>
      <c r="BS24" s="51"/>
      <c r="BT24" s="51"/>
      <c r="BU24" s="51"/>
      <c r="BV24" s="51"/>
      <c r="BW24" s="51"/>
      <c r="BX24" s="51">
        <v>0</v>
      </c>
      <c r="BY24" s="51"/>
      <c r="BZ24" s="51"/>
      <c r="CA24" s="51"/>
      <c r="CB24" s="51"/>
      <c r="CC24" s="51"/>
      <c r="CD24" s="51"/>
      <c r="CE24" s="51"/>
      <c r="CF24" s="51"/>
      <c r="CG24" s="51"/>
      <c r="CH24" s="51"/>
      <c r="CI24" s="51"/>
      <c r="CJ24" s="51">
        <v>0</v>
      </c>
    </row>
    <row r="26" spans="1:245" ht="13" x14ac:dyDescent="0.3">
      <c r="A26" s="52">
        <v>52</v>
      </c>
      <c r="B26" s="52">
        <f t="shared" ref="B26:G26" si="8">B40</f>
        <v>1</v>
      </c>
      <c r="C26" s="52">
        <f t="shared" si="8"/>
        <v>4</v>
      </c>
      <c r="D26" s="52">
        <f t="shared" si="8"/>
        <v>24</v>
      </c>
      <c r="E26" s="52">
        <f t="shared" si="8"/>
        <v>0</v>
      </c>
      <c r="F26" s="52" t="str">
        <f t="shared" si="8"/>
        <v>Новый раздел</v>
      </c>
      <c r="G26" s="52" t="str">
        <f t="shared" si="8"/>
        <v>Ремонт дорожно-тропиночной сети с асфальтобетонным покрытием  - 1800 м2</v>
      </c>
      <c r="H26" s="52"/>
      <c r="I26" s="52"/>
      <c r="J26" s="52"/>
      <c r="K26" s="52"/>
      <c r="L26" s="52"/>
      <c r="M26" s="52"/>
      <c r="N26" s="52"/>
      <c r="O26" s="52">
        <f t="shared" ref="O26:BZ26" si="9">O40</f>
        <v>1213181.94</v>
      </c>
      <c r="P26" s="52">
        <f t="shared" si="9"/>
        <v>705068</v>
      </c>
      <c r="Q26" s="52">
        <f t="shared" si="9"/>
        <v>451179.84</v>
      </c>
      <c r="R26" s="52">
        <f t="shared" si="9"/>
        <v>220481.15</v>
      </c>
      <c r="S26" s="52">
        <f t="shared" si="9"/>
        <v>56934.1</v>
      </c>
      <c r="T26" s="52">
        <f t="shared" si="9"/>
        <v>0</v>
      </c>
      <c r="U26" s="52">
        <f t="shared" si="9"/>
        <v>246.03659999999999</v>
      </c>
      <c r="V26" s="52">
        <f t="shared" si="9"/>
        <v>0</v>
      </c>
      <c r="W26" s="52">
        <f t="shared" si="9"/>
        <v>0</v>
      </c>
      <c r="X26" s="52">
        <f t="shared" si="9"/>
        <v>39853.870000000003</v>
      </c>
      <c r="Y26" s="52">
        <f t="shared" si="9"/>
        <v>5693.41</v>
      </c>
      <c r="Z26" s="52">
        <f t="shared" si="9"/>
        <v>0</v>
      </c>
      <c r="AA26" s="52">
        <f t="shared" si="9"/>
        <v>0</v>
      </c>
      <c r="AB26" s="52">
        <f t="shared" si="9"/>
        <v>1213181.94</v>
      </c>
      <c r="AC26" s="52">
        <f t="shared" si="9"/>
        <v>705068</v>
      </c>
      <c r="AD26" s="52">
        <f t="shared" si="9"/>
        <v>451179.84</v>
      </c>
      <c r="AE26" s="52">
        <f t="shared" si="9"/>
        <v>220481.15</v>
      </c>
      <c r="AF26" s="52">
        <f t="shared" si="9"/>
        <v>56934.1</v>
      </c>
      <c r="AG26" s="52">
        <f t="shared" si="9"/>
        <v>0</v>
      </c>
      <c r="AH26" s="52">
        <f t="shared" si="9"/>
        <v>246.03659999999999</v>
      </c>
      <c r="AI26" s="52">
        <f t="shared" si="9"/>
        <v>0</v>
      </c>
      <c r="AJ26" s="52">
        <f t="shared" si="9"/>
        <v>0</v>
      </c>
      <c r="AK26" s="52">
        <f t="shared" si="9"/>
        <v>39853.870000000003</v>
      </c>
      <c r="AL26" s="52">
        <f t="shared" si="9"/>
        <v>5693.41</v>
      </c>
      <c r="AM26" s="52">
        <f t="shared" si="9"/>
        <v>0</v>
      </c>
      <c r="AN26" s="52">
        <f t="shared" si="9"/>
        <v>0</v>
      </c>
      <c r="AO26" s="52">
        <f t="shared" si="9"/>
        <v>0</v>
      </c>
      <c r="AP26" s="52">
        <f t="shared" si="9"/>
        <v>0</v>
      </c>
      <c r="AQ26" s="52">
        <f t="shared" si="9"/>
        <v>0</v>
      </c>
      <c r="AR26" s="52">
        <f t="shared" si="9"/>
        <v>1299426.33</v>
      </c>
      <c r="AS26" s="52">
        <f t="shared" si="9"/>
        <v>0</v>
      </c>
      <c r="AT26" s="52">
        <f t="shared" si="9"/>
        <v>0</v>
      </c>
      <c r="AU26" s="52">
        <f t="shared" si="9"/>
        <v>1299426.33</v>
      </c>
      <c r="AV26" s="52">
        <f t="shared" si="9"/>
        <v>705068</v>
      </c>
      <c r="AW26" s="52">
        <f t="shared" si="9"/>
        <v>705068</v>
      </c>
      <c r="AX26" s="52">
        <f t="shared" si="9"/>
        <v>0</v>
      </c>
      <c r="AY26" s="52">
        <f t="shared" si="9"/>
        <v>705068</v>
      </c>
      <c r="AZ26" s="52">
        <f t="shared" si="9"/>
        <v>0</v>
      </c>
      <c r="BA26" s="52">
        <f t="shared" si="9"/>
        <v>0</v>
      </c>
      <c r="BB26" s="52">
        <f t="shared" si="9"/>
        <v>0</v>
      </c>
      <c r="BC26" s="52">
        <f t="shared" si="9"/>
        <v>0</v>
      </c>
      <c r="BD26" s="52">
        <f t="shared" si="9"/>
        <v>0</v>
      </c>
      <c r="BE26" s="52">
        <f t="shared" si="9"/>
        <v>0</v>
      </c>
      <c r="BF26" s="52">
        <f t="shared" si="9"/>
        <v>0</v>
      </c>
      <c r="BG26" s="52">
        <f t="shared" si="9"/>
        <v>0</v>
      </c>
      <c r="BH26" s="52">
        <f t="shared" si="9"/>
        <v>0</v>
      </c>
      <c r="BI26" s="52">
        <f t="shared" si="9"/>
        <v>0</v>
      </c>
      <c r="BJ26" s="52">
        <f t="shared" si="9"/>
        <v>0</v>
      </c>
      <c r="BK26" s="52">
        <f t="shared" si="9"/>
        <v>0</v>
      </c>
      <c r="BL26" s="52">
        <f t="shared" si="9"/>
        <v>0</v>
      </c>
      <c r="BM26" s="52">
        <f t="shared" si="9"/>
        <v>0</v>
      </c>
      <c r="BN26" s="52">
        <f t="shared" si="9"/>
        <v>0</v>
      </c>
      <c r="BO26" s="52">
        <f t="shared" si="9"/>
        <v>0</v>
      </c>
      <c r="BP26" s="52">
        <f t="shared" si="9"/>
        <v>0</v>
      </c>
      <c r="BQ26" s="52">
        <f t="shared" si="9"/>
        <v>0</v>
      </c>
      <c r="BR26" s="52">
        <f t="shared" si="9"/>
        <v>0</v>
      </c>
      <c r="BS26" s="52">
        <f t="shared" si="9"/>
        <v>0</v>
      </c>
      <c r="BT26" s="52">
        <f t="shared" si="9"/>
        <v>0</v>
      </c>
      <c r="BU26" s="52">
        <f t="shared" si="9"/>
        <v>0</v>
      </c>
      <c r="BV26" s="52">
        <f t="shared" si="9"/>
        <v>0</v>
      </c>
      <c r="BW26" s="52">
        <f t="shared" si="9"/>
        <v>0</v>
      </c>
      <c r="BX26" s="52">
        <f t="shared" si="9"/>
        <v>0</v>
      </c>
      <c r="BY26" s="52">
        <f t="shared" si="9"/>
        <v>0</v>
      </c>
      <c r="BZ26" s="52">
        <f t="shared" si="9"/>
        <v>0</v>
      </c>
      <c r="CA26" s="52">
        <f t="shared" ref="CA26:EL26" si="10">CA40</f>
        <v>1299426.33</v>
      </c>
      <c r="CB26" s="52">
        <f t="shared" si="10"/>
        <v>0</v>
      </c>
      <c r="CC26" s="52">
        <f t="shared" si="10"/>
        <v>0</v>
      </c>
      <c r="CD26" s="52">
        <f t="shared" si="10"/>
        <v>1299426.33</v>
      </c>
      <c r="CE26" s="52">
        <f t="shared" si="10"/>
        <v>705068</v>
      </c>
      <c r="CF26" s="52">
        <f t="shared" si="10"/>
        <v>705068</v>
      </c>
      <c r="CG26" s="52">
        <f t="shared" si="10"/>
        <v>0</v>
      </c>
      <c r="CH26" s="52">
        <f t="shared" si="10"/>
        <v>705068</v>
      </c>
      <c r="CI26" s="52">
        <f t="shared" si="10"/>
        <v>0</v>
      </c>
      <c r="CJ26" s="52">
        <f t="shared" si="10"/>
        <v>0</v>
      </c>
      <c r="CK26" s="52">
        <f t="shared" si="10"/>
        <v>0</v>
      </c>
      <c r="CL26" s="52">
        <f t="shared" si="10"/>
        <v>0</v>
      </c>
      <c r="CM26" s="52">
        <f t="shared" si="10"/>
        <v>0</v>
      </c>
      <c r="CN26" s="52">
        <f t="shared" si="10"/>
        <v>0</v>
      </c>
      <c r="CO26" s="52">
        <f t="shared" si="10"/>
        <v>0</v>
      </c>
      <c r="CP26" s="52">
        <f t="shared" si="10"/>
        <v>0</v>
      </c>
      <c r="CQ26" s="52">
        <f t="shared" si="10"/>
        <v>0</v>
      </c>
      <c r="CR26" s="52">
        <f t="shared" si="10"/>
        <v>0</v>
      </c>
      <c r="CS26" s="52">
        <f t="shared" si="10"/>
        <v>0</v>
      </c>
      <c r="CT26" s="52">
        <f t="shared" si="10"/>
        <v>0</v>
      </c>
      <c r="CU26" s="52">
        <f t="shared" si="10"/>
        <v>0</v>
      </c>
      <c r="CV26" s="52">
        <f t="shared" si="10"/>
        <v>0</v>
      </c>
      <c r="CW26" s="52">
        <f t="shared" si="10"/>
        <v>0</v>
      </c>
      <c r="CX26" s="52">
        <f t="shared" si="10"/>
        <v>0</v>
      </c>
      <c r="CY26" s="52">
        <f t="shared" si="10"/>
        <v>0</v>
      </c>
      <c r="CZ26" s="52">
        <f t="shared" si="10"/>
        <v>0</v>
      </c>
      <c r="DA26" s="52">
        <f t="shared" si="10"/>
        <v>0</v>
      </c>
      <c r="DB26" s="52">
        <f t="shared" si="10"/>
        <v>0</v>
      </c>
      <c r="DC26" s="52">
        <f t="shared" si="10"/>
        <v>0</v>
      </c>
      <c r="DD26" s="52">
        <f t="shared" si="10"/>
        <v>0</v>
      </c>
      <c r="DE26" s="52">
        <f t="shared" si="10"/>
        <v>0</v>
      </c>
      <c r="DF26" s="52">
        <f t="shared" si="10"/>
        <v>0</v>
      </c>
      <c r="DG26" s="53">
        <f t="shared" si="10"/>
        <v>0</v>
      </c>
      <c r="DH26" s="53">
        <f t="shared" si="10"/>
        <v>0</v>
      </c>
      <c r="DI26" s="53">
        <f t="shared" si="10"/>
        <v>0</v>
      </c>
      <c r="DJ26" s="53">
        <f t="shared" si="10"/>
        <v>0</v>
      </c>
      <c r="DK26" s="53">
        <f t="shared" si="10"/>
        <v>0</v>
      </c>
      <c r="DL26" s="53">
        <f t="shared" si="10"/>
        <v>0</v>
      </c>
      <c r="DM26" s="53">
        <f t="shared" si="10"/>
        <v>0</v>
      </c>
      <c r="DN26" s="53">
        <f t="shared" si="10"/>
        <v>0</v>
      </c>
      <c r="DO26" s="53">
        <f t="shared" si="10"/>
        <v>0</v>
      </c>
      <c r="DP26" s="53">
        <f t="shared" si="10"/>
        <v>0</v>
      </c>
      <c r="DQ26" s="53">
        <f t="shared" si="10"/>
        <v>0</v>
      </c>
      <c r="DR26" s="53">
        <f t="shared" si="10"/>
        <v>0</v>
      </c>
      <c r="DS26" s="53">
        <f t="shared" si="10"/>
        <v>0</v>
      </c>
      <c r="DT26" s="53">
        <f t="shared" si="10"/>
        <v>0</v>
      </c>
      <c r="DU26" s="53">
        <f t="shared" si="10"/>
        <v>0</v>
      </c>
      <c r="DV26" s="53">
        <f t="shared" si="10"/>
        <v>0</v>
      </c>
      <c r="DW26" s="53">
        <f t="shared" si="10"/>
        <v>0</v>
      </c>
      <c r="DX26" s="53">
        <f t="shared" si="10"/>
        <v>0</v>
      </c>
      <c r="DY26" s="53">
        <f t="shared" si="10"/>
        <v>0</v>
      </c>
      <c r="DZ26" s="53">
        <f t="shared" si="10"/>
        <v>0</v>
      </c>
      <c r="EA26" s="53">
        <f t="shared" si="10"/>
        <v>0</v>
      </c>
      <c r="EB26" s="53">
        <f t="shared" si="10"/>
        <v>0</v>
      </c>
      <c r="EC26" s="53">
        <f t="shared" si="10"/>
        <v>0</v>
      </c>
      <c r="ED26" s="53">
        <f t="shared" si="10"/>
        <v>0</v>
      </c>
      <c r="EE26" s="53">
        <f t="shared" si="10"/>
        <v>0</v>
      </c>
      <c r="EF26" s="53">
        <f t="shared" si="10"/>
        <v>0</v>
      </c>
      <c r="EG26" s="53">
        <f t="shared" si="10"/>
        <v>0</v>
      </c>
      <c r="EH26" s="53">
        <f t="shared" si="10"/>
        <v>0</v>
      </c>
      <c r="EI26" s="53">
        <f t="shared" si="10"/>
        <v>0</v>
      </c>
      <c r="EJ26" s="53">
        <f t="shared" si="10"/>
        <v>0</v>
      </c>
      <c r="EK26" s="53">
        <f t="shared" si="10"/>
        <v>0</v>
      </c>
      <c r="EL26" s="53">
        <f t="shared" si="10"/>
        <v>0</v>
      </c>
      <c r="EM26" s="53">
        <f t="shared" ref="EM26:GX26" si="11">EM40</f>
        <v>0</v>
      </c>
      <c r="EN26" s="53">
        <f t="shared" si="11"/>
        <v>0</v>
      </c>
      <c r="EO26" s="53">
        <f t="shared" si="11"/>
        <v>0</v>
      </c>
      <c r="EP26" s="53">
        <f t="shared" si="11"/>
        <v>0</v>
      </c>
      <c r="EQ26" s="53">
        <f t="shared" si="11"/>
        <v>0</v>
      </c>
      <c r="ER26" s="53">
        <f t="shared" si="11"/>
        <v>0</v>
      </c>
      <c r="ES26" s="53">
        <f t="shared" si="11"/>
        <v>0</v>
      </c>
      <c r="ET26" s="53">
        <f t="shared" si="11"/>
        <v>0</v>
      </c>
      <c r="EU26" s="53">
        <f t="shared" si="11"/>
        <v>0</v>
      </c>
      <c r="EV26" s="53">
        <f t="shared" si="11"/>
        <v>0</v>
      </c>
      <c r="EW26" s="53">
        <f t="shared" si="11"/>
        <v>0</v>
      </c>
      <c r="EX26" s="53">
        <f t="shared" si="11"/>
        <v>0</v>
      </c>
      <c r="EY26" s="53">
        <f t="shared" si="11"/>
        <v>0</v>
      </c>
      <c r="EZ26" s="53">
        <f t="shared" si="11"/>
        <v>0</v>
      </c>
      <c r="FA26" s="53">
        <f t="shared" si="11"/>
        <v>0</v>
      </c>
      <c r="FB26" s="53">
        <f t="shared" si="11"/>
        <v>0</v>
      </c>
      <c r="FC26" s="53">
        <f t="shared" si="11"/>
        <v>0</v>
      </c>
      <c r="FD26" s="53">
        <f t="shared" si="11"/>
        <v>0</v>
      </c>
      <c r="FE26" s="53">
        <f t="shared" si="11"/>
        <v>0</v>
      </c>
      <c r="FF26" s="53">
        <f t="shared" si="11"/>
        <v>0</v>
      </c>
      <c r="FG26" s="53">
        <f t="shared" si="11"/>
        <v>0</v>
      </c>
      <c r="FH26" s="53">
        <f t="shared" si="11"/>
        <v>0</v>
      </c>
      <c r="FI26" s="53">
        <f t="shared" si="11"/>
        <v>0</v>
      </c>
      <c r="FJ26" s="53">
        <f t="shared" si="11"/>
        <v>0</v>
      </c>
      <c r="FK26" s="53">
        <f t="shared" si="11"/>
        <v>0</v>
      </c>
      <c r="FL26" s="53">
        <f t="shared" si="11"/>
        <v>0</v>
      </c>
      <c r="FM26" s="53">
        <f t="shared" si="11"/>
        <v>0</v>
      </c>
      <c r="FN26" s="53">
        <f t="shared" si="11"/>
        <v>0</v>
      </c>
      <c r="FO26" s="53">
        <f t="shared" si="11"/>
        <v>0</v>
      </c>
      <c r="FP26" s="53">
        <f t="shared" si="11"/>
        <v>0</v>
      </c>
      <c r="FQ26" s="53">
        <f t="shared" si="11"/>
        <v>0</v>
      </c>
      <c r="FR26" s="53">
        <f t="shared" si="11"/>
        <v>0</v>
      </c>
      <c r="FS26" s="53">
        <f t="shared" si="11"/>
        <v>0</v>
      </c>
      <c r="FT26" s="53">
        <f t="shared" si="11"/>
        <v>0</v>
      </c>
      <c r="FU26" s="53">
        <f t="shared" si="11"/>
        <v>0</v>
      </c>
      <c r="FV26" s="53">
        <f t="shared" si="11"/>
        <v>0</v>
      </c>
      <c r="FW26" s="53">
        <f t="shared" si="11"/>
        <v>0</v>
      </c>
      <c r="FX26" s="53">
        <f t="shared" si="11"/>
        <v>0</v>
      </c>
      <c r="FY26" s="53">
        <f t="shared" si="11"/>
        <v>0</v>
      </c>
      <c r="FZ26" s="53">
        <f t="shared" si="11"/>
        <v>0</v>
      </c>
      <c r="GA26" s="53">
        <f t="shared" si="11"/>
        <v>0</v>
      </c>
      <c r="GB26" s="53">
        <f t="shared" si="11"/>
        <v>0</v>
      </c>
      <c r="GC26" s="53">
        <f t="shared" si="11"/>
        <v>0</v>
      </c>
      <c r="GD26" s="53">
        <f t="shared" si="11"/>
        <v>0</v>
      </c>
      <c r="GE26" s="53">
        <f t="shared" si="11"/>
        <v>0</v>
      </c>
      <c r="GF26" s="53">
        <f t="shared" si="11"/>
        <v>0</v>
      </c>
      <c r="GG26" s="53">
        <f t="shared" si="11"/>
        <v>0</v>
      </c>
      <c r="GH26" s="53">
        <f t="shared" si="11"/>
        <v>0</v>
      </c>
      <c r="GI26" s="53">
        <f t="shared" si="11"/>
        <v>0</v>
      </c>
      <c r="GJ26" s="53">
        <f t="shared" si="11"/>
        <v>0</v>
      </c>
      <c r="GK26" s="53">
        <f t="shared" si="11"/>
        <v>0</v>
      </c>
      <c r="GL26" s="53">
        <f t="shared" si="11"/>
        <v>0</v>
      </c>
      <c r="GM26" s="53">
        <f t="shared" si="11"/>
        <v>0</v>
      </c>
      <c r="GN26" s="53">
        <f t="shared" si="11"/>
        <v>0</v>
      </c>
      <c r="GO26" s="53">
        <f t="shared" si="11"/>
        <v>0</v>
      </c>
      <c r="GP26" s="53">
        <f t="shared" si="11"/>
        <v>0</v>
      </c>
      <c r="GQ26" s="53">
        <f t="shared" si="11"/>
        <v>0</v>
      </c>
      <c r="GR26" s="53">
        <f t="shared" si="11"/>
        <v>0</v>
      </c>
      <c r="GS26" s="53">
        <f t="shared" si="11"/>
        <v>0</v>
      </c>
      <c r="GT26" s="53">
        <f t="shared" si="11"/>
        <v>0</v>
      </c>
      <c r="GU26" s="53">
        <f t="shared" si="11"/>
        <v>0</v>
      </c>
      <c r="GV26" s="53">
        <f t="shared" si="11"/>
        <v>0</v>
      </c>
      <c r="GW26" s="53">
        <f t="shared" si="11"/>
        <v>0</v>
      </c>
      <c r="GX26" s="53">
        <f t="shared" si="11"/>
        <v>0</v>
      </c>
    </row>
    <row r="28" spans="1:245" x14ac:dyDescent="0.25">
      <c r="A28" s="2">
        <v>17</v>
      </c>
      <c r="B28" s="2">
        <v>1</v>
      </c>
      <c r="C28" s="2">
        <f>ROW('SmtRes (3)'!A8)</f>
        <v>8</v>
      </c>
      <c r="D28" s="2">
        <f>ROW('EtalonRes (3)'!A8)</f>
        <v>8</v>
      </c>
      <c r="E28" s="2" t="s">
        <v>176</v>
      </c>
      <c r="F28" s="2" t="s">
        <v>177</v>
      </c>
      <c r="G28" s="2" t="s">
        <v>178</v>
      </c>
      <c r="H28" s="2" t="s">
        <v>60</v>
      </c>
      <c r="I28" s="2">
        <f>ROUND(1800/100,9)</f>
        <v>18</v>
      </c>
      <c r="J28" s="2">
        <v>0</v>
      </c>
      <c r="K28" s="2">
        <f>ROUND(1800/100,9)</f>
        <v>18</v>
      </c>
      <c r="O28" s="2">
        <f t="shared" ref="O28:O38" si="12">ROUND(CP28,2)</f>
        <v>61590.239999999998</v>
      </c>
      <c r="P28" s="2">
        <f t="shared" ref="P28:P38" si="13">ROUND(CQ28*I28,2)</f>
        <v>11704.32</v>
      </c>
      <c r="Q28" s="2">
        <f t="shared" ref="Q28:Q38" si="14">ROUND(CR28*I28,2)</f>
        <v>46644.480000000003</v>
      </c>
      <c r="R28" s="2">
        <f t="shared" ref="R28:R38" si="15">ROUND(CS28*I28,2)</f>
        <v>9180</v>
      </c>
      <c r="S28" s="2">
        <f t="shared" ref="S28:S38" si="16">ROUND(CT28*I28,2)</f>
        <v>3241.44</v>
      </c>
      <c r="T28" s="2">
        <f t="shared" ref="T28:T38" si="17">ROUND(CU28*I28,2)</f>
        <v>0</v>
      </c>
      <c r="U28" s="2">
        <f t="shared" ref="U28:U38" si="18">CV28*I28</f>
        <v>14.22</v>
      </c>
      <c r="V28" s="2">
        <f t="shared" ref="V28:V38" si="19">CW28*I28</f>
        <v>0</v>
      </c>
      <c r="W28" s="2">
        <f t="shared" ref="W28:W38" si="20">ROUND(CX28*I28,2)</f>
        <v>0</v>
      </c>
      <c r="X28" s="2">
        <f t="shared" ref="X28:Y38" si="21">ROUND(CY28,2)</f>
        <v>2269.0100000000002</v>
      </c>
      <c r="Y28" s="2">
        <f t="shared" si="21"/>
        <v>324.14</v>
      </c>
      <c r="AA28" s="2">
        <v>52286166</v>
      </c>
      <c r="AB28" s="2">
        <f t="shared" ref="AB28:AB38" si="22">ROUND((AC28+AD28+AF28),6)</f>
        <v>3421.68</v>
      </c>
      <c r="AC28" s="2">
        <f t="shared" ref="AC28:AC34" si="23">ROUND((ES28),6)</f>
        <v>650.24</v>
      </c>
      <c r="AD28" s="2">
        <f t="shared" ref="AD28:AD34" si="24">ROUND((((ET28)-(EU28))+AE28),6)</f>
        <v>2591.36</v>
      </c>
      <c r="AE28" s="2">
        <f t="shared" ref="AE28:AF34" si="25">ROUND((EU28),6)</f>
        <v>510</v>
      </c>
      <c r="AF28" s="2">
        <f t="shared" si="25"/>
        <v>180.08</v>
      </c>
      <c r="AG28" s="2">
        <f t="shared" ref="AG28:AG38" si="26">ROUND((AP28),6)</f>
        <v>0</v>
      </c>
      <c r="AH28" s="2">
        <f t="shared" ref="AH28:AI34" si="27">(EW28)</f>
        <v>0.79</v>
      </c>
      <c r="AI28" s="2">
        <f t="shared" si="27"/>
        <v>0</v>
      </c>
      <c r="AJ28" s="2">
        <f t="shared" ref="AJ28:AJ38" si="28">(AS28)</f>
        <v>0</v>
      </c>
      <c r="AK28" s="2">
        <v>3421.68</v>
      </c>
      <c r="AL28" s="2">
        <v>650.24</v>
      </c>
      <c r="AM28" s="2">
        <v>2591.36</v>
      </c>
      <c r="AN28" s="2">
        <v>510</v>
      </c>
      <c r="AO28" s="2">
        <v>180.08</v>
      </c>
      <c r="AP28" s="2">
        <v>0</v>
      </c>
      <c r="AQ28" s="2">
        <v>0.79</v>
      </c>
      <c r="AR28" s="2">
        <v>0</v>
      </c>
      <c r="AS28" s="2">
        <v>0</v>
      </c>
      <c r="AT28" s="2">
        <v>70</v>
      </c>
      <c r="AU28" s="2">
        <v>10</v>
      </c>
      <c r="AV28" s="2">
        <v>1</v>
      </c>
      <c r="AW28" s="2">
        <v>1</v>
      </c>
      <c r="AZ28" s="2">
        <v>1</v>
      </c>
      <c r="BA28" s="2">
        <v>1</v>
      </c>
      <c r="BB28" s="2">
        <v>1</v>
      </c>
      <c r="BC28" s="2">
        <v>1</v>
      </c>
      <c r="BD28" s="2" t="s">
        <v>30</v>
      </c>
      <c r="BE28" s="2" t="s">
        <v>30</v>
      </c>
      <c r="BF28" s="2" t="s">
        <v>30</v>
      </c>
      <c r="BG28" s="2" t="s">
        <v>30</v>
      </c>
      <c r="BH28" s="2">
        <v>0</v>
      </c>
      <c r="BI28" s="2">
        <v>4</v>
      </c>
      <c r="BJ28" s="2" t="s">
        <v>179</v>
      </c>
      <c r="BM28" s="2">
        <v>0</v>
      </c>
      <c r="BN28" s="2">
        <v>0</v>
      </c>
      <c r="BO28" s="2" t="s">
        <v>30</v>
      </c>
      <c r="BP28" s="2">
        <v>0</v>
      </c>
      <c r="BQ28" s="2">
        <v>1</v>
      </c>
      <c r="BR28" s="2">
        <v>0</v>
      </c>
      <c r="BS28" s="2">
        <v>1</v>
      </c>
      <c r="BT28" s="2">
        <v>1</v>
      </c>
      <c r="BU28" s="2">
        <v>1</v>
      </c>
      <c r="BV28" s="2">
        <v>1</v>
      </c>
      <c r="BW28" s="2">
        <v>1</v>
      </c>
      <c r="BX28" s="2">
        <v>1</v>
      </c>
      <c r="BY28" s="2" t="s">
        <v>30</v>
      </c>
      <c r="BZ28" s="2">
        <v>70</v>
      </c>
      <c r="CA28" s="2">
        <v>10</v>
      </c>
      <c r="CB28" s="2" t="s">
        <v>30</v>
      </c>
      <c r="CE28" s="2">
        <v>0</v>
      </c>
      <c r="CF28" s="2">
        <v>0</v>
      </c>
      <c r="CG28" s="2">
        <v>0</v>
      </c>
      <c r="CM28" s="2">
        <v>0</v>
      </c>
      <c r="CN28" s="2" t="s">
        <v>30</v>
      </c>
      <c r="CO28" s="2">
        <v>0</v>
      </c>
      <c r="CP28" s="2">
        <f t="shared" ref="CP28:CP38" si="29">(P28+Q28+S28)</f>
        <v>61590.239999999998</v>
      </c>
      <c r="CQ28" s="2">
        <f t="shared" ref="CQ28:CQ38" si="30">(AC28*BC28*AW28)</f>
        <v>650.24</v>
      </c>
      <c r="CR28" s="2">
        <f t="shared" ref="CR28:CR34" si="31">((((ET28)*BB28-(EU28)*BS28)+AE28*BS28)*AV28)</f>
        <v>2591.36</v>
      </c>
      <c r="CS28" s="2">
        <f t="shared" ref="CS28:CS38" si="32">(AE28*BS28*AV28)</f>
        <v>510</v>
      </c>
      <c r="CT28" s="2">
        <f t="shared" ref="CT28:CT38" si="33">(AF28*BA28*AV28)</f>
        <v>180.08</v>
      </c>
      <c r="CU28" s="2">
        <f t="shared" ref="CU28:CU38" si="34">AG28</f>
        <v>0</v>
      </c>
      <c r="CV28" s="2">
        <f t="shared" ref="CV28:CV38" si="35">(AH28*AV28)</f>
        <v>0.79</v>
      </c>
      <c r="CW28" s="2">
        <f t="shared" ref="CW28:CX38" si="36">AI28</f>
        <v>0</v>
      </c>
      <c r="CX28" s="2">
        <f t="shared" si="36"/>
        <v>0</v>
      </c>
      <c r="CY28" s="2">
        <f t="shared" ref="CY28:CY38" si="37">((S28*BZ28)/100)</f>
        <v>2269.0079999999998</v>
      </c>
      <c r="CZ28" s="2">
        <f t="shared" ref="CZ28:CZ38" si="38">((S28*CA28)/100)</f>
        <v>324.14400000000001</v>
      </c>
      <c r="DC28" s="2" t="s">
        <v>30</v>
      </c>
      <c r="DD28" s="2" t="s">
        <v>30</v>
      </c>
      <c r="DE28" s="2" t="s">
        <v>30</v>
      </c>
      <c r="DF28" s="2" t="s">
        <v>30</v>
      </c>
      <c r="DG28" s="2" t="s">
        <v>30</v>
      </c>
      <c r="DH28" s="2" t="s">
        <v>30</v>
      </c>
      <c r="DI28" s="2" t="s">
        <v>30</v>
      </c>
      <c r="DJ28" s="2" t="s">
        <v>30</v>
      </c>
      <c r="DK28" s="2" t="s">
        <v>30</v>
      </c>
      <c r="DL28" s="2" t="s">
        <v>30</v>
      </c>
      <c r="DM28" s="2" t="s">
        <v>30</v>
      </c>
      <c r="DN28" s="2">
        <v>0</v>
      </c>
      <c r="DO28" s="2">
        <v>0</v>
      </c>
      <c r="DP28" s="2">
        <v>1</v>
      </c>
      <c r="DQ28" s="2">
        <v>1</v>
      </c>
      <c r="DU28" s="2">
        <v>1005</v>
      </c>
      <c r="DV28" s="2" t="s">
        <v>60</v>
      </c>
      <c r="DW28" s="2" t="s">
        <v>60</v>
      </c>
      <c r="DX28" s="2">
        <v>100</v>
      </c>
      <c r="DZ28" s="2" t="s">
        <v>30</v>
      </c>
      <c r="EA28" s="2" t="s">
        <v>30</v>
      </c>
      <c r="EB28" s="2" t="s">
        <v>30</v>
      </c>
      <c r="EC28" s="2" t="s">
        <v>30</v>
      </c>
      <c r="EE28" s="2">
        <v>49661954</v>
      </c>
      <c r="EF28" s="2">
        <v>1</v>
      </c>
      <c r="EG28" s="2" t="s">
        <v>180</v>
      </c>
      <c r="EH28" s="2">
        <v>0</v>
      </c>
      <c r="EI28" s="2" t="s">
        <v>30</v>
      </c>
      <c r="EJ28" s="2">
        <v>4</v>
      </c>
      <c r="EK28" s="2">
        <v>0</v>
      </c>
      <c r="EL28" s="2" t="s">
        <v>181</v>
      </c>
      <c r="EM28" s="2" t="s">
        <v>182</v>
      </c>
      <c r="EO28" s="2" t="s">
        <v>30</v>
      </c>
      <c r="EQ28" s="2">
        <v>0</v>
      </c>
      <c r="ER28" s="2">
        <v>3421.68</v>
      </c>
      <c r="ES28" s="2">
        <v>650.24</v>
      </c>
      <c r="ET28" s="2">
        <v>2591.36</v>
      </c>
      <c r="EU28" s="2">
        <v>510</v>
      </c>
      <c r="EV28" s="2">
        <v>180.08</v>
      </c>
      <c r="EW28" s="2">
        <v>0.79</v>
      </c>
      <c r="EX28" s="2">
        <v>0</v>
      </c>
      <c r="EY28" s="2">
        <v>0</v>
      </c>
      <c r="FQ28" s="2">
        <v>0</v>
      </c>
      <c r="FR28" s="2">
        <f t="shared" ref="FR28:FR38" si="39">ROUND(IF(AND(BH28=3,BI28=3),P28,0),2)</f>
        <v>0</v>
      </c>
      <c r="FS28" s="2">
        <v>0</v>
      </c>
      <c r="FX28" s="2">
        <v>70</v>
      </c>
      <c r="FY28" s="2">
        <v>10</v>
      </c>
      <c r="GA28" s="2" t="s">
        <v>30</v>
      </c>
      <c r="GD28" s="2">
        <v>0</v>
      </c>
      <c r="GF28" s="2">
        <v>-628905493</v>
      </c>
      <c r="GG28" s="2">
        <v>2</v>
      </c>
      <c r="GH28" s="2">
        <v>1</v>
      </c>
      <c r="GI28" s="2">
        <v>-2</v>
      </c>
      <c r="GJ28" s="2">
        <v>0</v>
      </c>
      <c r="GK28" s="2">
        <f>ROUND(R28*(R12)/100,2)</f>
        <v>9914.4</v>
      </c>
      <c r="GL28" s="2">
        <f t="shared" ref="GL28:GL38" si="40">ROUND(IF(AND(BH28=3,BI28=3,FS28&lt;&gt;0),P28,0),2)</f>
        <v>0</v>
      </c>
      <c r="GM28" s="2">
        <f t="shared" ref="GM28:GM33" si="41">ROUND(O28+X28+Y28+GK28,2)+GX28</f>
        <v>74097.789999999994</v>
      </c>
      <c r="GN28" s="2">
        <f t="shared" ref="GN28:GN33" si="42">IF(OR(BI28=0,BI28=1),ROUND(O28+X28+Y28+GK28,2),0)</f>
        <v>0</v>
      </c>
      <c r="GO28" s="2">
        <f t="shared" ref="GO28:GO33" si="43">IF(BI28=2,ROUND(O28+X28+Y28+GK28,2),0)</f>
        <v>0</v>
      </c>
      <c r="GP28" s="2">
        <f t="shared" ref="GP28:GP33" si="44">IF(BI28=4,ROUND(O28+X28+Y28+GK28,2)+GX28,0)</f>
        <v>74097.789999999994</v>
      </c>
      <c r="GR28" s="2">
        <v>0</v>
      </c>
      <c r="GS28" s="2">
        <v>3</v>
      </c>
      <c r="GT28" s="2">
        <v>0</v>
      </c>
      <c r="GU28" s="2" t="s">
        <v>30</v>
      </c>
      <c r="GV28" s="2">
        <f t="shared" ref="GV28:GV38" si="45">ROUND((GT28),6)</f>
        <v>0</v>
      </c>
      <c r="GW28" s="2">
        <v>1</v>
      </c>
      <c r="GX28" s="2">
        <f t="shared" ref="GX28:GX38" si="46">ROUND(HC28*I28,2)</f>
        <v>0</v>
      </c>
      <c r="HA28" s="2">
        <v>0</v>
      </c>
      <c r="HB28" s="2">
        <v>0</v>
      </c>
      <c r="HC28" s="2">
        <f t="shared" ref="HC28:HC38" si="47">GV28*GW28</f>
        <v>0</v>
      </c>
      <c r="HE28" s="2" t="s">
        <v>30</v>
      </c>
      <c r="HF28" s="2" t="s">
        <v>30</v>
      </c>
      <c r="HM28" s="2" t="s">
        <v>30</v>
      </c>
      <c r="HN28" s="2" t="s">
        <v>30</v>
      </c>
      <c r="HO28" s="2" t="s">
        <v>30</v>
      </c>
      <c r="HP28" s="2" t="s">
        <v>30</v>
      </c>
      <c r="HQ28" s="2" t="s">
        <v>30</v>
      </c>
      <c r="IK28" s="2">
        <v>0</v>
      </c>
    </row>
    <row r="29" spans="1:245" x14ac:dyDescent="0.25">
      <c r="A29" s="2">
        <v>17</v>
      </c>
      <c r="B29" s="2">
        <v>1</v>
      </c>
      <c r="C29" s="2">
        <f>ROW('SmtRes (3)'!A13)</f>
        <v>13</v>
      </c>
      <c r="D29" s="2">
        <f>ROW('EtalonRes (3)'!A13)</f>
        <v>13</v>
      </c>
      <c r="E29" s="2" t="s">
        <v>183</v>
      </c>
      <c r="F29" s="2" t="s">
        <v>184</v>
      </c>
      <c r="G29" s="2" t="s">
        <v>185</v>
      </c>
      <c r="H29" s="2" t="s">
        <v>60</v>
      </c>
      <c r="I29" s="2">
        <f>ROUND(-1800/100,9)</f>
        <v>-18</v>
      </c>
      <c r="J29" s="2">
        <v>0</v>
      </c>
      <c r="K29" s="2">
        <f>ROUND(-1800/100,9)</f>
        <v>-18</v>
      </c>
      <c r="O29" s="2">
        <f t="shared" si="12"/>
        <v>-8742.7800000000007</v>
      </c>
      <c r="P29" s="2">
        <f t="shared" si="13"/>
        <v>-1920.24</v>
      </c>
      <c r="Q29" s="2">
        <f t="shared" si="14"/>
        <v>-6636.42</v>
      </c>
      <c r="R29" s="2">
        <f t="shared" si="15"/>
        <v>-1123.56</v>
      </c>
      <c r="S29" s="2">
        <f t="shared" si="16"/>
        <v>-186.12</v>
      </c>
      <c r="T29" s="2">
        <f t="shared" si="17"/>
        <v>0</v>
      </c>
      <c r="U29" s="2">
        <f t="shared" si="18"/>
        <v>-0.72</v>
      </c>
      <c r="V29" s="2">
        <f t="shared" si="19"/>
        <v>0</v>
      </c>
      <c r="W29" s="2">
        <f t="shared" si="20"/>
        <v>0</v>
      </c>
      <c r="X29" s="2">
        <f t="shared" si="21"/>
        <v>-130.28</v>
      </c>
      <c r="Y29" s="2">
        <f t="shared" si="21"/>
        <v>-18.61</v>
      </c>
      <c r="AA29" s="2">
        <v>52286166</v>
      </c>
      <c r="AB29" s="2">
        <f t="shared" si="22"/>
        <v>485.71</v>
      </c>
      <c r="AC29" s="2">
        <f t="shared" si="23"/>
        <v>106.68</v>
      </c>
      <c r="AD29" s="2">
        <f t="shared" si="24"/>
        <v>368.69</v>
      </c>
      <c r="AE29" s="2">
        <f t="shared" si="25"/>
        <v>62.42</v>
      </c>
      <c r="AF29" s="2">
        <f t="shared" si="25"/>
        <v>10.34</v>
      </c>
      <c r="AG29" s="2">
        <f t="shared" si="26"/>
        <v>0</v>
      </c>
      <c r="AH29" s="2">
        <f t="shared" si="27"/>
        <v>0.04</v>
      </c>
      <c r="AI29" s="2">
        <f t="shared" si="27"/>
        <v>0</v>
      </c>
      <c r="AJ29" s="2">
        <f t="shared" si="28"/>
        <v>0</v>
      </c>
      <c r="AK29" s="2">
        <v>485.71</v>
      </c>
      <c r="AL29" s="2">
        <v>106.68</v>
      </c>
      <c r="AM29" s="2">
        <v>368.69</v>
      </c>
      <c r="AN29" s="2">
        <v>62.42</v>
      </c>
      <c r="AO29" s="2">
        <v>10.34</v>
      </c>
      <c r="AP29" s="2">
        <v>0</v>
      </c>
      <c r="AQ29" s="2">
        <v>0.04</v>
      </c>
      <c r="AR29" s="2">
        <v>0</v>
      </c>
      <c r="AS29" s="2">
        <v>0</v>
      </c>
      <c r="AT29" s="2">
        <v>70</v>
      </c>
      <c r="AU29" s="2">
        <v>10</v>
      </c>
      <c r="AV29" s="2">
        <v>1</v>
      </c>
      <c r="AW29" s="2">
        <v>1</v>
      </c>
      <c r="AZ29" s="2">
        <v>1</v>
      </c>
      <c r="BA29" s="2">
        <v>1</v>
      </c>
      <c r="BB29" s="2">
        <v>1</v>
      </c>
      <c r="BC29" s="2">
        <v>1</v>
      </c>
      <c r="BD29" s="2" t="s">
        <v>30</v>
      </c>
      <c r="BE29" s="2" t="s">
        <v>30</v>
      </c>
      <c r="BF29" s="2" t="s">
        <v>30</v>
      </c>
      <c r="BG29" s="2" t="s">
        <v>30</v>
      </c>
      <c r="BH29" s="2">
        <v>0</v>
      </c>
      <c r="BI29" s="2">
        <v>4</v>
      </c>
      <c r="BJ29" s="2" t="s">
        <v>186</v>
      </c>
      <c r="BM29" s="2">
        <v>0</v>
      </c>
      <c r="BN29" s="2">
        <v>0</v>
      </c>
      <c r="BO29" s="2" t="s">
        <v>30</v>
      </c>
      <c r="BP29" s="2">
        <v>0</v>
      </c>
      <c r="BQ29" s="2">
        <v>1</v>
      </c>
      <c r="BR29" s="2">
        <v>0</v>
      </c>
      <c r="BS29" s="2">
        <v>1</v>
      </c>
      <c r="BT29" s="2">
        <v>1</v>
      </c>
      <c r="BU29" s="2">
        <v>1</v>
      </c>
      <c r="BV29" s="2">
        <v>1</v>
      </c>
      <c r="BW29" s="2">
        <v>1</v>
      </c>
      <c r="BX29" s="2">
        <v>1</v>
      </c>
      <c r="BY29" s="2" t="s">
        <v>30</v>
      </c>
      <c r="BZ29" s="2">
        <v>70</v>
      </c>
      <c r="CA29" s="2">
        <v>10</v>
      </c>
      <c r="CB29" s="2" t="s">
        <v>30</v>
      </c>
      <c r="CE29" s="2">
        <v>0</v>
      </c>
      <c r="CF29" s="2">
        <v>0</v>
      </c>
      <c r="CG29" s="2">
        <v>0</v>
      </c>
      <c r="CM29" s="2">
        <v>0</v>
      </c>
      <c r="CN29" s="2" t="s">
        <v>30</v>
      </c>
      <c r="CO29" s="2">
        <v>0</v>
      </c>
      <c r="CP29" s="2">
        <f t="shared" si="29"/>
        <v>-8742.7800000000007</v>
      </c>
      <c r="CQ29" s="2">
        <f t="shared" si="30"/>
        <v>106.68</v>
      </c>
      <c r="CR29" s="2">
        <f t="shared" si="31"/>
        <v>368.69</v>
      </c>
      <c r="CS29" s="2">
        <f t="shared" si="32"/>
        <v>62.42</v>
      </c>
      <c r="CT29" s="2">
        <f t="shared" si="33"/>
        <v>10.34</v>
      </c>
      <c r="CU29" s="2">
        <f t="shared" si="34"/>
        <v>0</v>
      </c>
      <c r="CV29" s="2">
        <f t="shared" si="35"/>
        <v>0.04</v>
      </c>
      <c r="CW29" s="2">
        <f t="shared" si="36"/>
        <v>0</v>
      </c>
      <c r="CX29" s="2">
        <f t="shared" si="36"/>
        <v>0</v>
      </c>
      <c r="CY29" s="2">
        <f t="shared" si="37"/>
        <v>-130.28399999999999</v>
      </c>
      <c r="CZ29" s="2">
        <f t="shared" si="38"/>
        <v>-18.611999999999998</v>
      </c>
      <c r="DC29" s="2" t="s">
        <v>30</v>
      </c>
      <c r="DD29" s="2" t="s">
        <v>30</v>
      </c>
      <c r="DE29" s="2" t="s">
        <v>30</v>
      </c>
      <c r="DF29" s="2" t="s">
        <v>30</v>
      </c>
      <c r="DG29" s="2" t="s">
        <v>30</v>
      </c>
      <c r="DH29" s="2" t="s">
        <v>30</v>
      </c>
      <c r="DI29" s="2" t="s">
        <v>30</v>
      </c>
      <c r="DJ29" s="2" t="s">
        <v>30</v>
      </c>
      <c r="DK29" s="2" t="s">
        <v>30</v>
      </c>
      <c r="DL29" s="2" t="s">
        <v>30</v>
      </c>
      <c r="DM29" s="2" t="s">
        <v>30</v>
      </c>
      <c r="DN29" s="2">
        <v>0</v>
      </c>
      <c r="DO29" s="2">
        <v>0</v>
      </c>
      <c r="DP29" s="2">
        <v>1</v>
      </c>
      <c r="DQ29" s="2">
        <v>1</v>
      </c>
      <c r="DU29" s="2">
        <v>1005</v>
      </c>
      <c r="DV29" s="2" t="s">
        <v>60</v>
      </c>
      <c r="DW29" s="2" t="s">
        <v>60</v>
      </c>
      <c r="DX29" s="2">
        <v>100</v>
      </c>
      <c r="DZ29" s="2" t="s">
        <v>30</v>
      </c>
      <c r="EA29" s="2" t="s">
        <v>30</v>
      </c>
      <c r="EB29" s="2" t="s">
        <v>30</v>
      </c>
      <c r="EC29" s="2" t="s">
        <v>30</v>
      </c>
      <c r="EE29" s="2">
        <v>49661954</v>
      </c>
      <c r="EF29" s="2">
        <v>1</v>
      </c>
      <c r="EG29" s="2" t="s">
        <v>180</v>
      </c>
      <c r="EH29" s="2">
        <v>0</v>
      </c>
      <c r="EI29" s="2" t="s">
        <v>30</v>
      </c>
      <c r="EJ29" s="2">
        <v>4</v>
      </c>
      <c r="EK29" s="2">
        <v>0</v>
      </c>
      <c r="EL29" s="2" t="s">
        <v>181</v>
      </c>
      <c r="EM29" s="2" t="s">
        <v>182</v>
      </c>
      <c r="EO29" s="2" t="s">
        <v>30</v>
      </c>
      <c r="EQ29" s="2">
        <v>0</v>
      </c>
      <c r="ER29" s="2">
        <v>485.71</v>
      </c>
      <c r="ES29" s="2">
        <v>106.68</v>
      </c>
      <c r="ET29" s="2">
        <v>368.69</v>
      </c>
      <c r="EU29" s="2">
        <v>62.42</v>
      </c>
      <c r="EV29" s="2">
        <v>10.34</v>
      </c>
      <c r="EW29" s="2">
        <v>0.04</v>
      </c>
      <c r="EX29" s="2">
        <v>0</v>
      </c>
      <c r="EY29" s="2">
        <v>0</v>
      </c>
      <c r="FQ29" s="2">
        <v>0</v>
      </c>
      <c r="FR29" s="2">
        <f t="shared" si="39"/>
        <v>0</v>
      </c>
      <c r="FS29" s="2">
        <v>0</v>
      </c>
      <c r="FX29" s="2">
        <v>70</v>
      </c>
      <c r="FY29" s="2">
        <v>10</v>
      </c>
      <c r="GA29" s="2" t="s">
        <v>30</v>
      </c>
      <c r="GD29" s="2">
        <v>0</v>
      </c>
      <c r="GF29" s="2">
        <v>1520527762</v>
      </c>
      <c r="GG29" s="2">
        <v>2</v>
      </c>
      <c r="GH29" s="2">
        <v>1</v>
      </c>
      <c r="GI29" s="2">
        <v>-2</v>
      </c>
      <c r="GJ29" s="2">
        <v>0</v>
      </c>
      <c r="GK29" s="2">
        <f>ROUND(R29*(R12)/100,2)</f>
        <v>-1213.44</v>
      </c>
      <c r="GL29" s="2">
        <f t="shared" si="40"/>
        <v>0</v>
      </c>
      <c r="GM29" s="2">
        <f t="shared" si="41"/>
        <v>-10105.11</v>
      </c>
      <c r="GN29" s="2">
        <f t="shared" si="42"/>
        <v>0</v>
      </c>
      <c r="GO29" s="2">
        <f t="shared" si="43"/>
        <v>0</v>
      </c>
      <c r="GP29" s="2">
        <f t="shared" si="44"/>
        <v>-10105.11</v>
      </c>
      <c r="GR29" s="2">
        <v>0</v>
      </c>
      <c r="GS29" s="2">
        <v>3</v>
      </c>
      <c r="GT29" s="2">
        <v>0</v>
      </c>
      <c r="GU29" s="2" t="s">
        <v>30</v>
      </c>
      <c r="GV29" s="2">
        <f t="shared" si="45"/>
        <v>0</v>
      </c>
      <c r="GW29" s="2">
        <v>1</v>
      </c>
      <c r="GX29" s="2">
        <f t="shared" si="46"/>
        <v>0</v>
      </c>
      <c r="HA29" s="2">
        <v>0</v>
      </c>
      <c r="HB29" s="2">
        <v>0</v>
      </c>
      <c r="HC29" s="2">
        <f t="shared" si="47"/>
        <v>0</v>
      </c>
      <c r="HE29" s="2" t="s">
        <v>30</v>
      </c>
      <c r="HF29" s="2" t="s">
        <v>30</v>
      </c>
      <c r="HM29" s="2" t="s">
        <v>30</v>
      </c>
      <c r="HN29" s="2" t="s">
        <v>30</v>
      </c>
      <c r="HO29" s="2" t="s">
        <v>30</v>
      </c>
      <c r="HP29" s="2" t="s">
        <v>30</v>
      </c>
      <c r="HQ29" s="2" t="s">
        <v>30</v>
      </c>
      <c r="IK29" s="2">
        <v>0</v>
      </c>
    </row>
    <row r="30" spans="1:245" x14ac:dyDescent="0.25">
      <c r="A30" s="2">
        <v>17</v>
      </c>
      <c r="B30" s="2">
        <v>1</v>
      </c>
      <c r="C30" s="2">
        <f>ROW('SmtRes (3)'!A23)</f>
        <v>23</v>
      </c>
      <c r="D30" s="2">
        <f>ROW('EtalonRes (3)'!A22)</f>
        <v>22</v>
      </c>
      <c r="E30" s="2" t="s">
        <v>187</v>
      </c>
      <c r="F30" s="2" t="s">
        <v>188</v>
      </c>
      <c r="G30" s="2" t="s">
        <v>419</v>
      </c>
      <c r="H30" s="2" t="s">
        <v>61</v>
      </c>
      <c r="I30" s="2">
        <f>ROUND(540/1000,9)</f>
        <v>0.54</v>
      </c>
      <c r="J30" s="2">
        <v>0</v>
      </c>
      <c r="K30" s="2">
        <f>ROUND(540/1000,9)</f>
        <v>0.54</v>
      </c>
      <c r="O30" s="2">
        <f t="shared" si="12"/>
        <v>116152.76</v>
      </c>
      <c r="P30" s="2">
        <f t="shared" si="13"/>
        <v>56312.62</v>
      </c>
      <c r="Q30" s="2">
        <f t="shared" si="14"/>
        <v>50470.32</v>
      </c>
      <c r="R30" s="2">
        <f t="shared" si="15"/>
        <v>20710.669999999998</v>
      </c>
      <c r="S30" s="2">
        <f t="shared" si="16"/>
        <v>9369.82</v>
      </c>
      <c r="T30" s="2">
        <f t="shared" si="17"/>
        <v>0</v>
      </c>
      <c r="U30" s="2">
        <f t="shared" si="18"/>
        <v>47.136600000000001</v>
      </c>
      <c r="V30" s="2">
        <f t="shared" si="19"/>
        <v>0</v>
      </c>
      <c r="W30" s="2">
        <f t="shared" si="20"/>
        <v>0</v>
      </c>
      <c r="X30" s="2">
        <f t="shared" si="21"/>
        <v>6558.87</v>
      </c>
      <c r="Y30" s="2">
        <f t="shared" si="21"/>
        <v>936.98</v>
      </c>
      <c r="AA30" s="2">
        <v>52286166</v>
      </c>
      <c r="AB30" s="2">
        <f t="shared" si="22"/>
        <v>215097.7</v>
      </c>
      <c r="AC30" s="2">
        <f t="shared" si="23"/>
        <v>104282.63</v>
      </c>
      <c r="AD30" s="2">
        <f t="shared" si="24"/>
        <v>93463.56</v>
      </c>
      <c r="AE30" s="2">
        <f t="shared" si="25"/>
        <v>38353.089999999997</v>
      </c>
      <c r="AF30" s="2">
        <f t="shared" si="25"/>
        <v>17351.509999999998</v>
      </c>
      <c r="AG30" s="2">
        <f t="shared" si="26"/>
        <v>0</v>
      </c>
      <c r="AH30" s="2">
        <f t="shared" si="27"/>
        <v>87.29</v>
      </c>
      <c r="AI30" s="2">
        <f t="shared" si="27"/>
        <v>0</v>
      </c>
      <c r="AJ30" s="2">
        <f t="shared" si="28"/>
        <v>0</v>
      </c>
      <c r="AK30" s="2">
        <v>215097.7</v>
      </c>
      <c r="AL30" s="2">
        <v>104282.63</v>
      </c>
      <c r="AM30" s="2">
        <v>93463.56</v>
      </c>
      <c r="AN30" s="2">
        <v>38353.089999999997</v>
      </c>
      <c r="AO30" s="2">
        <v>17351.509999999998</v>
      </c>
      <c r="AP30" s="2">
        <v>0</v>
      </c>
      <c r="AQ30" s="2">
        <v>87.29</v>
      </c>
      <c r="AR30" s="2">
        <v>0</v>
      </c>
      <c r="AS30" s="2">
        <v>0</v>
      </c>
      <c r="AT30" s="2">
        <v>70</v>
      </c>
      <c r="AU30" s="2">
        <v>10</v>
      </c>
      <c r="AV30" s="2">
        <v>1</v>
      </c>
      <c r="AW30" s="2">
        <v>1</v>
      </c>
      <c r="AZ30" s="2">
        <v>1</v>
      </c>
      <c r="BA30" s="2">
        <v>1</v>
      </c>
      <c r="BB30" s="2">
        <v>1</v>
      </c>
      <c r="BC30" s="2">
        <v>1</v>
      </c>
      <c r="BD30" s="2" t="s">
        <v>30</v>
      </c>
      <c r="BE30" s="2" t="s">
        <v>30</v>
      </c>
      <c r="BF30" s="2" t="s">
        <v>30</v>
      </c>
      <c r="BG30" s="2" t="s">
        <v>30</v>
      </c>
      <c r="BH30" s="2">
        <v>0</v>
      </c>
      <c r="BI30" s="2">
        <v>4</v>
      </c>
      <c r="BJ30" s="2" t="s">
        <v>190</v>
      </c>
      <c r="BM30" s="2">
        <v>0</v>
      </c>
      <c r="BN30" s="2">
        <v>0</v>
      </c>
      <c r="BO30" s="2" t="s">
        <v>30</v>
      </c>
      <c r="BP30" s="2">
        <v>0</v>
      </c>
      <c r="BQ30" s="2">
        <v>1</v>
      </c>
      <c r="BR30" s="2">
        <v>0</v>
      </c>
      <c r="BS30" s="2">
        <v>1</v>
      </c>
      <c r="BT30" s="2">
        <v>1</v>
      </c>
      <c r="BU30" s="2">
        <v>1</v>
      </c>
      <c r="BV30" s="2">
        <v>1</v>
      </c>
      <c r="BW30" s="2">
        <v>1</v>
      </c>
      <c r="BX30" s="2">
        <v>1</v>
      </c>
      <c r="BY30" s="2" t="s">
        <v>30</v>
      </c>
      <c r="BZ30" s="2">
        <v>70</v>
      </c>
      <c r="CA30" s="2">
        <v>10</v>
      </c>
      <c r="CB30" s="2" t="s">
        <v>30</v>
      </c>
      <c r="CE30" s="2">
        <v>0</v>
      </c>
      <c r="CF30" s="2">
        <v>0</v>
      </c>
      <c r="CG30" s="2">
        <v>0</v>
      </c>
      <c r="CM30" s="2">
        <v>0</v>
      </c>
      <c r="CN30" s="2" t="s">
        <v>30</v>
      </c>
      <c r="CO30" s="2">
        <v>0</v>
      </c>
      <c r="CP30" s="2">
        <f t="shared" si="29"/>
        <v>116152.76</v>
      </c>
      <c r="CQ30" s="2">
        <f t="shared" si="30"/>
        <v>104282.63</v>
      </c>
      <c r="CR30" s="2">
        <f t="shared" si="31"/>
        <v>93463.56</v>
      </c>
      <c r="CS30" s="2">
        <f t="shared" si="32"/>
        <v>38353.089999999997</v>
      </c>
      <c r="CT30" s="2">
        <f t="shared" si="33"/>
        <v>17351.509999999998</v>
      </c>
      <c r="CU30" s="2">
        <f t="shared" si="34"/>
        <v>0</v>
      </c>
      <c r="CV30" s="2">
        <f t="shared" si="35"/>
        <v>87.29</v>
      </c>
      <c r="CW30" s="2">
        <f t="shared" si="36"/>
        <v>0</v>
      </c>
      <c r="CX30" s="2">
        <f t="shared" si="36"/>
        <v>0</v>
      </c>
      <c r="CY30" s="2">
        <f t="shared" si="37"/>
        <v>6558.8739999999998</v>
      </c>
      <c r="CZ30" s="2">
        <f t="shared" si="38"/>
        <v>936.98199999999997</v>
      </c>
      <c r="DC30" s="2" t="s">
        <v>30</v>
      </c>
      <c r="DD30" s="2" t="s">
        <v>30</v>
      </c>
      <c r="DE30" s="2" t="s">
        <v>30</v>
      </c>
      <c r="DF30" s="2" t="s">
        <v>30</v>
      </c>
      <c r="DG30" s="2" t="s">
        <v>30</v>
      </c>
      <c r="DH30" s="2" t="s">
        <v>30</v>
      </c>
      <c r="DI30" s="2" t="s">
        <v>30</v>
      </c>
      <c r="DJ30" s="2" t="s">
        <v>30</v>
      </c>
      <c r="DK30" s="2" t="s">
        <v>30</v>
      </c>
      <c r="DL30" s="2" t="s">
        <v>30</v>
      </c>
      <c r="DM30" s="2" t="s">
        <v>30</v>
      </c>
      <c r="DN30" s="2">
        <v>0</v>
      </c>
      <c r="DO30" s="2">
        <v>0</v>
      </c>
      <c r="DP30" s="2">
        <v>1</v>
      </c>
      <c r="DQ30" s="2">
        <v>1</v>
      </c>
      <c r="DU30" s="2">
        <v>1005</v>
      </c>
      <c r="DV30" s="2" t="s">
        <v>61</v>
      </c>
      <c r="DW30" s="2" t="s">
        <v>61</v>
      </c>
      <c r="DX30" s="2">
        <v>1000</v>
      </c>
      <c r="DZ30" s="2" t="s">
        <v>30</v>
      </c>
      <c r="EA30" s="2" t="s">
        <v>30</v>
      </c>
      <c r="EB30" s="2" t="s">
        <v>30</v>
      </c>
      <c r="EC30" s="2" t="s">
        <v>30</v>
      </c>
      <c r="EE30" s="2">
        <v>49661954</v>
      </c>
      <c r="EF30" s="2">
        <v>1</v>
      </c>
      <c r="EG30" s="2" t="s">
        <v>180</v>
      </c>
      <c r="EH30" s="2">
        <v>0</v>
      </c>
      <c r="EI30" s="2" t="s">
        <v>30</v>
      </c>
      <c r="EJ30" s="2">
        <v>4</v>
      </c>
      <c r="EK30" s="2">
        <v>0</v>
      </c>
      <c r="EL30" s="2" t="s">
        <v>181</v>
      </c>
      <c r="EM30" s="2" t="s">
        <v>182</v>
      </c>
      <c r="EO30" s="2" t="s">
        <v>30</v>
      </c>
      <c r="EQ30" s="2">
        <v>0</v>
      </c>
      <c r="ER30" s="2">
        <v>215097.7</v>
      </c>
      <c r="ES30" s="2">
        <v>104282.63</v>
      </c>
      <c r="ET30" s="2">
        <v>93463.56</v>
      </c>
      <c r="EU30" s="2">
        <v>38353.089999999997</v>
      </c>
      <c r="EV30" s="2">
        <v>17351.509999999998</v>
      </c>
      <c r="EW30" s="2">
        <v>87.29</v>
      </c>
      <c r="EX30" s="2">
        <v>0</v>
      </c>
      <c r="EY30" s="2">
        <v>0</v>
      </c>
      <c r="FQ30" s="2">
        <v>0</v>
      </c>
      <c r="FR30" s="2">
        <f t="shared" si="39"/>
        <v>0</v>
      </c>
      <c r="FS30" s="2">
        <v>0</v>
      </c>
      <c r="FX30" s="2">
        <v>70</v>
      </c>
      <c r="FY30" s="2">
        <v>10</v>
      </c>
      <c r="GA30" s="2" t="s">
        <v>30</v>
      </c>
      <c r="GD30" s="2">
        <v>0</v>
      </c>
      <c r="GF30" s="2">
        <v>1258449993</v>
      </c>
      <c r="GG30" s="2">
        <v>2</v>
      </c>
      <c r="GH30" s="2">
        <v>1</v>
      </c>
      <c r="GI30" s="2">
        <v>-2</v>
      </c>
      <c r="GJ30" s="2">
        <v>0</v>
      </c>
      <c r="GK30" s="2">
        <f>ROUND(R30*(R12)/100,2)</f>
        <v>22367.52</v>
      </c>
      <c r="GL30" s="2">
        <f t="shared" si="40"/>
        <v>0</v>
      </c>
      <c r="GM30" s="2">
        <f t="shared" si="41"/>
        <v>146016.13</v>
      </c>
      <c r="GN30" s="2">
        <f t="shared" si="42"/>
        <v>0</v>
      </c>
      <c r="GO30" s="2">
        <f t="shared" si="43"/>
        <v>0</v>
      </c>
      <c r="GP30" s="2">
        <f t="shared" si="44"/>
        <v>146016.13</v>
      </c>
      <c r="GR30" s="2">
        <v>0</v>
      </c>
      <c r="GS30" s="2">
        <v>3</v>
      </c>
      <c r="GT30" s="2">
        <v>0</v>
      </c>
      <c r="GU30" s="2" t="s">
        <v>30</v>
      </c>
      <c r="GV30" s="2">
        <f t="shared" si="45"/>
        <v>0</v>
      </c>
      <c r="GW30" s="2">
        <v>1</v>
      </c>
      <c r="GX30" s="2">
        <f t="shared" si="46"/>
        <v>0</v>
      </c>
      <c r="HA30" s="2">
        <v>0</v>
      </c>
      <c r="HB30" s="2">
        <v>0</v>
      </c>
      <c r="HC30" s="2">
        <f t="shared" si="47"/>
        <v>0</v>
      </c>
      <c r="HE30" s="2" t="s">
        <v>30</v>
      </c>
      <c r="HF30" s="2" t="s">
        <v>30</v>
      </c>
      <c r="HM30" s="2" t="s">
        <v>30</v>
      </c>
      <c r="HN30" s="2" t="s">
        <v>30</v>
      </c>
      <c r="HO30" s="2" t="s">
        <v>30</v>
      </c>
      <c r="HP30" s="2" t="s">
        <v>30</v>
      </c>
      <c r="HQ30" s="2" t="s">
        <v>30</v>
      </c>
      <c r="IK30" s="2">
        <v>0</v>
      </c>
    </row>
    <row r="31" spans="1:245" x14ac:dyDescent="0.25">
      <c r="A31" s="2">
        <v>18</v>
      </c>
      <c r="B31" s="2">
        <v>1</v>
      </c>
      <c r="C31" s="2">
        <v>21</v>
      </c>
      <c r="E31" s="2" t="s">
        <v>29</v>
      </c>
      <c r="F31" s="2" t="s">
        <v>191</v>
      </c>
      <c r="G31" s="2" t="s">
        <v>192</v>
      </c>
      <c r="H31" s="2" t="s">
        <v>62</v>
      </c>
      <c r="I31" s="2">
        <f>I30*J31</f>
        <v>-6.21</v>
      </c>
      <c r="J31" s="2">
        <v>-11.5</v>
      </c>
      <c r="K31" s="2">
        <v>-11.5</v>
      </c>
      <c r="O31" s="2">
        <f t="shared" si="12"/>
        <v>-10002.76</v>
      </c>
      <c r="P31" s="2">
        <f t="shared" si="13"/>
        <v>-10002.76</v>
      </c>
      <c r="Q31" s="2">
        <f t="shared" si="14"/>
        <v>0</v>
      </c>
      <c r="R31" s="2">
        <f t="shared" si="15"/>
        <v>0</v>
      </c>
      <c r="S31" s="2">
        <f t="shared" si="16"/>
        <v>0</v>
      </c>
      <c r="T31" s="2">
        <f t="shared" si="17"/>
        <v>0</v>
      </c>
      <c r="U31" s="2">
        <f t="shared" si="18"/>
        <v>0</v>
      </c>
      <c r="V31" s="2">
        <f t="shared" si="19"/>
        <v>0</v>
      </c>
      <c r="W31" s="2">
        <f t="shared" si="20"/>
        <v>0</v>
      </c>
      <c r="X31" s="2">
        <f t="shared" si="21"/>
        <v>0</v>
      </c>
      <c r="Y31" s="2">
        <f t="shared" si="21"/>
        <v>0</v>
      </c>
      <c r="AA31" s="2">
        <v>52286166</v>
      </c>
      <c r="AB31" s="2">
        <f t="shared" si="22"/>
        <v>1610.75</v>
      </c>
      <c r="AC31" s="2">
        <f t="shared" si="23"/>
        <v>1610.75</v>
      </c>
      <c r="AD31" s="2">
        <f t="shared" si="24"/>
        <v>0</v>
      </c>
      <c r="AE31" s="2">
        <f t="shared" si="25"/>
        <v>0</v>
      </c>
      <c r="AF31" s="2">
        <f t="shared" si="25"/>
        <v>0</v>
      </c>
      <c r="AG31" s="2">
        <f t="shared" si="26"/>
        <v>0</v>
      </c>
      <c r="AH31" s="2">
        <f t="shared" si="27"/>
        <v>0</v>
      </c>
      <c r="AI31" s="2">
        <f t="shared" si="27"/>
        <v>0</v>
      </c>
      <c r="AJ31" s="2">
        <f t="shared" si="28"/>
        <v>0</v>
      </c>
      <c r="AK31" s="2">
        <v>1610.75</v>
      </c>
      <c r="AL31" s="2">
        <v>1610.75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70</v>
      </c>
      <c r="AU31" s="2">
        <v>10</v>
      </c>
      <c r="AV31" s="2">
        <v>1</v>
      </c>
      <c r="AW31" s="2">
        <v>1</v>
      </c>
      <c r="AZ31" s="2">
        <v>1</v>
      </c>
      <c r="BA31" s="2">
        <v>1</v>
      </c>
      <c r="BB31" s="2">
        <v>1</v>
      </c>
      <c r="BC31" s="2">
        <v>1</v>
      </c>
      <c r="BD31" s="2" t="s">
        <v>30</v>
      </c>
      <c r="BE31" s="2" t="s">
        <v>30</v>
      </c>
      <c r="BF31" s="2" t="s">
        <v>30</v>
      </c>
      <c r="BG31" s="2" t="s">
        <v>30</v>
      </c>
      <c r="BH31" s="2">
        <v>3</v>
      </c>
      <c r="BI31" s="2">
        <v>4</v>
      </c>
      <c r="BJ31" s="2" t="s">
        <v>193</v>
      </c>
      <c r="BM31" s="2">
        <v>0</v>
      </c>
      <c r="BN31" s="2">
        <v>0</v>
      </c>
      <c r="BO31" s="2" t="s">
        <v>30</v>
      </c>
      <c r="BP31" s="2">
        <v>0</v>
      </c>
      <c r="BQ31" s="2">
        <v>1</v>
      </c>
      <c r="BR31" s="2">
        <v>1</v>
      </c>
      <c r="BS31" s="2">
        <v>1</v>
      </c>
      <c r="BT31" s="2">
        <v>1</v>
      </c>
      <c r="BU31" s="2">
        <v>1</v>
      </c>
      <c r="BV31" s="2">
        <v>1</v>
      </c>
      <c r="BW31" s="2">
        <v>1</v>
      </c>
      <c r="BX31" s="2">
        <v>1</v>
      </c>
      <c r="BY31" s="2" t="s">
        <v>30</v>
      </c>
      <c r="BZ31" s="2">
        <v>70</v>
      </c>
      <c r="CA31" s="2">
        <v>10</v>
      </c>
      <c r="CB31" s="2" t="s">
        <v>30</v>
      </c>
      <c r="CE31" s="2">
        <v>0</v>
      </c>
      <c r="CF31" s="2">
        <v>0</v>
      </c>
      <c r="CG31" s="2">
        <v>0</v>
      </c>
      <c r="CM31" s="2">
        <v>0</v>
      </c>
      <c r="CN31" s="2" t="s">
        <v>30</v>
      </c>
      <c r="CO31" s="2">
        <v>0</v>
      </c>
      <c r="CP31" s="2">
        <f t="shared" si="29"/>
        <v>-10002.76</v>
      </c>
      <c r="CQ31" s="2">
        <f t="shared" si="30"/>
        <v>1610.75</v>
      </c>
      <c r="CR31" s="2">
        <f t="shared" si="31"/>
        <v>0</v>
      </c>
      <c r="CS31" s="2">
        <f t="shared" si="32"/>
        <v>0</v>
      </c>
      <c r="CT31" s="2">
        <f t="shared" si="33"/>
        <v>0</v>
      </c>
      <c r="CU31" s="2">
        <f t="shared" si="34"/>
        <v>0</v>
      </c>
      <c r="CV31" s="2">
        <f t="shared" si="35"/>
        <v>0</v>
      </c>
      <c r="CW31" s="2">
        <f t="shared" si="36"/>
        <v>0</v>
      </c>
      <c r="CX31" s="2">
        <f t="shared" si="36"/>
        <v>0</v>
      </c>
      <c r="CY31" s="2">
        <f t="shared" si="37"/>
        <v>0</v>
      </c>
      <c r="CZ31" s="2">
        <f t="shared" si="38"/>
        <v>0</v>
      </c>
      <c r="DC31" s="2" t="s">
        <v>30</v>
      </c>
      <c r="DD31" s="2" t="s">
        <v>30</v>
      </c>
      <c r="DE31" s="2" t="s">
        <v>30</v>
      </c>
      <c r="DF31" s="2" t="s">
        <v>30</v>
      </c>
      <c r="DG31" s="2" t="s">
        <v>30</v>
      </c>
      <c r="DH31" s="2" t="s">
        <v>30</v>
      </c>
      <c r="DI31" s="2" t="s">
        <v>30</v>
      </c>
      <c r="DJ31" s="2" t="s">
        <v>30</v>
      </c>
      <c r="DK31" s="2" t="s">
        <v>30</v>
      </c>
      <c r="DL31" s="2" t="s">
        <v>30</v>
      </c>
      <c r="DM31" s="2" t="s">
        <v>30</v>
      </c>
      <c r="DN31" s="2">
        <v>0</v>
      </c>
      <c r="DO31" s="2">
        <v>0</v>
      </c>
      <c r="DP31" s="2">
        <v>1</v>
      </c>
      <c r="DQ31" s="2">
        <v>1</v>
      </c>
      <c r="DU31" s="2">
        <v>1007</v>
      </c>
      <c r="DV31" s="2" t="s">
        <v>62</v>
      </c>
      <c r="DW31" s="2" t="s">
        <v>62</v>
      </c>
      <c r="DX31" s="2">
        <v>1</v>
      </c>
      <c r="DZ31" s="2" t="s">
        <v>30</v>
      </c>
      <c r="EA31" s="2" t="s">
        <v>30</v>
      </c>
      <c r="EB31" s="2" t="s">
        <v>30</v>
      </c>
      <c r="EC31" s="2" t="s">
        <v>30</v>
      </c>
      <c r="EE31" s="2">
        <v>49661954</v>
      </c>
      <c r="EF31" s="2">
        <v>1</v>
      </c>
      <c r="EG31" s="2" t="s">
        <v>180</v>
      </c>
      <c r="EH31" s="2">
        <v>0</v>
      </c>
      <c r="EI31" s="2" t="s">
        <v>30</v>
      </c>
      <c r="EJ31" s="2">
        <v>4</v>
      </c>
      <c r="EK31" s="2">
        <v>0</v>
      </c>
      <c r="EL31" s="2" t="s">
        <v>181</v>
      </c>
      <c r="EM31" s="2" t="s">
        <v>182</v>
      </c>
      <c r="EO31" s="2" t="s">
        <v>30</v>
      </c>
      <c r="EQ31" s="2">
        <v>0</v>
      </c>
      <c r="ER31" s="2">
        <v>1610.75</v>
      </c>
      <c r="ES31" s="2">
        <v>1610.75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FQ31" s="2">
        <v>0</v>
      </c>
      <c r="FR31" s="2">
        <f t="shared" si="39"/>
        <v>0</v>
      </c>
      <c r="FS31" s="2">
        <v>0</v>
      </c>
      <c r="FX31" s="2">
        <v>70</v>
      </c>
      <c r="FY31" s="2">
        <v>10</v>
      </c>
      <c r="GA31" s="2" t="s">
        <v>30</v>
      </c>
      <c r="GD31" s="2">
        <v>0</v>
      </c>
      <c r="GF31" s="2">
        <v>-235652667</v>
      </c>
      <c r="GG31" s="2">
        <v>2</v>
      </c>
      <c r="GH31" s="2">
        <v>1</v>
      </c>
      <c r="GI31" s="2">
        <v>-2</v>
      </c>
      <c r="GJ31" s="2">
        <v>0</v>
      </c>
      <c r="GK31" s="2">
        <f>ROUND(R31*(R12)/100,2)</f>
        <v>0</v>
      </c>
      <c r="GL31" s="2">
        <f t="shared" si="40"/>
        <v>0</v>
      </c>
      <c r="GM31" s="2">
        <f t="shared" si="41"/>
        <v>-10002.76</v>
      </c>
      <c r="GN31" s="2">
        <f t="shared" si="42"/>
        <v>0</v>
      </c>
      <c r="GO31" s="2">
        <f t="shared" si="43"/>
        <v>0</v>
      </c>
      <c r="GP31" s="2">
        <f t="shared" si="44"/>
        <v>-10002.76</v>
      </c>
      <c r="GR31" s="2">
        <v>0</v>
      </c>
      <c r="GS31" s="2">
        <v>3</v>
      </c>
      <c r="GT31" s="2">
        <v>0</v>
      </c>
      <c r="GU31" s="2" t="s">
        <v>30</v>
      </c>
      <c r="GV31" s="2">
        <f t="shared" si="45"/>
        <v>0</v>
      </c>
      <c r="GW31" s="2">
        <v>1</v>
      </c>
      <c r="GX31" s="2">
        <f t="shared" si="46"/>
        <v>0</v>
      </c>
      <c r="HA31" s="2">
        <v>0</v>
      </c>
      <c r="HB31" s="2">
        <v>0</v>
      </c>
      <c r="HC31" s="2">
        <f t="shared" si="47"/>
        <v>0</v>
      </c>
      <c r="HE31" s="2" t="s">
        <v>30</v>
      </c>
      <c r="HF31" s="2" t="s">
        <v>30</v>
      </c>
      <c r="HM31" s="2" t="s">
        <v>30</v>
      </c>
      <c r="HN31" s="2" t="s">
        <v>30</v>
      </c>
      <c r="HO31" s="2" t="s">
        <v>30</v>
      </c>
      <c r="HP31" s="2" t="s">
        <v>30</v>
      </c>
      <c r="HQ31" s="2" t="s">
        <v>30</v>
      </c>
      <c r="IK31" s="2">
        <v>0</v>
      </c>
    </row>
    <row r="32" spans="1:245" x14ac:dyDescent="0.25">
      <c r="A32" s="2">
        <v>18</v>
      </c>
      <c r="B32" s="2">
        <v>1</v>
      </c>
      <c r="C32" s="2">
        <v>22</v>
      </c>
      <c r="E32" s="2" t="s">
        <v>31</v>
      </c>
      <c r="F32" s="2" t="s">
        <v>194</v>
      </c>
      <c r="G32" s="2" t="s">
        <v>195</v>
      </c>
      <c r="H32" s="2" t="s">
        <v>62</v>
      </c>
      <c r="I32" s="2">
        <f>I30*J32</f>
        <v>-29.7</v>
      </c>
      <c r="J32" s="2">
        <v>-55</v>
      </c>
      <c r="K32" s="2">
        <v>-55</v>
      </c>
      <c r="O32" s="2">
        <f t="shared" si="12"/>
        <v>-45819.68</v>
      </c>
      <c r="P32" s="2">
        <f t="shared" si="13"/>
        <v>-45819.68</v>
      </c>
      <c r="Q32" s="2">
        <f t="shared" si="14"/>
        <v>0</v>
      </c>
      <c r="R32" s="2">
        <f t="shared" si="15"/>
        <v>0</v>
      </c>
      <c r="S32" s="2">
        <f t="shared" si="16"/>
        <v>0</v>
      </c>
      <c r="T32" s="2">
        <f t="shared" si="17"/>
        <v>0</v>
      </c>
      <c r="U32" s="2">
        <f t="shared" si="18"/>
        <v>0</v>
      </c>
      <c r="V32" s="2">
        <f t="shared" si="19"/>
        <v>0</v>
      </c>
      <c r="W32" s="2">
        <f t="shared" si="20"/>
        <v>0</v>
      </c>
      <c r="X32" s="2">
        <f t="shared" si="21"/>
        <v>0</v>
      </c>
      <c r="Y32" s="2">
        <f t="shared" si="21"/>
        <v>0</v>
      </c>
      <c r="AA32" s="2">
        <v>52286166</v>
      </c>
      <c r="AB32" s="2">
        <f t="shared" si="22"/>
        <v>1542.75</v>
      </c>
      <c r="AC32" s="2">
        <f t="shared" si="23"/>
        <v>1542.75</v>
      </c>
      <c r="AD32" s="2">
        <f t="shared" si="24"/>
        <v>0</v>
      </c>
      <c r="AE32" s="2">
        <f t="shared" si="25"/>
        <v>0</v>
      </c>
      <c r="AF32" s="2">
        <f t="shared" si="25"/>
        <v>0</v>
      </c>
      <c r="AG32" s="2">
        <f t="shared" si="26"/>
        <v>0</v>
      </c>
      <c r="AH32" s="2">
        <f t="shared" si="27"/>
        <v>0</v>
      </c>
      <c r="AI32" s="2">
        <f t="shared" si="27"/>
        <v>0</v>
      </c>
      <c r="AJ32" s="2">
        <f t="shared" si="28"/>
        <v>0</v>
      </c>
      <c r="AK32" s="2">
        <v>1542.75</v>
      </c>
      <c r="AL32" s="2">
        <v>1542.75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70</v>
      </c>
      <c r="AU32" s="2">
        <v>10</v>
      </c>
      <c r="AV32" s="2">
        <v>1</v>
      </c>
      <c r="AW32" s="2">
        <v>1</v>
      </c>
      <c r="AZ32" s="2">
        <v>1</v>
      </c>
      <c r="BA32" s="2">
        <v>1</v>
      </c>
      <c r="BB32" s="2">
        <v>1</v>
      </c>
      <c r="BC32" s="2">
        <v>1</v>
      </c>
      <c r="BD32" s="2" t="s">
        <v>30</v>
      </c>
      <c r="BE32" s="2" t="s">
        <v>30</v>
      </c>
      <c r="BF32" s="2" t="s">
        <v>30</v>
      </c>
      <c r="BG32" s="2" t="s">
        <v>30</v>
      </c>
      <c r="BH32" s="2">
        <v>3</v>
      </c>
      <c r="BI32" s="2">
        <v>4</v>
      </c>
      <c r="BJ32" s="2" t="s">
        <v>196</v>
      </c>
      <c r="BM32" s="2">
        <v>0</v>
      </c>
      <c r="BN32" s="2">
        <v>0</v>
      </c>
      <c r="BO32" s="2" t="s">
        <v>30</v>
      </c>
      <c r="BP32" s="2">
        <v>0</v>
      </c>
      <c r="BQ32" s="2">
        <v>1</v>
      </c>
      <c r="BR32" s="2">
        <v>1</v>
      </c>
      <c r="BS32" s="2">
        <v>1</v>
      </c>
      <c r="BT32" s="2">
        <v>1</v>
      </c>
      <c r="BU32" s="2">
        <v>1</v>
      </c>
      <c r="BV32" s="2">
        <v>1</v>
      </c>
      <c r="BW32" s="2">
        <v>1</v>
      </c>
      <c r="BX32" s="2">
        <v>1</v>
      </c>
      <c r="BY32" s="2" t="s">
        <v>30</v>
      </c>
      <c r="BZ32" s="2">
        <v>70</v>
      </c>
      <c r="CA32" s="2">
        <v>10</v>
      </c>
      <c r="CB32" s="2" t="s">
        <v>30</v>
      </c>
      <c r="CE32" s="2">
        <v>0</v>
      </c>
      <c r="CF32" s="2">
        <v>0</v>
      </c>
      <c r="CG32" s="2">
        <v>0</v>
      </c>
      <c r="CM32" s="2">
        <v>0</v>
      </c>
      <c r="CN32" s="2" t="s">
        <v>30</v>
      </c>
      <c r="CO32" s="2">
        <v>0</v>
      </c>
      <c r="CP32" s="2">
        <f t="shared" si="29"/>
        <v>-45819.68</v>
      </c>
      <c r="CQ32" s="2">
        <f t="shared" si="30"/>
        <v>1542.75</v>
      </c>
      <c r="CR32" s="2">
        <f t="shared" si="31"/>
        <v>0</v>
      </c>
      <c r="CS32" s="2">
        <f t="shared" si="32"/>
        <v>0</v>
      </c>
      <c r="CT32" s="2">
        <f t="shared" si="33"/>
        <v>0</v>
      </c>
      <c r="CU32" s="2">
        <f t="shared" si="34"/>
        <v>0</v>
      </c>
      <c r="CV32" s="2">
        <f t="shared" si="35"/>
        <v>0</v>
      </c>
      <c r="CW32" s="2">
        <f t="shared" si="36"/>
        <v>0</v>
      </c>
      <c r="CX32" s="2">
        <f t="shared" si="36"/>
        <v>0</v>
      </c>
      <c r="CY32" s="2">
        <f t="shared" si="37"/>
        <v>0</v>
      </c>
      <c r="CZ32" s="2">
        <f t="shared" si="38"/>
        <v>0</v>
      </c>
      <c r="DC32" s="2" t="s">
        <v>30</v>
      </c>
      <c r="DD32" s="2" t="s">
        <v>30</v>
      </c>
      <c r="DE32" s="2" t="s">
        <v>30</v>
      </c>
      <c r="DF32" s="2" t="s">
        <v>30</v>
      </c>
      <c r="DG32" s="2" t="s">
        <v>30</v>
      </c>
      <c r="DH32" s="2" t="s">
        <v>30</v>
      </c>
      <c r="DI32" s="2" t="s">
        <v>30</v>
      </c>
      <c r="DJ32" s="2" t="s">
        <v>30</v>
      </c>
      <c r="DK32" s="2" t="s">
        <v>30</v>
      </c>
      <c r="DL32" s="2" t="s">
        <v>30</v>
      </c>
      <c r="DM32" s="2" t="s">
        <v>30</v>
      </c>
      <c r="DN32" s="2">
        <v>0</v>
      </c>
      <c r="DO32" s="2">
        <v>0</v>
      </c>
      <c r="DP32" s="2">
        <v>1</v>
      </c>
      <c r="DQ32" s="2">
        <v>1</v>
      </c>
      <c r="DU32" s="2">
        <v>1007</v>
      </c>
      <c r="DV32" s="2" t="s">
        <v>62</v>
      </c>
      <c r="DW32" s="2" t="s">
        <v>62</v>
      </c>
      <c r="DX32" s="2">
        <v>1</v>
      </c>
      <c r="DZ32" s="2" t="s">
        <v>30</v>
      </c>
      <c r="EA32" s="2" t="s">
        <v>30</v>
      </c>
      <c r="EB32" s="2" t="s">
        <v>30</v>
      </c>
      <c r="EC32" s="2" t="s">
        <v>30</v>
      </c>
      <c r="EE32" s="2">
        <v>49661954</v>
      </c>
      <c r="EF32" s="2">
        <v>1</v>
      </c>
      <c r="EG32" s="2" t="s">
        <v>180</v>
      </c>
      <c r="EH32" s="2">
        <v>0</v>
      </c>
      <c r="EI32" s="2" t="s">
        <v>30</v>
      </c>
      <c r="EJ32" s="2">
        <v>4</v>
      </c>
      <c r="EK32" s="2">
        <v>0</v>
      </c>
      <c r="EL32" s="2" t="s">
        <v>181</v>
      </c>
      <c r="EM32" s="2" t="s">
        <v>182</v>
      </c>
      <c r="EO32" s="2" t="s">
        <v>30</v>
      </c>
      <c r="EQ32" s="2">
        <v>0</v>
      </c>
      <c r="ER32" s="2">
        <v>1542.75</v>
      </c>
      <c r="ES32" s="2">
        <v>1542.75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FQ32" s="2">
        <v>0</v>
      </c>
      <c r="FR32" s="2">
        <f t="shared" si="39"/>
        <v>0</v>
      </c>
      <c r="FS32" s="2">
        <v>0</v>
      </c>
      <c r="FX32" s="2">
        <v>70</v>
      </c>
      <c r="FY32" s="2">
        <v>10</v>
      </c>
      <c r="GA32" s="2" t="s">
        <v>30</v>
      </c>
      <c r="GD32" s="2">
        <v>0</v>
      </c>
      <c r="GF32" s="2">
        <v>-1914292201</v>
      </c>
      <c r="GG32" s="2">
        <v>2</v>
      </c>
      <c r="GH32" s="2">
        <v>1</v>
      </c>
      <c r="GI32" s="2">
        <v>-2</v>
      </c>
      <c r="GJ32" s="2">
        <v>0</v>
      </c>
      <c r="GK32" s="2">
        <f>ROUND(R32*(R12)/100,2)</f>
        <v>0</v>
      </c>
      <c r="GL32" s="2">
        <f t="shared" si="40"/>
        <v>0</v>
      </c>
      <c r="GM32" s="2">
        <f t="shared" si="41"/>
        <v>-45819.68</v>
      </c>
      <c r="GN32" s="2">
        <f t="shared" si="42"/>
        <v>0</v>
      </c>
      <c r="GO32" s="2">
        <f t="shared" si="43"/>
        <v>0</v>
      </c>
      <c r="GP32" s="2">
        <f t="shared" si="44"/>
        <v>-45819.68</v>
      </c>
      <c r="GR32" s="2">
        <v>0</v>
      </c>
      <c r="GS32" s="2">
        <v>3</v>
      </c>
      <c r="GT32" s="2">
        <v>0</v>
      </c>
      <c r="GU32" s="2" t="s">
        <v>30</v>
      </c>
      <c r="GV32" s="2">
        <f t="shared" si="45"/>
        <v>0</v>
      </c>
      <c r="GW32" s="2">
        <v>1</v>
      </c>
      <c r="GX32" s="2">
        <f t="shared" si="46"/>
        <v>0</v>
      </c>
      <c r="HA32" s="2">
        <v>0</v>
      </c>
      <c r="HB32" s="2">
        <v>0</v>
      </c>
      <c r="HC32" s="2">
        <f t="shared" si="47"/>
        <v>0</v>
      </c>
      <c r="HE32" s="2" t="s">
        <v>30</v>
      </c>
      <c r="HF32" s="2" t="s">
        <v>30</v>
      </c>
      <c r="HM32" s="2" t="s">
        <v>30</v>
      </c>
      <c r="HN32" s="2" t="s">
        <v>30</v>
      </c>
      <c r="HO32" s="2" t="s">
        <v>30</v>
      </c>
      <c r="HP32" s="2" t="s">
        <v>30</v>
      </c>
      <c r="HQ32" s="2" t="s">
        <v>30</v>
      </c>
      <c r="IK32" s="2">
        <v>0</v>
      </c>
    </row>
    <row r="33" spans="1:245" x14ac:dyDescent="0.25">
      <c r="A33" s="2">
        <v>18</v>
      </c>
      <c r="B33" s="2">
        <v>1</v>
      </c>
      <c r="C33" s="2">
        <v>20</v>
      </c>
      <c r="E33" s="2" t="s">
        <v>32</v>
      </c>
      <c r="F33" s="2" t="s">
        <v>107</v>
      </c>
      <c r="G33" s="2" t="s">
        <v>108</v>
      </c>
      <c r="H33" s="2" t="s">
        <v>62</v>
      </c>
      <c r="I33" s="2">
        <f>I30*J33</f>
        <v>29.7</v>
      </c>
      <c r="J33" s="2">
        <v>55</v>
      </c>
      <c r="K33" s="2">
        <v>55</v>
      </c>
      <c r="O33" s="2">
        <f t="shared" si="12"/>
        <v>36605.25</v>
      </c>
      <c r="P33" s="2">
        <f t="shared" si="13"/>
        <v>36605.25</v>
      </c>
      <c r="Q33" s="2">
        <f t="shared" si="14"/>
        <v>0</v>
      </c>
      <c r="R33" s="2">
        <f t="shared" si="15"/>
        <v>0</v>
      </c>
      <c r="S33" s="2">
        <f t="shared" si="16"/>
        <v>0</v>
      </c>
      <c r="T33" s="2">
        <f t="shared" si="17"/>
        <v>0</v>
      </c>
      <c r="U33" s="2">
        <f t="shared" si="18"/>
        <v>0</v>
      </c>
      <c r="V33" s="2">
        <f t="shared" si="19"/>
        <v>0</v>
      </c>
      <c r="W33" s="2">
        <f t="shared" si="20"/>
        <v>0</v>
      </c>
      <c r="X33" s="2">
        <f t="shared" si="21"/>
        <v>0</v>
      </c>
      <c r="Y33" s="2">
        <f t="shared" si="21"/>
        <v>0</v>
      </c>
      <c r="AA33" s="2">
        <v>52286166</v>
      </c>
      <c r="AB33" s="2">
        <f t="shared" si="22"/>
        <v>1232.5</v>
      </c>
      <c r="AC33" s="2">
        <f t="shared" si="23"/>
        <v>1232.5</v>
      </c>
      <c r="AD33" s="2">
        <f t="shared" si="24"/>
        <v>0</v>
      </c>
      <c r="AE33" s="2">
        <f t="shared" si="25"/>
        <v>0</v>
      </c>
      <c r="AF33" s="2">
        <f t="shared" si="25"/>
        <v>0</v>
      </c>
      <c r="AG33" s="2">
        <f t="shared" si="26"/>
        <v>0</v>
      </c>
      <c r="AH33" s="2">
        <f t="shared" si="27"/>
        <v>0</v>
      </c>
      <c r="AI33" s="2">
        <f t="shared" si="27"/>
        <v>0</v>
      </c>
      <c r="AJ33" s="2">
        <f t="shared" si="28"/>
        <v>0</v>
      </c>
      <c r="AK33" s="2">
        <v>1232.5</v>
      </c>
      <c r="AL33" s="2">
        <v>1232.5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70</v>
      </c>
      <c r="AU33" s="2">
        <v>10</v>
      </c>
      <c r="AV33" s="2">
        <v>1</v>
      </c>
      <c r="AW33" s="2">
        <v>1</v>
      </c>
      <c r="AZ33" s="2">
        <v>1</v>
      </c>
      <c r="BA33" s="2">
        <v>1</v>
      </c>
      <c r="BB33" s="2">
        <v>1</v>
      </c>
      <c r="BC33" s="2">
        <v>1</v>
      </c>
      <c r="BD33" s="2" t="s">
        <v>30</v>
      </c>
      <c r="BE33" s="2" t="s">
        <v>30</v>
      </c>
      <c r="BF33" s="2" t="s">
        <v>30</v>
      </c>
      <c r="BG33" s="2" t="s">
        <v>30</v>
      </c>
      <c r="BH33" s="2">
        <v>3</v>
      </c>
      <c r="BI33" s="2">
        <v>4</v>
      </c>
      <c r="BJ33" s="2" t="s">
        <v>197</v>
      </c>
      <c r="BM33" s="2">
        <v>0</v>
      </c>
      <c r="BN33" s="2">
        <v>0</v>
      </c>
      <c r="BO33" s="2" t="s">
        <v>30</v>
      </c>
      <c r="BP33" s="2">
        <v>0</v>
      </c>
      <c r="BQ33" s="2">
        <v>1</v>
      </c>
      <c r="BR33" s="2">
        <v>0</v>
      </c>
      <c r="BS33" s="2">
        <v>1</v>
      </c>
      <c r="BT33" s="2">
        <v>1</v>
      </c>
      <c r="BU33" s="2">
        <v>1</v>
      </c>
      <c r="BV33" s="2">
        <v>1</v>
      </c>
      <c r="BW33" s="2">
        <v>1</v>
      </c>
      <c r="BX33" s="2">
        <v>1</v>
      </c>
      <c r="BY33" s="2" t="s">
        <v>30</v>
      </c>
      <c r="BZ33" s="2">
        <v>70</v>
      </c>
      <c r="CA33" s="2">
        <v>10</v>
      </c>
      <c r="CB33" s="2" t="s">
        <v>30</v>
      </c>
      <c r="CE33" s="2">
        <v>0</v>
      </c>
      <c r="CF33" s="2">
        <v>0</v>
      </c>
      <c r="CG33" s="2">
        <v>0</v>
      </c>
      <c r="CM33" s="2">
        <v>0</v>
      </c>
      <c r="CN33" s="2" t="s">
        <v>30</v>
      </c>
      <c r="CO33" s="2">
        <v>0</v>
      </c>
      <c r="CP33" s="2">
        <f t="shared" si="29"/>
        <v>36605.25</v>
      </c>
      <c r="CQ33" s="2">
        <f t="shared" si="30"/>
        <v>1232.5</v>
      </c>
      <c r="CR33" s="2">
        <f t="shared" si="31"/>
        <v>0</v>
      </c>
      <c r="CS33" s="2">
        <f t="shared" si="32"/>
        <v>0</v>
      </c>
      <c r="CT33" s="2">
        <f t="shared" si="33"/>
        <v>0</v>
      </c>
      <c r="CU33" s="2">
        <f t="shared" si="34"/>
        <v>0</v>
      </c>
      <c r="CV33" s="2">
        <f t="shared" si="35"/>
        <v>0</v>
      </c>
      <c r="CW33" s="2">
        <f t="shared" si="36"/>
        <v>0</v>
      </c>
      <c r="CX33" s="2">
        <f t="shared" si="36"/>
        <v>0</v>
      </c>
      <c r="CY33" s="2">
        <f t="shared" si="37"/>
        <v>0</v>
      </c>
      <c r="CZ33" s="2">
        <f t="shared" si="38"/>
        <v>0</v>
      </c>
      <c r="DC33" s="2" t="s">
        <v>30</v>
      </c>
      <c r="DD33" s="2" t="s">
        <v>30</v>
      </c>
      <c r="DE33" s="2" t="s">
        <v>30</v>
      </c>
      <c r="DF33" s="2" t="s">
        <v>30</v>
      </c>
      <c r="DG33" s="2" t="s">
        <v>30</v>
      </c>
      <c r="DH33" s="2" t="s">
        <v>30</v>
      </c>
      <c r="DI33" s="2" t="s">
        <v>30</v>
      </c>
      <c r="DJ33" s="2" t="s">
        <v>30</v>
      </c>
      <c r="DK33" s="2" t="s">
        <v>30</v>
      </c>
      <c r="DL33" s="2" t="s">
        <v>30</v>
      </c>
      <c r="DM33" s="2" t="s">
        <v>30</v>
      </c>
      <c r="DN33" s="2">
        <v>0</v>
      </c>
      <c r="DO33" s="2">
        <v>0</v>
      </c>
      <c r="DP33" s="2">
        <v>1</v>
      </c>
      <c r="DQ33" s="2">
        <v>1</v>
      </c>
      <c r="DU33" s="2">
        <v>1007</v>
      </c>
      <c r="DV33" s="2" t="s">
        <v>62</v>
      </c>
      <c r="DW33" s="2" t="s">
        <v>62</v>
      </c>
      <c r="DX33" s="2">
        <v>1</v>
      </c>
      <c r="DZ33" s="2" t="s">
        <v>30</v>
      </c>
      <c r="EA33" s="2" t="s">
        <v>30</v>
      </c>
      <c r="EB33" s="2" t="s">
        <v>30</v>
      </c>
      <c r="EC33" s="2" t="s">
        <v>30</v>
      </c>
      <c r="EE33" s="2">
        <v>49661954</v>
      </c>
      <c r="EF33" s="2">
        <v>1</v>
      </c>
      <c r="EG33" s="2" t="s">
        <v>180</v>
      </c>
      <c r="EH33" s="2">
        <v>0</v>
      </c>
      <c r="EI33" s="2" t="s">
        <v>30</v>
      </c>
      <c r="EJ33" s="2">
        <v>4</v>
      </c>
      <c r="EK33" s="2">
        <v>0</v>
      </c>
      <c r="EL33" s="2" t="s">
        <v>181</v>
      </c>
      <c r="EM33" s="2" t="s">
        <v>182</v>
      </c>
      <c r="EO33" s="2" t="s">
        <v>30</v>
      </c>
      <c r="EQ33" s="2">
        <v>0</v>
      </c>
      <c r="ER33" s="2">
        <v>1232.5</v>
      </c>
      <c r="ES33" s="2">
        <v>1232.5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FQ33" s="2">
        <v>0</v>
      </c>
      <c r="FR33" s="2">
        <f t="shared" si="39"/>
        <v>0</v>
      </c>
      <c r="FS33" s="2">
        <v>0</v>
      </c>
      <c r="FX33" s="2">
        <v>70</v>
      </c>
      <c r="FY33" s="2">
        <v>10</v>
      </c>
      <c r="GA33" s="2" t="s">
        <v>30</v>
      </c>
      <c r="GD33" s="2">
        <v>0</v>
      </c>
      <c r="GF33" s="2">
        <v>-579596608</v>
      </c>
      <c r="GG33" s="2">
        <v>2</v>
      </c>
      <c r="GH33" s="2">
        <v>1</v>
      </c>
      <c r="GI33" s="2">
        <v>-2</v>
      </c>
      <c r="GJ33" s="2">
        <v>0</v>
      </c>
      <c r="GK33" s="2">
        <f>ROUND(R33*(R12)/100,2)</f>
        <v>0</v>
      </c>
      <c r="GL33" s="2">
        <f t="shared" si="40"/>
        <v>0</v>
      </c>
      <c r="GM33" s="2">
        <f t="shared" si="41"/>
        <v>36605.25</v>
      </c>
      <c r="GN33" s="2">
        <f t="shared" si="42"/>
        <v>0</v>
      </c>
      <c r="GO33" s="2">
        <f t="shared" si="43"/>
        <v>0</v>
      </c>
      <c r="GP33" s="2">
        <f t="shared" si="44"/>
        <v>36605.25</v>
      </c>
      <c r="GR33" s="2">
        <v>0</v>
      </c>
      <c r="GS33" s="2">
        <v>3</v>
      </c>
      <c r="GT33" s="2">
        <v>0</v>
      </c>
      <c r="GU33" s="2" t="s">
        <v>30</v>
      </c>
      <c r="GV33" s="2">
        <f t="shared" si="45"/>
        <v>0</v>
      </c>
      <c r="GW33" s="2">
        <v>1</v>
      </c>
      <c r="GX33" s="2">
        <f t="shared" si="46"/>
        <v>0</v>
      </c>
      <c r="HA33" s="2">
        <v>0</v>
      </c>
      <c r="HB33" s="2">
        <v>0</v>
      </c>
      <c r="HC33" s="2">
        <f t="shared" si="47"/>
        <v>0</v>
      </c>
      <c r="HE33" s="2" t="s">
        <v>30</v>
      </c>
      <c r="HF33" s="2" t="s">
        <v>30</v>
      </c>
      <c r="HM33" s="2" t="s">
        <v>30</v>
      </c>
      <c r="HN33" s="2" t="s">
        <v>30</v>
      </c>
      <c r="HO33" s="2" t="s">
        <v>30</v>
      </c>
      <c r="HP33" s="2" t="s">
        <v>30</v>
      </c>
      <c r="HQ33" s="2" t="s">
        <v>30</v>
      </c>
      <c r="IK33" s="2">
        <v>0</v>
      </c>
    </row>
    <row r="34" spans="1:245" x14ac:dyDescent="0.25">
      <c r="A34" s="2">
        <v>17</v>
      </c>
      <c r="B34" s="2">
        <v>1</v>
      </c>
      <c r="C34" s="2">
        <f>ROW('SmtRes (3)'!A25)</f>
        <v>25</v>
      </c>
      <c r="D34" s="2">
        <f>ROW('EtalonRes (3)'!A24)</f>
        <v>24</v>
      </c>
      <c r="E34" s="2" t="s">
        <v>198</v>
      </c>
      <c r="F34" s="2" t="s">
        <v>199</v>
      </c>
      <c r="G34" s="2" t="s">
        <v>420</v>
      </c>
      <c r="H34" s="2" t="s">
        <v>63</v>
      </c>
      <c r="I34" s="2">
        <v>216</v>
      </c>
      <c r="J34" s="2">
        <v>0</v>
      </c>
      <c r="K34" s="2">
        <v>216</v>
      </c>
      <c r="O34" s="2">
        <f t="shared" si="12"/>
        <v>13223.52</v>
      </c>
      <c r="P34" s="2">
        <f t="shared" si="13"/>
        <v>0</v>
      </c>
      <c r="Q34" s="2">
        <f t="shared" si="14"/>
        <v>13223.52</v>
      </c>
      <c r="R34" s="2">
        <f t="shared" si="15"/>
        <v>7130.16</v>
      </c>
      <c r="S34" s="2">
        <f t="shared" si="16"/>
        <v>0</v>
      </c>
      <c r="T34" s="2">
        <f t="shared" si="17"/>
        <v>0</v>
      </c>
      <c r="U34" s="2">
        <f t="shared" si="18"/>
        <v>0</v>
      </c>
      <c r="V34" s="2">
        <f t="shared" si="19"/>
        <v>0</v>
      </c>
      <c r="W34" s="2">
        <f t="shared" si="20"/>
        <v>0</v>
      </c>
      <c r="X34" s="2">
        <f t="shared" si="21"/>
        <v>0</v>
      </c>
      <c r="Y34" s="2">
        <f t="shared" si="21"/>
        <v>0</v>
      </c>
      <c r="AA34" s="2">
        <v>52286166</v>
      </c>
      <c r="AB34" s="2">
        <f t="shared" si="22"/>
        <v>61.22</v>
      </c>
      <c r="AC34" s="2">
        <f t="shared" si="23"/>
        <v>0</v>
      </c>
      <c r="AD34" s="2">
        <f t="shared" si="24"/>
        <v>61.22</v>
      </c>
      <c r="AE34" s="2">
        <f t="shared" si="25"/>
        <v>33.01</v>
      </c>
      <c r="AF34" s="2">
        <f t="shared" si="25"/>
        <v>0</v>
      </c>
      <c r="AG34" s="2">
        <f t="shared" si="26"/>
        <v>0</v>
      </c>
      <c r="AH34" s="2">
        <f t="shared" si="27"/>
        <v>0</v>
      </c>
      <c r="AI34" s="2">
        <f t="shared" si="27"/>
        <v>0</v>
      </c>
      <c r="AJ34" s="2">
        <f t="shared" si="28"/>
        <v>0</v>
      </c>
      <c r="AK34" s="2">
        <v>61.22</v>
      </c>
      <c r="AL34" s="2">
        <v>0</v>
      </c>
      <c r="AM34" s="2">
        <v>61.22</v>
      </c>
      <c r="AN34" s="2">
        <v>33.01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</v>
      </c>
      <c r="AW34" s="2">
        <v>1</v>
      </c>
      <c r="AZ34" s="2">
        <v>1</v>
      </c>
      <c r="BA34" s="2">
        <v>1</v>
      </c>
      <c r="BB34" s="2">
        <v>1</v>
      </c>
      <c r="BC34" s="2">
        <v>1</v>
      </c>
      <c r="BD34" s="2" t="s">
        <v>30</v>
      </c>
      <c r="BE34" s="2" t="s">
        <v>30</v>
      </c>
      <c r="BF34" s="2" t="s">
        <v>30</v>
      </c>
      <c r="BG34" s="2" t="s">
        <v>30</v>
      </c>
      <c r="BH34" s="2">
        <v>0</v>
      </c>
      <c r="BI34" s="2">
        <v>4</v>
      </c>
      <c r="BJ34" s="2" t="s">
        <v>201</v>
      </c>
      <c r="BM34" s="2">
        <v>1</v>
      </c>
      <c r="BN34" s="2">
        <v>0</v>
      </c>
      <c r="BO34" s="2" t="s">
        <v>30</v>
      </c>
      <c r="BP34" s="2">
        <v>0</v>
      </c>
      <c r="BQ34" s="2">
        <v>1</v>
      </c>
      <c r="BR34" s="2">
        <v>0</v>
      </c>
      <c r="BS34" s="2">
        <v>1</v>
      </c>
      <c r="BT34" s="2">
        <v>1</v>
      </c>
      <c r="BU34" s="2">
        <v>1</v>
      </c>
      <c r="BV34" s="2">
        <v>1</v>
      </c>
      <c r="BW34" s="2">
        <v>1</v>
      </c>
      <c r="BX34" s="2">
        <v>1</v>
      </c>
      <c r="BY34" s="2" t="s">
        <v>30</v>
      </c>
      <c r="BZ34" s="2">
        <v>0</v>
      </c>
      <c r="CA34" s="2">
        <v>0</v>
      </c>
      <c r="CB34" s="2" t="s">
        <v>30</v>
      </c>
      <c r="CE34" s="2">
        <v>0</v>
      </c>
      <c r="CF34" s="2">
        <v>0</v>
      </c>
      <c r="CG34" s="2">
        <v>0</v>
      </c>
      <c r="CM34" s="2">
        <v>0</v>
      </c>
      <c r="CN34" s="2" t="s">
        <v>30</v>
      </c>
      <c r="CO34" s="2">
        <v>0</v>
      </c>
      <c r="CP34" s="2">
        <f t="shared" si="29"/>
        <v>13223.52</v>
      </c>
      <c r="CQ34" s="2">
        <f t="shared" si="30"/>
        <v>0</v>
      </c>
      <c r="CR34" s="2">
        <f t="shared" si="31"/>
        <v>61.22</v>
      </c>
      <c r="CS34" s="2">
        <f t="shared" si="32"/>
        <v>33.01</v>
      </c>
      <c r="CT34" s="2">
        <f t="shared" si="33"/>
        <v>0</v>
      </c>
      <c r="CU34" s="2">
        <f t="shared" si="34"/>
        <v>0</v>
      </c>
      <c r="CV34" s="2">
        <f t="shared" si="35"/>
        <v>0</v>
      </c>
      <c r="CW34" s="2">
        <f t="shared" si="36"/>
        <v>0</v>
      </c>
      <c r="CX34" s="2">
        <f t="shared" si="36"/>
        <v>0</v>
      </c>
      <c r="CY34" s="2">
        <f t="shared" si="37"/>
        <v>0</v>
      </c>
      <c r="CZ34" s="2">
        <f t="shared" si="38"/>
        <v>0</v>
      </c>
      <c r="DC34" s="2" t="s">
        <v>30</v>
      </c>
      <c r="DD34" s="2" t="s">
        <v>30</v>
      </c>
      <c r="DE34" s="2" t="s">
        <v>30</v>
      </c>
      <c r="DF34" s="2" t="s">
        <v>30</v>
      </c>
      <c r="DG34" s="2" t="s">
        <v>30</v>
      </c>
      <c r="DH34" s="2" t="s">
        <v>30</v>
      </c>
      <c r="DI34" s="2" t="s">
        <v>30</v>
      </c>
      <c r="DJ34" s="2" t="s">
        <v>30</v>
      </c>
      <c r="DK34" s="2" t="s">
        <v>30</v>
      </c>
      <c r="DL34" s="2" t="s">
        <v>30</v>
      </c>
      <c r="DM34" s="2" t="s">
        <v>30</v>
      </c>
      <c r="DN34" s="2">
        <v>0</v>
      </c>
      <c r="DO34" s="2">
        <v>0</v>
      </c>
      <c r="DP34" s="2">
        <v>1</v>
      </c>
      <c r="DQ34" s="2">
        <v>1</v>
      </c>
      <c r="DU34" s="2">
        <v>1009</v>
      </c>
      <c r="DV34" s="2" t="s">
        <v>63</v>
      </c>
      <c r="DW34" s="2" t="s">
        <v>63</v>
      </c>
      <c r="DX34" s="2">
        <v>1000</v>
      </c>
      <c r="DZ34" s="2" t="s">
        <v>30</v>
      </c>
      <c r="EA34" s="2" t="s">
        <v>30</v>
      </c>
      <c r="EB34" s="2" t="s">
        <v>30</v>
      </c>
      <c r="EC34" s="2" t="s">
        <v>30</v>
      </c>
      <c r="EE34" s="2">
        <v>49661956</v>
      </c>
      <c r="EF34" s="2">
        <v>1</v>
      </c>
      <c r="EG34" s="2" t="s">
        <v>180</v>
      </c>
      <c r="EH34" s="2">
        <v>0</v>
      </c>
      <c r="EI34" s="2" t="s">
        <v>30</v>
      </c>
      <c r="EJ34" s="2">
        <v>4</v>
      </c>
      <c r="EK34" s="2">
        <v>1</v>
      </c>
      <c r="EL34" s="2" t="s">
        <v>202</v>
      </c>
      <c r="EM34" s="2" t="s">
        <v>182</v>
      </c>
      <c r="EO34" s="2" t="s">
        <v>30</v>
      </c>
      <c r="EQ34" s="2">
        <v>0</v>
      </c>
      <c r="ER34" s="2">
        <v>61.22</v>
      </c>
      <c r="ES34" s="2">
        <v>0</v>
      </c>
      <c r="ET34" s="2">
        <v>61.22</v>
      </c>
      <c r="EU34" s="2">
        <v>33.01</v>
      </c>
      <c r="EV34" s="2">
        <v>0</v>
      </c>
      <c r="EW34" s="2">
        <v>0</v>
      </c>
      <c r="EX34" s="2">
        <v>0</v>
      </c>
      <c r="EY34" s="2">
        <v>0</v>
      </c>
      <c r="FQ34" s="2">
        <v>0</v>
      </c>
      <c r="FR34" s="2">
        <f t="shared" si="39"/>
        <v>0</v>
      </c>
      <c r="FS34" s="2">
        <v>0</v>
      </c>
      <c r="FX34" s="2">
        <v>0</v>
      </c>
      <c r="FY34" s="2">
        <v>0</v>
      </c>
      <c r="GA34" s="2" t="s">
        <v>30</v>
      </c>
      <c r="GD34" s="2">
        <v>1</v>
      </c>
      <c r="GF34" s="2">
        <v>-894440251</v>
      </c>
      <c r="GG34" s="2">
        <v>2</v>
      </c>
      <c r="GH34" s="2">
        <v>1</v>
      </c>
      <c r="GI34" s="2">
        <v>-2</v>
      </c>
      <c r="GJ34" s="2">
        <v>0</v>
      </c>
      <c r="GK34" s="2">
        <v>0</v>
      </c>
      <c r="GL34" s="2">
        <f t="shared" si="40"/>
        <v>0</v>
      </c>
      <c r="GM34" s="2">
        <f>ROUND(O34+X34+Y34,2)+GX34</f>
        <v>13223.52</v>
      </c>
      <c r="GN34" s="2">
        <f>IF(OR(BI34=0,BI34=1),ROUND(O34+X34+Y34,2),0)</f>
        <v>0</v>
      </c>
      <c r="GO34" s="2">
        <f>IF(BI34=2,ROUND(O34+X34+Y34,2),0)</f>
        <v>0</v>
      </c>
      <c r="GP34" s="2">
        <f>IF(BI34=4,ROUND(O34+X34+Y34,2)+GX34,0)</f>
        <v>13223.52</v>
      </c>
      <c r="GR34" s="2">
        <v>0</v>
      </c>
      <c r="GS34" s="2">
        <v>3</v>
      </c>
      <c r="GT34" s="2">
        <v>0</v>
      </c>
      <c r="GU34" s="2" t="s">
        <v>30</v>
      </c>
      <c r="GV34" s="2">
        <f t="shared" si="45"/>
        <v>0</v>
      </c>
      <c r="GW34" s="2">
        <v>1</v>
      </c>
      <c r="GX34" s="2">
        <f t="shared" si="46"/>
        <v>0</v>
      </c>
      <c r="HA34" s="2">
        <v>0</v>
      </c>
      <c r="HB34" s="2">
        <v>0</v>
      </c>
      <c r="HC34" s="2">
        <f t="shared" si="47"/>
        <v>0</v>
      </c>
      <c r="HE34" s="2" t="s">
        <v>30</v>
      </c>
      <c r="HF34" s="2" t="s">
        <v>30</v>
      </c>
      <c r="HM34" s="2" t="s">
        <v>30</v>
      </c>
      <c r="HN34" s="2" t="s">
        <v>30</v>
      </c>
      <c r="HO34" s="2" t="s">
        <v>30</v>
      </c>
      <c r="HP34" s="2" t="s">
        <v>30</v>
      </c>
      <c r="HQ34" s="2" t="s">
        <v>30</v>
      </c>
      <c r="IK34" s="2">
        <v>0</v>
      </c>
    </row>
    <row r="35" spans="1:245" x14ac:dyDescent="0.25">
      <c r="A35" s="2">
        <v>17</v>
      </c>
      <c r="B35" s="2">
        <v>1</v>
      </c>
      <c r="C35" s="2">
        <f>ROW('SmtRes (3)'!A27)</f>
        <v>27</v>
      </c>
      <c r="D35" s="2">
        <f>ROW('EtalonRes (3)'!A26)</f>
        <v>26</v>
      </c>
      <c r="E35" s="2" t="s">
        <v>203</v>
      </c>
      <c r="F35" s="2" t="s">
        <v>204</v>
      </c>
      <c r="G35" s="2" t="s">
        <v>205</v>
      </c>
      <c r="H35" s="2" t="s">
        <v>63</v>
      </c>
      <c r="I35" s="2">
        <v>216</v>
      </c>
      <c r="J35" s="2">
        <v>0</v>
      </c>
      <c r="K35" s="2">
        <v>216</v>
      </c>
      <c r="O35" s="2">
        <f t="shared" si="12"/>
        <v>325615.68</v>
      </c>
      <c r="P35" s="2">
        <f t="shared" si="13"/>
        <v>0</v>
      </c>
      <c r="Q35" s="2">
        <f t="shared" si="14"/>
        <v>325615.68</v>
      </c>
      <c r="R35" s="2">
        <f t="shared" si="15"/>
        <v>175668.48000000001</v>
      </c>
      <c r="S35" s="2">
        <f t="shared" si="16"/>
        <v>0</v>
      </c>
      <c r="T35" s="2">
        <f t="shared" si="17"/>
        <v>0</v>
      </c>
      <c r="U35" s="2">
        <f t="shared" si="18"/>
        <v>0</v>
      </c>
      <c r="V35" s="2">
        <f t="shared" si="19"/>
        <v>0</v>
      </c>
      <c r="W35" s="2">
        <f t="shared" si="20"/>
        <v>0</v>
      </c>
      <c r="X35" s="2">
        <f t="shared" si="21"/>
        <v>0</v>
      </c>
      <c r="Y35" s="2">
        <f t="shared" si="21"/>
        <v>0</v>
      </c>
      <c r="AA35" s="2">
        <v>52286166</v>
      </c>
      <c r="AB35" s="2">
        <f t="shared" si="22"/>
        <v>1507.48</v>
      </c>
      <c r="AC35" s="2">
        <f>ROUND(((ES35*52)),6)</f>
        <v>0</v>
      </c>
      <c r="AD35" s="2">
        <f>ROUND(((((ET35*52))-((EU35*52)))+AE35),6)</f>
        <v>1507.48</v>
      </c>
      <c r="AE35" s="2">
        <f>ROUND(((EU35*52)),6)</f>
        <v>813.28</v>
      </c>
      <c r="AF35" s="2">
        <f>ROUND(((EV35*52)),6)</f>
        <v>0</v>
      </c>
      <c r="AG35" s="2">
        <f t="shared" si="26"/>
        <v>0</v>
      </c>
      <c r="AH35" s="2">
        <f>((EW35*52))</f>
        <v>0</v>
      </c>
      <c r="AI35" s="2">
        <f>((EX35*52))</f>
        <v>0</v>
      </c>
      <c r="AJ35" s="2">
        <f t="shared" si="28"/>
        <v>0</v>
      </c>
      <c r="AK35" s="2">
        <v>28.99</v>
      </c>
      <c r="AL35" s="2">
        <v>0</v>
      </c>
      <c r="AM35" s="2">
        <v>28.99</v>
      </c>
      <c r="AN35" s="2">
        <v>15.64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1</v>
      </c>
      <c r="AW35" s="2">
        <v>1</v>
      </c>
      <c r="AZ35" s="2">
        <v>1</v>
      </c>
      <c r="BA35" s="2">
        <v>1</v>
      </c>
      <c r="BB35" s="2">
        <v>1</v>
      </c>
      <c r="BC35" s="2">
        <v>1</v>
      </c>
      <c r="BD35" s="2" t="s">
        <v>30</v>
      </c>
      <c r="BE35" s="2" t="s">
        <v>30</v>
      </c>
      <c r="BF35" s="2" t="s">
        <v>30</v>
      </c>
      <c r="BG35" s="2" t="s">
        <v>30</v>
      </c>
      <c r="BH35" s="2">
        <v>0</v>
      </c>
      <c r="BI35" s="2">
        <v>4</v>
      </c>
      <c r="BJ35" s="2" t="s">
        <v>206</v>
      </c>
      <c r="BM35" s="2">
        <v>1</v>
      </c>
      <c r="BN35" s="2">
        <v>0</v>
      </c>
      <c r="BO35" s="2" t="s">
        <v>30</v>
      </c>
      <c r="BP35" s="2">
        <v>0</v>
      </c>
      <c r="BQ35" s="2">
        <v>1</v>
      </c>
      <c r="BR35" s="2">
        <v>0</v>
      </c>
      <c r="BS35" s="2">
        <v>1</v>
      </c>
      <c r="BT35" s="2">
        <v>1</v>
      </c>
      <c r="BU35" s="2">
        <v>1</v>
      </c>
      <c r="BV35" s="2">
        <v>1</v>
      </c>
      <c r="BW35" s="2">
        <v>1</v>
      </c>
      <c r="BX35" s="2">
        <v>1</v>
      </c>
      <c r="BY35" s="2" t="s">
        <v>30</v>
      </c>
      <c r="BZ35" s="2">
        <v>0</v>
      </c>
      <c r="CA35" s="2">
        <v>0</v>
      </c>
      <c r="CB35" s="2" t="s">
        <v>30</v>
      </c>
      <c r="CE35" s="2">
        <v>0</v>
      </c>
      <c r="CF35" s="2">
        <v>0</v>
      </c>
      <c r="CG35" s="2">
        <v>0</v>
      </c>
      <c r="CM35" s="2">
        <v>0</v>
      </c>
      <c r="CN35" s="2" t="s">
        <v>30</v>
      </c>
      <c r="CO35" s="2">
        <v>0</v>
      </c>
      <c r="CP35" s="2">
        <f t="shared" si="29"/>
        <v>325615.68</v>
      </c>
      <c r="CQ35" s="2">
        <f t="shared" si="30"/>
        <v>0</v>
      </c>
      <c r="CR35" s="2">
        <f>(((((ET35*52))*BB35-((EU35*52))*BS35)+AE35*BS35)*AV35)</f>
        <v>1507.48</v>
      </c>
      <c r="CS35" s="2">
        <f t="shared" si="32"/>
        <v>813.28</v>
      </c>
      <c r="CT35" s="2">
        <f t="shared" si="33"/>
        <v>0</v>
      </c>
      <c r="CU35" s="2">
        <f t="shared" si="34"/>
        <v>0</v>
      </c>
      <c r="CV35" s="2">
        <f t="shared" si="35"/>
        <v>0</v>
      </c>
      <c r="CW35" s="2">
        <f t="shared" si="36"/>
        <v>0</v>
      </c>
      <c r="CX35" s="2">
        <f t="shared" si="36"/>
        <v>0</v>
      </c>
      <c r="CY35" s="2">
        <f t="shared" si="37"/>
        <v>0</v>
      </c>
      <c r="CZ35" s="2">
        <f t="shared" si="38"/>
        <v>0</v>
      </c>
      <c r="DC35" s="2" t="s">
        <v>30</v>
      </c>
      <c r="DD35" s="2" t="s">
        <v>207</v>
      </c>
      <c r="DE35" s="2" t="s">
        <v>207</v>
      </c>
      <c r="DF35" s="2" t="s">
        <v>207</v>
      </c>
      <c r="DG35" s="2" t="s">
        <v>207</v>
      </c>
      <c r="DH35" s="2" t="s">
        <v>30</v>
      </c>
      <c r="DI35" s="2" t="s">
        <v>207</v>
      </c>
      <c r="DJ35" s="2" t="s">
        <v>207</v>
      </c>
      <c r="DK35" s="2" t="s">
        <v>30</v>
      </c>
      <c r="DL35" s="2" t="s">
        <v>30</v>
      </c>
      <c r="DM35" s="2" t="s">
        <v>30</v>
      </c>
      <c r="DN35" s="2">
        <v>0</v>
      </c>
      <c r="DO35" s="2">
        <v>0</v>
      </c>
      <c r="DP35" s="2">
        <v>1</v>
      </c>
      <c r="DQ35" s="2">
        <v>1</v>
      </c>
      <c r="DU35" s="2">
        <v>1009</v>
      </c>
      <c r="DV35" s="2" t="s">
        <v>63</v>
      </c>
      <c r="DW35" s="2" t="s">
        <v>63</v>
      </c>
      <c r="DX35" s="2">
        <v>1000</v>
      </c>
      <c r="DZ35" s="2" t="s">
        <v>30</v>
      </c>
      <c r="EA35" s="2" t="s">
        <v>30</v>
      </c>
      <c r="EB35" s="2" t="s">
        <v>30</v>
      </c>
      <c r="EC35" s="2" t="s">
        <v>30</v>
      </c>
      <c r="EE35" s="2">
        <v>49661956</v>
      </c>
      <c r="EF35" s="2">
        <v>1</v>
      </c>
      <c r="EG35" s="2" t="s">
        <v>180</v>
      </c>
      <c r="EH35" s="2">
        <v>0</v>
      </c>
      <c r="EI35" s="2" t="s">
        <v>30</v>
      </c>
      <c r="EJ35" s="2">
        <v>4</v>
      </c>
      <c r="EK35" s="2">
        <v>1</v>
      </c>
      <c r="EL35" s="2" t="s">
        <v>202</v>
      </c>
      <c r="EM35" s="2" t="s">
        <v>182</v>
      </c>
      <c r="EO35" s="2" t="s">
        <v>30</v>
      </c>
      <c r="EQ35" s="2">
        <v>0</v>
      </c>
      <c r="ER35" s="2">
        <v>28.99</v>
      </c>
      <c r="ES35" s="2">
        <v>0</v>
      </c>
      <c r="ET35" s="2">
        <v>28.99</v>
      </c>
      <c r="EU35" s="2">
        <v>15.64</v>
      </c>
      <c r="EV35" s="2">
        <v>0</v>
      </c>
      <c r="EW35" s="2">
        <v>0</v>
      </c>
      <c r="EX35" s="2">
        <v>0</v>
      </c>
      <c r="EY35" s="2">
        <v>0</v>
      </c>
      <c r="FQ35" s="2">
        <v>0</v>
      </c>
      <c r="FR35" s="2">
        <f t="shared" si="39"/>
        <v>0</v>
      </c>
      <c r="FS35" s="2">
        <v>0</v>
      </c>
      <c r="FX35" s="2">
        <v>0</v>
      </c>
      <c r="FY35" s="2">
        <v>0</v>
      </c>
      <c r="GA35" s="2" t="s">
        <v>30</v>
      </c>
      <c r="GD35" s="2">
        <v>1</v>
      </c>
      <c r="GF35" s="2">
        <v>-1355325295</v>
      </c>
      <c r="GG35" s="2">
        <v>2</v>
      </c>
      <c r="GH35" s="2">
        <v>1</v>
      </c>
      <c r="GI35" s="2">
        <v>-2</v>
      </c>
      <c r="GJ35" s="2">
        <v>0</v>
      </c>
      <c r="GK35" s="2">
        <v>0</v>
      </c>
      <c r="GL35" s="2">
        <f t="shared" si="40"/>
        <v>0</v>
      </c>
      <c r="GM35" s="2">
        <f>ROUND(O35+X35+Y35,2)+GX35</f>
        <v>325615.68</v>
      </c>
      <c r="GN35" s="2">
        <f>IF(OR(BI35=0,BI35=1),ROUND(O35+X35+Y35,2),0)</f>
        <v>0</v>
      </c>
      <c r="GO35" s="2">
        <f>IF(BI35=2,ROUND(O35+X35+Y35,2),0)</f>
        <v>0</v>
      </c>
      <c r="GP35" s="2">
        <f>IF(BI35=4,ROUND(O35+X35+Y35,2)+GX35,0)</f>
        <v>325615.68</v>
      </c>
      <c r="GR35" s="2">
        <v>0</v>
      </c>
      <c r="GS35" s="2">
        <v>3</v>
      </c>
      <c r="GT35" s="2">
        <v>0</v>
      </c>
      <c r="GU35" s="2" t="s">
        <v>30</v>
      </c>
      <c r="GV35" s="2">
        <f t="shared" si="45"/>
        <v>0</v>
      </c>
      <c r="GW35" s="2">
        <v>1</v>
      </c>
      <c r="GX35" s="2">
        <f t="shared" si="46"/>
        <v>0</v>
      </c>
      <c r="HA35" s="2">
        <v>0</v>
      </c>
      <c r="HB35" s="2">
        <v>0</v>
      </c>
      <c r="HC35" s="2">
        <f t="shared" si="47"/>
        <v>0</v>
      </c>
      <c r="HE35" s="2" t="s">
        <v>30</v>
      </c>
      <c r="HF35" s="2" t="s">
        <v>30</v>
      </c>
      <c r="HM35" s="2" t="s">
        <v>30</v>
      </c>
      <c r="HN35" s="2" t="s">
        <v>30</v>
      </c>
      <c r="HO35" s="2" t="s">
        <v>30</v>
      </c>
      <c r="HP35" s="2" t="s">
        <v>30</v>
      </c>
      <c r="HQ35" s="2" t="s">
        <v>30</v>
      </c>
      <c r="IK35" s="2">
        <v>0</v>
      </c>
    </row>
    <row r="36" spans="1:245" x14ac:dyDescent="0.25">
      <c r="A36" s="2">
        <v>17</v>
      </c>
      <c r="B36" s="2">
        <v>1</v>
      </c>
      <c r="C36" s="2">
        <f>ROW('SmtRes (3)'!A32)</f>
        <v>32</v>
      </c>
      <c r="D36" s="2">
        <f>ROW('EtalonRes (3)'!A30)</f>
        <v>30</v>
      </c>
      <c r="E36" s="2" t="s">
        <v>208</v>
      </c>
      <c r="F36" s="2" t="s">
        <v>209</v>
      </c>
      <c r="G36" s="2" t="s">
        <v>210</v>
      </c>
      <c r="H36" s="2" t="s">
        <v>60</v>
      </c>
      <c r="I36" s="2">
        <f>ROUND(1800/100,9)</f>
        <v>18</v>
      </c>
      <c r="J36" s="2">
        <v>0</v>
      </c>
      <c r="K36" s="2">
        <f>ROUND(1800/100,9)</f>
        <v>18</v>
      </c>
      <c r="O36" s="2">
        <f t="shared" si="12"/>
        <v>483670.98</v>
      </c>
      <c r="P36" s="2">
        <f t="shared" si="13"/>
        <v>417299.76</v>
      </c>
      <c r="Q36" s="2">
        <f t="shared" si="14"/>
        <v>21862.26</v>
      </c>
      <c r="R36" s="2">
        <f t="shared" si="15"/>
        <v>8915.4</v>
      </c>
      <c r="S36" s="2">
        <f t="shared" si="16"/>
        <v>44508.959999999999</v>
      </c>
      <c r="T36" s="2">
        <f t="shared" si="17"/>
        <v>0</v>
      </c>
      <c r="U36" s="2">
        <f t="shared" si="18"/>
        <v>185.4</v>
      </c>
      <c r="V36" s="2">
        <f t="shared" si="19"/>
        <v>0</v>
      </c>
      <c r="W36" s="2">
        <f t="shared" si="20"/>
        <v>0</v>
      </c>
      <c r="X36" s="2">
        <f t="shared" si="21"/>
        <v>31156.27</v>
      </c>
      <c r="Y36" s="2">
        <f t="shared" si="21"/>
        <v>4450.8999999999996</v>
      </c>
      <c r="AA36" s="2">
        <v>52286166</v>
      </c>
      <c r="AB36" s="2">
        <f t="shared" si="22"/>
        <v>26870.61</v>
      </c>
      <c r="AC36" s="2">
        <f>ROUND((ES36),6)</f>
        <v>23183.32</v>
      </c>
      <c r="AD36" s="2">
        <f>ROUND((((ET36)-(EU36))+AE36),6)</f>
        <v>1214.57</v>
      </c>
      <c r="AE36" s="2">
        <f t="shared" ref="AE36:AF38" si="48">ROUND((EU36),6)</f>
        <v>495.3</v>
      </c>
      <c r="AF36" s="2">
        <f t="shared" si="48"/>
        <v>2472.7199999999998</v>
      </c>
      <c r="AG36" s="2">
        <f t="shared" si="26"/>
        <v>0</v>
      </c>
      <c r="AH36" s="2">
        <f t="shared" ref="AH36:AI38" si="49">(EW36)</f>
        <v>10.3</v>
      </c>
      <c r="AI36" s="2">
        <f t="shared" si="49"/>
        <v>0</v>
      </c>
      <c r="AJ36" s="2">
        <f t="shared" si="28"/>
        <v>0</v>
      </c>
      <c r="AK36" s="2">
        <v>26870.61</v>
      </c>
      <c r="AL36" s="2">
        <v>23183.32</v>
      </c>
      <c r="AM36" s="2">
        <v>1214.57</v>
      </c>
      <c r="AN36" s="2">
        <v>495.3</v>
      </c>
      <c r="AO36" s="2">
        <v>2472.7199999999998</v>
      </c>
      <c r="AP36" s="2">
        <v>0</v>
      </c>
      <c r="AQ36" s="2">
        <v>10.3</v>
      </c>
      <c r="AR36" s="2">
        <v>0</v>
      </c>
      <c r="AS36" s="2">
        <v>0</v>
      </c>
      <c r="AT36" s="2">
        <v>70</v>
      </c>
      <c r="AU36" s="2">
        <v>10</v>
      </c>
      <c r="AV36" s="2">
        <v>1</v>
      </c>
      <c r="AW36" s="2">
        <v>1</v>
      </c>
      <c r="AZ36" s="2">
        <v>1</v>
      </c>
      <c r="BA36" s="2">
        <v>1</v>
      </c>
      <c r="BB36" s="2">
        <v>1</v>
      </c>
      <c r="BC36" s="2">
        <v>1</v>
      </c>
      <c r="BD36" s="2" t="s">
        <v>30</v>
      </c>
      <c r="BE36" s="2" t="s">
        <v>30</v>
      </c>
      <c r="BF36" s="2" t="s">
        <v>30</v>
      </c>
      <c r="BG36" s="2" t="s">
        <v>30</v>
      </c>
      <c r="BH36" s="2">
        <v>0</v>
      </c>
      <c r="BI36" s="2">
        <v>4</v>
      </c>
      <c r="BJ36" s="2" t="s">
        <v>211</v>
      </c>
      <c r="BM36" s="2">
        <v>0</v>
      </c>
      <c r="BN36" s="2">
        <v>0</v>
      </c>
      <c r="BO36" s="2" t="s">
        <v>30</v>
      </c>
      <c r="BP36" s="2">
        <v>0</v>
      </c>
      <c r="BQ36" s="2">
        <v>1</v>
      </c>
      <c r="BR36" s="2">
        <v>0</v>
      </c>
      <c r="BS36" s="2">
        <v>1</v>
      </c>
      <c r="BT36" s="2">
        <v>1</v>
      </c>
      <c r="BU36" s="2">
        <v>1</v>
      </c>
      <c r="BV36" s="2">
        <v>1</v>
      </c>
      <c r="BW36" s="2">
        <v>1</v>
      </c>
      <c r="BX36" s="2">
        <v>1</v>
      </c>
      <c r="BY36" s="2" t="s">
        <v>30</v>
      </c>
      <c r="BZ36" s="2">
        <v>70</v>
      </c>
      <c r="CA36" s="2">
        <v>10</v>
      </c>
      <c r="CB36" s="2" t="s">
        <v>30</v>
      </c>
      <c r="CE36" s="2">
        <v>0</v>
      </c>
      <c r="CF36" s="2">
        <v>0</v>
      </c>
      <c r="CG36" s="2">
        <v>0</v>
      </c>
      <c r="CM36" s="2">
        <v>0</v>
      </c>
      <c r="CN36" s="2" t="s">
        <v>30</v>
      </c>
      <c r="CO36" s="2">
        <v>0</v>
      </c>
      <c r="CP36" s="2">
        <f t="shared" si="29"/>
        <v>483670.98</v>
      </c>
      <c r="CQ36" s="2">
        <f t="shared" si="30"/>
        <v>23183.32</v>
      </c>
      <c r="CR36" s="2">
        <f>((((ET36)*BB36-(EU36)*BS36)+AE36*BS36)*AV36)</f>
        <v>1214.57</v>
      </c>
      <c r="CS36" s="2">
        <f t="shared" si="32"/>
        <v>495.3</v>
      </c>
      <c r="CT36" s="2">
        <f t="shared" si="33"/>
        <v>2472.7199999999998</v>
      </c>
      <c r="CU36" s="2">
        <f t="shared" si="34"/>
        <v>0</v>
      </c>
      <c r="CV36" s="2">
        <f t="shared" si="35"/>
        <v>10.3</v>
      </c>
      <c r="CW36" s="2">
        <f t="shared" si="36"/>
        <v>0</v>
      </c>
      <c r="CX36" s="2">
        <f t="shared" si="36"/>
        <v>0</v>
      </c>
      <c r="CY36" s="2">
        <f t="shared" si="37"/>
        <v>31156.272000000001</v>
      </c>
      <c r="CZ36" s="2">
        <f t="shared" si="38"/>
        <v>4450.8959999999997</v>
      </c>
      <c r="DC36" s="2" t="s">
        <v>30</v>
      </c>
      <c r="DD36" s="2" t="s">
        <v>30</v>
      </c>
      <c r="DE36" s="2" t="s">
        <v>30</v>
      </c>
      <c r="DF36" s="2" t="s">
        <v>30</v>
      </c>
      <c r="DG36" s="2" t="s">
        <v>30</v>
      </c>
      <c r="DH36" s="2" t="s">
        <v>30</v>
      </c>
      <c r="DI36" s="2" t="s">
        <v>30</v>
      </c>
      <c r="DJ36" s="2" t="s">
        <v>30</v>
      </c>
      <c r="DK36" s="2" t="s">
        <v>30</v>
      </c>
      <c r="DL36" s="2" t="s">
        <v>30</v>
      </c>
      <c r="DM36" s="2" t="s">
        <v>30</v>
      </c>
      <c r="DN36" s="2">
        <v>0</v>
      </c>
      <c r="DO36" s="2">
        <v>0</v>
      </c>
      <c r="DP36" s="2">
        <v>1</v>
      </c>
      <c r="DQ36" s="2">
        <v>1</v>
      </c>
      <c r="DU36" s="2">
        <v>1005</v>
      </c>
      <c r="DV36" s="2" t="s">
        <v>60</v>
      </c>
      <c r="DW36" s="2" t="s">
        <v>60</v>
      </c>
      <c r="DX36" s="2">
        <v>100</v>
      </c>
      <c r="DZ36" s="2" t="s">
        <v>30</v>
      </c>
      <c r="EA36" s="2" t="s">
        <v>30</v>
      </c>
      <c r="EB36" s="2" t="s">
        <v>30</v>
      </c>
      <c r="EC36" s="2" t="s">
        <v>30</v>
      </c>
      <c r="EE36" s="2">
        <v>49661954</v>
      </c>
      <c r="EF36" s="2">
        <v>1</v>
      </c>
      <c r="EG36" s="2" t="s">
        <v>180</v>
      </c>
      <c r="EH36" s="2">
        <v>0</v>
      </c>
      <c r="EI36" s="2" t="s">
        <v>30</v>
      </c>
      <c r="EJ36" s="2">
        <v>4</v>
      </c>
      <c r="EK36" s="2">
        <v>0</v>
      </c>
      <c r="EL36" s="2" t="s">
        <v>181</v>
      </c>
      <c r="EM36" s="2" t="s">
        <v>182</v>
      </c>
      <c r="EO36" s="2" t="s">
        <v>30</v>
      </c>
      <c r="EQ36" s="2">
        <v>0</v>
      </c>
      <c r="ER36" s="2">
        <v>26870.61</v>
      </c>
      <c r="ES36" s="2">
        <v>23183.32</v>
      </c>
      <c r="ET36" s="2">
        <v>1214.57</v>
      </c>
      <c r="EU36" s="2">
        <v>495.3</v>
      </c>
      <c r="EV36" s="2">
        <v>2472.7199999999998</v>
      </c>
      <c r="EW36" s="2">
        <v>10.3</v>
      </c>
      <c r="EX36" s="2">
        <v>0</v>
      </c>
      <c r="EY36" s="2">
        <v>0</v>
      </c>
      <c r="FQ36" s="2">
        <v>0</v>
      </c>
      <c r="FR36" s="2">
        <f t="shared" si="39"/>
        <v>0</v>
      </c>
      <c r="FS36" s="2">
        <v>0</v>
      </c>
      <c r="FX36" s="2">
        <v>70</v>
      </c>
      <c r="FY36" s="2">
        <v>10</v>
      </c>
      <c r="GA36" s="2" t="s">
        <v>30</v>
      </c>
      <c r="GD36" s="2">
        <v>0</v>
      </c>
      <c r="GF36" s="2">
        <v>-292534151</v>
      </c>
      <c r="GG36" s="2">
        <v>2</v>
      </c>
      <c r="GH36" s="2">
        <v>1</v>
      </c>
      <c r="GI36" s="2">
        <v>-2</v>
      </c>
      <c r="GJ36" s="2">
        <v>0</v>
      </c>
      <c r="GK36" s="2">
        <f>ROUND(R36*(R12)/100,2)</f>
        <v>9628.6299999999992</v>
      </c>
      <c r="GL36" s="2">
        <f t="shared" si="40"/>
        <v>0</v>
      </c>
      <c r="GM36" s="2">
        <f>ROUND(O36+X36+Y36+GK36,2)+GX36</f>
        <v>528906.78</v>
      </c>
      <c r="GN36" s="2">
        <f>IF(OR(BI36=0,BI36=1),ROUND(O36+X36+Y36+GK36,2),0)</f>
        <v>0</v>
      </c>
      <c r="GO36" s="2">
        <f>IF(BI36=2,ROUND(O36+X36+Y36+GK36,2),0)</f>
        <v>0</v>
      </c>
      <c r="GP36" s="2">
        <f>IF(BI36=4,ROUND(O36+X36+Y36+GK36,2)+GX36,0)</f>
        <v>528906.78</v>
      </c>
      <c r="GR36" s="2">
        <v>0</v>
      </c>
      <c r="GS36" s="2">
        <v>3</v>
      </c>
      <c r="GT36" s="2">
        <v>0</v>
      </c>
      <c r="GU36" s="2" t="s">
        <v>30</v>
      </c>
      <c r="GV36" s="2">
        <f t="shared" si="45"/>
        <v>0</v>
      </c>
      <c r="GW36" s="2">
        <v>1</v>
      </c>
      <c r="GX36" s="2">
        <f t="shared" si="46"/>
        <v>0</v>
      </c>
      <c r="HA36" s="2">
        <v>0</v>
      </c>
      <c r="HB36" s="2">
        <v>0</v>
      </c>
      <c r="HC36" s="2">
        <f t="shared" si="47"/>
        <v>0</v>
      </c>
      <c r="HE36" s="2" t="s">
        <v>30</v>
      </c>
      <c r="HF36" s="2" t="s">
        <v>30</v>
      </c>
      <c r="HM36" s="2" t="s">
        <v>30</v>
      </c>
      <c r="HN36" s="2" t="s">
        <v>30</v>
      </c>
      <c r="HO36" s="2" t="s">
        <v>30</v>
      </c>
      <c r="HP36" s="2" t="s">
        <v>30</v>
      </c>
      <c r="HQ36" s="2" t="s">
        <v>30</v>
      </c>
      <c r="IK36" s="2">
        <v>0</v>
      </c>
    </row>
    <row r="37" spans="1:245" x14ac:dyDescent="0.25">
      <c r="A37" s="2">
        <v>18</v>
      </c>
      <c r="B37" s="2">
        <v>1</v>
      </c>
      <c r="C37" s="2">
        <v>31</v>
      </c>
      <c r="E37" s="2" t="s">
        <v>33</v>
      </c>
      <c r="F37" s="2" t="s">
        <v>160</v>
      </c>
      <c r="G37" s="2" t="s">
        <v>212</v>
      </c>
      <c r="H37" s="2" t="s">
        <v>63</v>
      </c>
      <c r="I37" s="2">
        <f>I36*J37</f>
        <v>-128.52000000000001</v>
      </c>
      <c r="J37" s="2">
        <v>-7.14</v>
      </c>
      <c r="K37" s="2">
        <v>-7.14</v>
      </c>
      <c r="O37" s="2">
        <f t="shared" si="12"/>
        <v>-379678.92</v>
      </c>
      <c r="P37" s="2">
        <f t="shared" si="13"/>
        <v>-379678.92</v>
      </c>
      <c r="Q37" s="2">
        <f t="shared" si="14"/>
        <v>0</v>
      </c>
      <c r="R37" s="2">
        <f t="shared" si="15"/>
        <v>0</v>
      </c>
      <c r="S37" s="2">
        <f t="shared" si="16"/>
        <v>0</v>
      </c>
      <c r="T37" s="2">
        <f t="shared" si="17"/>
        <v>0</v>
      </c>
      <c r="U37" s="2">
        <f t="shared" si="18"/>
        <v>0</v>
      </c>
      <c r="V37" s="2">
        <f t="shared" si="19"/>
        <v>0</v>
      </c>
      <c r="W37" s="2">
        <f t="shared" si="20"/>
        <v>0</v>
      </c>
      <c r="X37" s="2">
        <f t="shared" si="21"/>
        <v>0</v>
      </c>
      <c r="Y37" s="2">
        <f t="shared" si="21"/>
        <v>0</v>
      </c>
      <c r="AA37" s="2">
        <v>52286166</v>
      </c>
      <c r="AB37" s="2">
        <f t="shared" si="22"/>
        <v>2954.24</v>
      </c>
      <c r="AC37" s="2">
        <f>ROUND((ES37),6)</f>
        <v>2954.24</v>
      </c>
      <c r="AD37" s="2">
        <f>ROUND((((ET37)-(EU37))+AE37),6)</f>
        <v>0</v>
      </c>
      <c r="AE37" s="2">
        <f t="shared" si="48"/>
        <v>0</v>
      </c>
      <c r="AF37" s="2">
        <f t="shared" si="48"/>
        <v>0</v>
      </c>
      <c r="AG37" s="2">
        <f t="shared" si="26"/>
        <v>0</v>
      </c>
      <c r="AH37" s="2">
        <f t="shared" si="49"/>
        <v>0</v>
      </c>
      <c r="AI37" s="2">
        <f t="shared" si="49"/>
        <v>0</v>
      </c>
      <c r="AJ37" s="2">
        <f t="shared" si="28"/>
        <v>0</v>
      </c>
      <c r="AK37" s="2">
        <v>2954.24</v>
      </c>
      <c r="AL37" s="2">
        <v>2954.24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70</v>
      </c>
      <c r="AU37" s="2">
        <v>10</v>
      </c>
      <c r="AV37" s="2">
        <v>1</v>
      </c>
      <c r="AW37" s="2">
        <v>1</v>
      </c>
      <c r="AZ37" s="2">
        <v>1</v>
      </c>
      <c r="BA37" s="2">
        <v>1</v>
      </c>
      <c r="BB37" s="2">
        <v>1</v>
      </c>
      <c r="BC37" s="2">
        <v>1</v>
      </c>
      <c r="BD37" s="2" t="s">
        <v>30</v>
      </c>
      <c r="BE37" s="2" t="s">
        <v>30</v>
      </c>
      <c r="BF37" s="2" t="s">
        <v>30</v>
      </c>
      <c r="BG37" s="2" t="s">
        <v>30</v>
      </c>
      <c r="BH37" s="2">
        <v>3</v>
      </c>
      <c r="BI37" s="2">
        <v>4</v>
      </c>
      <c r="BJ37" s="2" t="s">
        <v>213</v>
      </c>
      <c r="BM37" s="2">
        <v>0</v>
      </c>
      <c r="BN37" s="2">
        <v>0</v>
      </c>
      <c r="BO37" s="2" t="s">
        <v>30</v>
      </c>
      <c r="BP37" s="2">
        <v>0</v>
      </c>
      <c r="BQ37" s="2">
        <v>1</v>
      </c>
      <c r="BR37" s="2">
        <v>1</v>
      </c>
      <c r="BS37" s="2">
        <v>1</v>
      </c>
      <c r="BT37" s="2">
        <v>1</v>
      </c>
      <c r="BU37" s="2">
        <v>1</v>
      </c>
      <c r="BV37" s="2">
        <v>1</v>
      </c>
      <c r="BW37" s="2">
        <v>1</v>
      </c>
      <c r="BX37" s="2">
        <v>1</v>
      </c>
      <c r="BY37" s="2" t="s">
        <v>30</v>
      </c>
      <c r="BZ37" s="2">
        <v>70</v>
      </c>
      <c r="CA37" s="2">
        <v>10</v>
      </c>
      <c r="CB37" s="2" t="s">
        <v>30</v>
      </c>
      <c r="CE37" s="2">
        <v>0</v>
      </c>
      <c r="CF37" s="2">
        <v>0</v>
      </c>
      <c r="CG37" s="2">
        <v>0</v>
      </c>
      <c r="CM37" s="2">
        <v>0</v>
      </c>
      <c r="CN37" s="2" t="s">
        <v>30</v>
      </c>
      <c r="CO37" s="2">
        <v>0</v>
      </c>
      <c r="CP37" s="2">
        <f t="shared" si="29"/>
        <v>-379678.92</v>
      </c>
      <c r="CQ37" s="2">
        <f t="shared" si="30"/>
        <v>2954.24</v>
      </c>
      <c r="CR37" s="2">
        <f>((((ET37)*BB37-(EU37)*BS37)+AE37*BS37)*AV37)</f>
        <v>0</v>
      </c>
      <c r="CS37" s="2">
        <f t="shared" si="32"/>
        <v>0</v>
      </c>
      <c r="CT37" s="2">
        <f t="shared" si="33"/>
        <v>0</v>
      </c>
      <c r="CU37" s="2">
        <f t="shared" si="34"/>
        <v>0</v>
      </c>
      <c r="CV37" s="2">
        <f t="shared" si="35"/>
        <v>0</v>
      </c>
      <c r="CW37" s="2">
        <f t="shared" si="36"/>
        <v>0</v>
      </c>
      <c r="CX37" s="2">
        <f t="shared" si="36"/>
        <v>0</v>
      </c>
      <c r="CY37" s="2">
        <f t="shared" si="37"/>
        <v>0</v>
      </c>
      <c r="CZ37" s="2">
        <f t="shared" si="38"/>
        <v>0</v>
      </c>
      <c r="DC37" s="2" t="s">
        <v>30</v>
      </c>
      <c r="DD37" s="2" t="s">
        <v>30</v>
      </c>
      <c r="DE37" s="2" t="s">
        <v>30</v>
      </c>
      <c r="DF37" s="2" t="s">
        <v>30</v>
      </c>
      <c r="DG37" s="2" t="s">
        <v>30</v>
      </c>
      <c r="DH37" s="2" t="s">
        <v>30</v>
      </c>
      <c r="DI37" s="2" t="s">
        <v>30</v>
      </c>
      <c r="DJ37" s="2" t="s">
        <v>30</v>
      </c>
      <c r="DK37" s="2" t="s">
        <v>30</v>
      </c>
      <c r="DL37" s="2" t="s">
        <v>30</v>
      </c>
      <c r="DM37" s="2" t="s">
        <v>30</v>
      </c>
      <c r="DN37" s="2">
        <v>0</v>
      </c>
      <c r="DO37" s="2">
        <v>0</v>
      </c>
      <c r="DP37" s="2">
        <v>1</v>
      </c>
      <c r="DQ37" s="2">
        <v>1</v>
      </c>
      <c r="DU37" s="2">
        <v>1009</v>
      </c>
      <c r="DV37" s="2" t="s">
        <v>63</v>
      </c>
      <c r="DW37" s="2" t="s">
        <v>63</v>
      </c>
      <c r="DX37" s="2">
        <v>1000</v>
      </c>
      <c r="DZ37" s="2" t="s">
        <v>30</v>
      </c>
      <c r="EA37" s="2" t="s">
        <v>30</v>
      </c>
      <c r="EB37" s="2" t="s">
        <v>30</v>
      </c>
      <c r="EC37" s="2" t="s">
        <v>30</v>
      </c>
      <c r="EE37" s="2">
        <v>49661954</v>
      </c>
      <c r="EF37" s="2">
        <v>1</v>
      </c>
      <c r="EG37" s="2" t="s">
        <v>180</v>
      </c>
      <c r="EH37" s="2">
        <v>0</v>
      </c>
      <c r="EI37" s="2" t="s">
        <v>30</v>
      </c>
      <c r="EJ37" s="2">
        <v>4</v>
      </c>
      <c r="EK37" s="2">
        <v>0</v>
      </c>
      <c r="EL37" s="2" t="s">
        <v>181</v>
      </c>
      <c r="EM37" s="2" t="s">
        <v>182</v>
      </c>
      <c r="EO37" s="2" t="s">
        <v>30</v>
      </c>
      <c r="EQ37" s="2">
        <v>0</v>
      </c>
      <c r="ER37" s="2">
        <v>2954.24</v>
      </c>
      <c r="ES37" s="2">
        <v>2954.24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FQ37" s="2">
        <v>0</v>
      </c>
      <c r="FR37" s="2">
        <f t="shared" si="39"/>
        <v>0</v>
      </c>
      <c r="FS37" s="2">
        <v>0</v>
      </c>
      <c r="FX37" s="2">
        <v>70</v>
      </c>
      <c r="FY37" s="2">
        <v>10</v>
      </c>
      <c r="GA37" s="2" t="s">
        <v>30</v>
      </c>
      <c r="GD37" s="2">
        <v>0</v>
      </c>
      <c r="GF37" s="2">
        <v>-58237108</v>
      </c>
      <c r="GG37" s="2">
        <v>2</v>
      </c>
      <c r="GH37" s="2">
        <v>1</v>
      </c>
      <c r="GI37" s="2">
        <v>-2</v>
      </c>
      <c r="GJ37" s="2">
        <v>0</v>
      </c>
      <c r="GK37" s="2">
        <f>ROUND(R37*(R12)/100,2)</f>
        <v>0</v>
      </c>
      <c r="GL37" s="2">
        <f t="shared" si="40"/>
        <v>0</v>
      </c>
      <c r="GM37" s="2">
        <f>ROUND(O37+X37+Y37+GK37,2)+GX37</f>
        <v>-379678.92</v>
      </c>
      <c r="GN37" s="2">
        <f>IF(OR(BI37=0,BI37=1),ROUND(O37+X37+Y37+GK37,2),0)</f>
        <v>0</v>
      </c>
      <c r="GO37" s="2">
        <f>IF(BI37=2,ROUND(O37+X37+Y37+GK37,2),0)</f>
        <v>0</v>
      </c>
      <c r="GP37" s="2">
        <f>IF(BI37=4,ROUND(O37+X37+Y37+GK37,2)+GX37,0)</f>
        <v>-379678.92</v>
      </c>
      <c r="GR37" s="2">
        <v>0</v>
      </c>
      <c r="GS37" s="2">
        <v>3</v>
      </c>
      <c r="GT37" s="2">
        <v>0</v>
      </c>
      <c r="GU37" s="2" t="s">
        <v>30</v>
      </c>
      <c r="GV37" s="2">
        <f t="shared" si="45"/>
        <v>0</v>
      </c>
      <c r="GW37" s="2">
        <v>1</v>
      </c>
      <c r="GX37" s="2">
        <f t="shared" si="46"/>
        <v>0</v>
      </c>
      <c r="HA37" s="2">
        <v>0</v>
      </c>
      <c r="HB37" s="2">
        <v>0</v>
      </c>
      <c r="HC37" s="2">
        <f t="shared" si="47"/>
        <v>0</v>
      </c>
      <c r="HE37" s="2" t="s">
        <v>30</v>
      </c>
      <c r="HF37" s="2" t="s">
        <v>30</v>
      </c>
      <c r="HM37" s="2" t="s">
        <v>30</v>
      </c>
      <c r="HN37" s="2" t="s">
        <v>30</v>
      </c>
      <c r="HO37" s="2" t="s">
        <v>30</v>
      </c>
      <c r="HP37" s="2" t="s">
        <v>30</v>
      </c>
      <c r="HQ37" s="2" t="s">
        <v>30</v>
      </c>
      <c r="IK37" s="2">
        <v>0</v>
      </c>
    </row>
    <row r="38" spans="1:245" x14ac:dyDescent="0.25">
      <c r="A38" s="2">
        <v>18</v>
      </c>
      <c r="B38" s="2">
        <v>1</v>
      </c>
      <c r="C38" s="2">
        <v>32</v>
      </c>
      <c r="E38" s="2" t="s">
        <v>34</v>
      </c>
      <c r="F38" s="2" t="s">
        <v>160</v>
      </c>
      <c r="G38" s="2" t="s">
        <v>161</v>
      </c>
      <c r="H38" s="2" t="s">
        <v>63</v>
      </c>
      <c r="I38" s="2">
        <f>I36*J38</f>
        <v>210.06</v>
      </c>
      <c r="J38" s="2">
        <v>11.67</v>
      </c>
      <c r="K38" s="2">
        <v>11.67</v>
      </c>
      <c r="O38" s="2">
        <f t="shared" si="12"/>
        <v>620567.65</v>
      </c>
      <c r="P38" s="2">
        <f t="shared" si="13"/>
        <v>620567.65</v>
      </c>
      <c r="Q38" s="2">
        <f t="shared" si="14"/>
        <v>0</v>
      </c>
      <c r="R38" s="2">
        <f t="shared" si="15"/>
        <v>0</v>
      </c>
      <c r="S38" s="2">
        <f t="shared" si="16"/>
        <v>0</v>
      </c>
      <c r="T38" s="2">
        <f t="shared" si="17"/>
        <v>0</v>
      </c>
      <c r="U38" s="2">
        <f t="shared" si="18"/>
        <v>0</v>
      </c>
      <c r="V38" s="2">
        <f t="shared" si="19"/>
        <v>0</v>
      </c>
      <c r="W38" s="2">
        <f t="shared" si="20"/>
        <v>0</v>
      </c>
      <c r="X38" s="2">
        <f t="shared" si="21"/>
        <v>0</v>
      </c>
      <c r="Y38" s="2">
        <f t="shared" si="21"/>
        <v>0</v>
      </c>
      <c r="AA38" s="2">
        <v>52286166</v>
      </c>
      <c r="AB38" s="2">
        <f t="shared" si="22"/>
        <v>2954.24</v>
      </c>
      <c r="AC38" s="2">
        <f>ROUND((ES38),6)</f>
        <v>2954.24</v>
      </c>
      <c r="AD38" s="2">
        <f>ROUND((((ET38)-(EU38))+AE38),6)</f>
        <v>0</v>
      </c>
      <c r="AE38" s="2">
        <f t="shared" si="48"/>
        <v>0</v>
      </c>
      <c r="AF38" s="2">
        <f t="shared" si="48"/>
        <v>0</v>
      </c>
      <c r="AG38" s="2">
        <f t="shared" si="26"/>
        <v>0</v>
      </c>
      <c r="AH38" s="2">
        <f t="shared" si="49"/>
        <v>0</v>
      </c>
      <c r="AI38" s="2">
        <f t="shared" si="49"/>
        <v>0</v>
      </c>
      <c r="AJ38" s="2">
        <f t="shared" si="28"/>
        <v>0</v>
      </c>
      <c r="AK38" s="2">
        <v>2954.24</v>
      </c>
      <c r="AL38" s="2">
        <v>2954.24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70</v>
      </c>
      <c r="AU38" s="2">
        <v>10</v>
      </c>
      <c r="AV38" s="2">
        <v>1</v>
      </c>
      <c r="AW38" s="2">
        <v>1</v>
      </c>
      <c r="AZ38" s="2">
        <v>1</v>
      </c>
      <c r="BA38" s="2">
        <v>1</v>
      </c>
      <c r="BB38" s="2">
        <v>1</v>
      </c>
      <c r="BC38" s="2">
        <v>1</v>
      </c>
      <c r="BD38" s="2" t="s">
        <v>30</v>
      </c>
      <c r="BE38" s="2" t="s">
        <v>30</v>
      </c>
      <c r="BF38" s="2" t="s">
        <v>30</v>
      </c>
      <c r="BG38" s="2" t="s">
        <v>30</v>
      </c>
      <c r="BH38" s="2">
        <v>3</v>
      </c>
      <c r="BI38" s="2">
        <v>4</v>
      </c>
      <c r="BJ38" s="2" t="s">
        <v>213</v>
      </c>
      <c r="BM38" s="2">
        <v>0</v>
      </c>
      <c r="BN38" s="2">
        <v>0</v>
      </c>
      <c r="BO38" s="2" t="s">
        <v>30</v>
      </c>
      <c r="BP38" s="2">
        <v>0</v>
      </c>
      <c r="BQ38" s="2">
        <v>1</v>
      </c>
      <c r="BR38" s="2">
        <v>1</v>
      </c>
      <c r="BS38" s="2">
        <v>1</v>
      </c>
      <c r="BT38" s="2">
        <v>1</v>
      </c>
      <c r="BU38" s="2">
        <v>1</v>
      </c>
      <c r="BV38" s="2">
        <v>1</v>
      </c>
      <c r="BW38" s="2">
        <v>1</v>
      </c>
      <c r="BX38" s="2">
        <v>1</v>
      </c>
      <c r="BY38" s="2" t="s">
        <v>30</v>
      </c>
      <c r="BZ38" s="2">
        <v>70</v>
      </c>
      <c r="CA38" s="2">
        <v>10</v>
      </c>
      <c r="CB38" s="2" t="s">
        <v>30</v>
      </c>
      <c r="CE38" s="2">
        <v>0</v>
      </c>
      <c r="CF38" s="2">
        <v>0</v>
      </c>
      <c r="CG38" s="2">
        <v>0</v>
      </c>
      <c r="CM38" s="2">
        <v>0</v>
      </c>
      <c r="CN38" s="2" t="s">
        <v>30</v>
      </c>
      <c r="CO38" s="2">
        <v>0</v>
      </c>
      <c r="CP38" s="2">
        <f t="shared" si="29"/>
        <v>620567.65</v>
      </c>
      <c r="CQ38" s="2">
        <f t="shared" si="30"/>
        <v>2954.24</v>
      </c>
      <c r="CR38" s="2">
        <f>((((ET38)*BB38-(EU38)*BS38)+AE38*BS38)*AV38)</f>
        <v>0</v>
      </c>
      <c r="CS38" s="2">
        <f t="shared" si="32"/>
        <v>0</v>
      </c>
      <c r="CT38" s="2">
        <f t="shared" si="33"/>
        <v>0</v>
      </c>
      <c r="CU38" s="2">
        <f t="shared" si="34"/>
        <v>0</v>
      </c>
      <c r="CV38" s="2">
        <f t="shared" si="35"/>
        <v>0</v>
      </c>
      <c r="CW38" s="2">
        <f t="shared" si="36"/>
        <v>0</v>
      </c>
      <c r="CX38" s="2">
        <f t="shared" si="36"/>
        <v>0</v>
      </c>
      <c r="CY38" s="2">
        <f t="shared" si="37"/>
        <v>0</v>
      </c>
      <c r="CZ38" s="2">
        <f t="shared" si="38"/>
        <v>0</v>
      </c>
      <c r="DC38" s="2" t="s">
        <v>30</v>
      </c>
      <c r="DD38" s="2" t="s">
        <v>30</v>
      </c>
      <c r="DE38" s="2" t="s">
        <v>30</v>
      </c>
      <c r="DF38" s="2" t="s">
        <v>30</v>
      </c>
      <c r="DG38" s="2" t="s">
        <v>30</v>
      </c>
      <c r="DH38" s="2" t="s">
        <v>30</v>
      </c>
      <c r="DI38" s="2" t="s">
        <v>30</v>
      </c>
      <c r="DJ38" s="2" t="s">
        <v>30</v>
      </c>
      <c r="DK38" s="2" t="s">
        <v>30</v>
      </c>
      <c r="DL38" s="2" t="s">
        <v>30</v>
      </c>
      <c r="DM38" s="2" t="s">
        <v>30</v>
      </c>
      <c r="DN38" s="2">
        <v>0</v>
      </c>
      <c r="DO38" s="2">
        <v>0</v>
      </c>
      <c r="DP38" s="2">
        <v>1</v>
      </c>
      <c r="DQ38" s="2">
        <v>1</v>
      </c>
      <c r="DU38" s="2">
        <v>1009</v>
      </c>
      <c r="DV38" s="2" t="s">
        <v>63</v>
      </c>
      <c r="DW38" s="2" t="s">
        <v>63</v>
      </c>
      <c r="DX38" s="2">
        <v>1000</v>
      </c>
      <c r="DZ38" s="2" t="s">
        <v>30</v>
      </c>
      <c r="EA38" s="2" t="s">
        <v>30</v>
      </c>
      <c r="EB38" s="2" t="s">
        <v>30</v>
      </c>
      <c r="EC38" s="2" t="s">
        <v>30</v>
      </c>
      <c r="EE38" s="2">
        <v>49661954</v>
      </c>
      <c r="EF38" s="2">
        <v>1</v>
      </c>
      <c r="EG38" s="2" t="s">
        <v>180</v>
      </c>
      <c r="EH38" s="2">
        <v>0</v>
      </c>
      <c r="EI38" s="2" t="s">
        <v>30</v>
      </c>
      <c r="EJ38" s="2">
        <v>4</v>
      </c>
      <c r="EK38" s="2">
        <v>0</v>
      </c>
      <c r="EL38" s="2" t="s">
        <v>181</v>
      </c>
      <c r="EM38" s="2" t="s">
        <v>182</v>
      </c>
      <c r="EO38" s="2" t="s">
        <v>30</v>
      </c>
      <c r="EQ38" s="2">
        <v>32768</v>
      </c>
      <c r="ER38" s="2">
        <v>2954.24</v>
      </c>
      <c r="ES38" s="2">
        <v>2954.24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FQ38" s="2">
        <v>0</v>
      </c>
      <c r="FR38" s="2">
        <f t="shared" si="39"/>
        <v>0</v>
      </c>
      <c r="FS38" s="2">
        <v>0</v>
      </c>
      <c r="FX38" s="2">
        <v>70</v>
      </c>
      <c r="FY38" s="2">
        <v>10</v>
      </c>
      <c r="GA38" s="2" t="s">
        <v>30</v>
      </c>
      <c r="GD38" s="2">
        <v>0</v>
      </c>
      <c r="GF38" s="2">
        <v>946953562</v>
      </c>
      <c r="GG38" s="2">
        <v>2</v>
      </c>
      <c r="GH38" s="2">
        <v>1</v>
      </c>
      <c r="GI38" s="2">
        <v>-2</v>
      </c>
      <c r="GJ38" s="2">
        <v>0</v>
      </c>
      <c r="GK38" s="2">
        <f>ROUND(R38*(R12)/100,2)</f>
        <v>0</v>
      </c>
      <c r="GL38" s="2">
        <f t="shared" si="40"/>
        <v>0</v>
      </c>
      <c r="GM38" s="2">
        <f>ROUND(O38+X38+Y38+GK38,2)+GX38</f>
        <v>620567.65</v>
      </c>
      <c r="GN38" s="2">
        <f>IF(OR(BI38=0,BI38=1),ROUND(O38+X38+Y38+GK38,2),0)</f>
        <v>0</v>
      </c>
      <c r="GO38" s="2">
        <f>IF(BI38=2,ROUND(O38+X38+Y38+GK38,2),0)</f>
        <v>0</v>
      </c>
      <c r="GP38" s="2">
        <f>IF(BI38=4,ROUND(O38+X38+Y38+GK38,2)+GX38,0)</f>
        <v>620567.65</v>
      </c>
      <c r="GR38" s="2">
        <v>0</v>
      </c>
      <c r="GS38" s="2">
        <v>3</v>
      </c>
      <c r="GT38" s="2">
        <v>0</v>
      </c>
      <c r="GU38" s="2" t="s">
        <v>30</v>
      </c>
      <c r="GV38" s="2">
        <f t="shared" si="45"/>
        <v>0</v>
      </c>
      <c r="GW38" s="2">
        <v>1</v>
      </c>
      <c r="GX38" s="2">
        <f t="shared" si="46"/>
        <v>0</v>
      </c>
      <c r="HA38" s="2">
        <v>0</v>
      </c>
      <c r="HB38" s="2">
        <v>0</v>
      </c>
      <c r="HC38" s="2">
        <f t="shared" si="47"/>
        <v>0</v>
      </c>
      <c r="HE38" s="2" t="s">
        <v>30</v>
      </c>
      <c r="HF38" s="2" t="s">
        <v>30</v>
      </c>
      <c r="HM38" s="2" t="s">
        <v>30</v>
      </c>
      <c r="HN38" s="2" t="s">
        <v>30</v>
      </c>
      <c r="HO38" s="2" t="s">
        <v>30</v>
      </c>
      <c r="HP38" s="2" t="s">
        <v>30</v>
      </c>
      <c r="HQ38" s="2" t="s">
        <v>30</v>
      </c>
      <c r="IK38" s="2">
        <v>0</v>
      </c>
    </row>
    <row r="40" spans="1:245" ht="13" x14ac:dyDescent="0.3">
      <c r="A40" s="52">
        <v>51</v>
      </c>
      <c r="B40" s="52">
        <f>B24</f>
        <v>1</v>
      </c>
      <c r="C40" s="52">
        <f>A24</f>
        <v>4</v>
      </c>
      <c r="D40" s="52">
        <f>ROW(A24)</f>
        <v>24</v>
      </c>
      <c r="E40" s="52"/>
      <c r="F40" s="52" t="str">
        <f>IF(F24&lt;&gt;"",F24,"")</f>
        <v>Новый раздел</v>
      </c>
      <c r="G40" s="52" t="str">
        <f>IF(G24&lt;&gt;"",G24,"")</f>
        <v>Ремонт дорожно-тропиночной сети с асфальтобетонным покрытием  - 1800 м2</v>
      </c>
      <c r="H40" s="52">
        <v>0</v>
      </c>
      <c r="I40" s="52"/>
      <c r="J40" s="52"/>
      <c r="K40" s="52"/>
      <c r="L40" s="52"/>
      <c r="M40" s="52"/>
      <c r="N40" s="52"/>
      <c r="O40" s="52">
        <f t="shared" ref="O40:T40" si="50">ROUND(AB40,2)</f>
        <v>1213181.94</v>
      </c>
      <c r="P40" s="52">
        <f t="shared" si="50"/>
        <v>705068</v>
      </c>
      <c r="Q40" s="52">
        <f t="shared" si="50"/>
        <v>451179.84</v>
      </c>
      <c r="R40" s="52">
        <f t="shared" si="50"/>
        <v>220481.15</v>
      </c>
      <c r="S40" s="52">
        <f t="shared" si="50"/>
        <v>56934.1</v>
      </c>
      <c r="T40" s="52">
        <f t="shared" si="50"/>
        <v>0</v>
      </c>
      <c r="U40" s="52">
        <f>AH40</f>
        <v>246.03659999999999</v>
      </c>
      <c r="V40" s="52">
        <f>AI40</f>
        <v>0</v>
      </c>
      <c r="W40" s="52">
        <f>ROUND(AJ40,2)</f>
        <v>0</v>
      </c>
      <c r="X40" s="52">
        <f>ROUND(AK40,2)</f>
        <v>39853.870000000003</v>
      </c>
      <c r="Y40" s="52">
        <f>ROUND(AL40,2)</f>
        <v>5693.41</v>
      </c>
      <c r="Z40" s="52"/>
      <c r="AA40" s="52"/>
      <c r="AB40" s="52">
        <f>ROUND(SUMIF(AA28:AA38,"=52286166",O28:O38),2)</f>
        <v>1213181.94</v>
      </c>
      <c r="AC40" s="52">
        <f>ROUND(SUMIF(AA28:AA38,"=52286166",P28:P38),2)</f>
        <v>705068</v>
      </c>
      <c r="AD40" s="52">
        <f>ROUND(SUMIF(AA28:AA38,"=52286166",Q28:Q38),2)</f>
        <v>451179.84</v>
      </c>
      <c r="AE40" s="52">
        <f>ROUND(SUMIF(AA28:AA38,"=52286166",R28:R38),2)</f>
        <v>220481.15</v>
      </c>
      <c r="AF40" s="52">
        <f>ROUND(SUMIF(AA28:AA38,"=52286166",S28:S38),2)</f>
        <v>56934.1</v>
      </c>
      <c r="AG40" s="52">
        <f>ROUND(SUMIF(AA28:AA38,"=52286166",T28:T38),2)</f>
        <v>0</v>
      </c>
      <c r="AH40" s="52">
        <f>SUMIF(AA28:AA38,"=52286166",U28:U38)</f>
        <v>246.03659999999999</v>
      </c>
      <c r="AI40" s="52">
        <f>SUMIF(AA28:AA38,"=52286166",V28:V38)</f>
        <v>0</v>
      </c>
      <c r="AJ40" s="52">
        <f>ROUND(SUMIF(AA28:AA38,"=52286166",W28:W38),2)</f>
        <v>0</v>
      </c>
      <c r="AK40" s="52">
        <f>ROUND(SUMIF(AA28:AA38,"=52286166",X28:X38),2)</f>
        <v>39853.870000000003</v>
      </c>
      <c r="AL40" s="52">
        <f>ROUND(SUMIF(AA28:AA38,"=52286166",Y28:Y38),2)</f>
        <v>5693.41</v>
      </c>
      <c r="AM40" s="52"/>
      <c r="AN40" s="52"/>
      <c r="AO40" s="52">
        <f t="shared" ref="AO40:BD40" si="51">ROUND(BX40,2)</f>
        <v>0</v>
      </c>
      <c r="AP40" s="52">
        <f t="shared" si="51"/>
        <v>0</v>
      </c>
      <c r="AQ40" s="52">
        <f t="shared" si="51"/>
        <v>0</v>
      </c>
      <c r="AR40" s="52">
        <f t="shared" si="51"/>
        <v>1299426.33</v>
      </c>
      <c r="AS40" s="52">
        <f t="shared" si="51"/>
        <v>0</v>
      </c>
      <c r="AT40" s="52">
        <f t="shared" si="51"/>
        <v>0</v>
      </c>
      <c r="AU40" s="52">
        <f t="shared" si="51"/>
        <v>1299426.33</v>
      </c>
      <c r="AV40" s="52">
        <f t="shared" si="51"/>
        <v>705068</v>
      </c>
      <c r="AW40" s="52">
        <f t="shared" si="51"/>
        <v>705068</v>
      </c>
      <c r="AX40" s="52">
        <f t="shared" si="51"/>
        <v>0</v>
      </c>
      <c r="AY40" s="52">
        <f t="shared" si="51"/>
        <v>705068</v>
      </c>
      <c r="AZ40" s="52">
        <f t="shared" si="51"/>
        <v>0</v>
      </c>
      <c r="BA40" s="52">
        <f t="shared" si="51"/>
        <v>0</v>
      </c>
      <c r="BB40" s="52">
        <f t="shared" si="51"/>
        <v>0</v>
      </c>
      <c r="BC40" s="52">
        <f t="shared" si="51"/>
        <v>0</v>
      </c>
      <c r="BD40" s="52">
        <f t="shared" si="51"/>
        <v>0</v>
      </c>
      <c r="BE40" s="52"/>
      <c r="BF40" s="52"/>
      <c r="BG40" s="52"/>
      <c r="BH40" s="52"/>
      <c r="BI40" s="52"/>
      <c r="BJ40" s="52"/>
      <c r="BK40" s="52"/>
      <c r="BL40" s="52"/>
      <c r="BM40" s="52"/>
      <c r="BN40" s="52"/>
      <c r="BO40" s="52"/>
      <c r="BP40" s="52"/>
      <c r="BQ40" s="52"/>
      <c r="BR40" s="52"/>
      <c r="BS40" s="52"/>
      <c r="BT40" s="52"/>
      <c r="BU40" s="52"/>
      <c r="BV40" s="52"/>
      <c r="BW40" s="52"/>
      <c r="BX40" s="52">
        <f>ROUND(SUMIF(AA28:AA38,"=52286166",FQ28:FQ38),2)</f>
        <v>0</v>
      </c>
      <c r="BY40" s="52">
        <f>ROUND(SUMIF(AA28:AA38,"=52286166",FR28:FR38),2)</f>
        <v>0</v>
      </c>
      <c r="BZ40" s="52">
        <f>ROUND(SUMIF(AA28:AA38,"=52286166",GL28:GL38),2)</f>
        <v>0</v>
      </c>
      <c r="CA40" s="52">
        <f>ROUND(SUMIF(AA28:AA38,"=52286166",GM28:GM38),2)</f>
        <v>1299426.33</v>
      </c>
      <c r="CB40" s="52">
        <f>ROUND(SUMIF(AA28:AA38,"=52286166",GN28:GN38),2)</f>
        <v>0</v>
      </c>
      <c r="CC40" s="52">
        <f>ROUND(SUMIF(AA28:AA38,"=52286166",GO28:GO38),2)</f>
        <v>0</v>
      </c>
      <c r="CD40" s="52">
        <f>ROUND(SUMIF(AA28:AA38,"=52286166",GP28:GP38),2)</f>
        <v>1299426.33</v>
      </c>
      <c r="CE40" s="52">
        <f>AC40-BX40</f>
        <v>705068</v>
      </c>
      <c r="CF40" s="52">
        <f>AC40-BY40</f>
        <v>705068</v>
      </c>
      <c r="CG40" s="52">
        <f>BX40-BZ40</f>
        <v>0</v>
      </c>
      <c r="CH40" s="52">
        <f>AC40-BX40-BY40+BZ40</f>
        <v>705068</v>
      </c>
      <c r="CI40" s="52">
        <f>BY40-BZ40</f>
        <v>0</v>
      </c>
      <c r="CJ40" s="52">
        <f>ROUND(SUMIF(AA28:AA38,"=52286166",GX28:GX38),2)</f>
        <v>0</v>
      </c>
      <c r="CK40" s="52">
        <f>ROUND(SUMIF(AA28:AA38,"=52286166",GY28:GY38),2)</f>
        <v>0</v>
      </c>
      <c r="CL40" s="52">
        <f>ROUND(SUMIF(AA28:AA38,"=52286166",GZ28:GZ38),2)</f>
        <v>0</v>
      </c>
      <c r="CM40" s="52">
        <f>ROUND(SUMIF(AA28:AA38,"=52286166",HD28:HD38),2)</f>
        <v>0</v>
      </c>
      <c r="CN40" s="52"/>
      <c r="CO40" s="52"/>
      <c r="CP40" s="52"/>
      <c r="CQ40" s="52"/>
      <c r="CR40" s="52"/>
      <c r="CS40" s="52"/>
      <c r="CT40" s="52"/>
      <c r="CU40" s="52"/>
      <c r="CV40" s="52"/>
      <c r="CW40" s="52"/>
      <c r="CX40" s="52"/>
      <c r="CY40" s="52"/>
      <c r="CZ40" s="52"/>
      <c r="DA40" s="52"/>
      <c r="DB40" s="52"/>
      <c r="DC40" s="52"/>
      <c r="DD40" s="52"/>
      <c r="DE40" s="52"/>
      <c r="DF40" s="52"/>
      <c r="DG40" s="53"/>
      <c r="DH40" s="53"/>
      <c r="DI40" s="53"/>
      <c r="DJ40" s="53"/>
      <c r="DK40" s="53"/>
      <c r="DL40" s="53"/>
      <c r="DM40" s="53"/>
      <c r="DN40" s="53"/>
      <c r="DO40" s="53"/>
      <c r="DP40" s="53"/>
      <c r="DQ40" s="53"/>
      <c r="DR40" s="53"/>
      <c r="DS40" s="53"/>
      <c r="DT40" s="53"/>
      <c r="DU40" s="53"/>
      <c r="DV40" s="53"/>
      <c r="DW40" s="53"/>
      <c r="DX40" s="53"/>
      <c r="DY40" s="53"/>
      <c r="DZ40" s="53"/>
      <c r="EA40" s="53"/>
      <c r="EB40" s="53"/>
      <c r="EC40" s="53"/>
      <c r="ED40" s="53"/>
      <c r="EE40" s="53"/>
      <c r="EF40" s="53"/>
      <c r="EG40" s="53"/>
      <c r="EH40" s="53"/>
      <c r="EI40" s="53"/>
      <c r="EJ40" s="53"/>
      <c r="EK40" s="53"/>
      <c r="EL40" s="53"/>
      <c r="EM40" s="53"/>
      <c r="EN40" s="53"/>
      <c r="EO40" s="53"/>
      <c r="EP40" s="53"/>
      <c r="EQ40" s="53"/>
      <c r="ER40" s="53"/>
      <c r="ES40" s="53"/>
      <c r="ET40" s="53"/>
      <c r="EU40" s="53"/>
      <c r="EV40" s="53"/>
      <c r="EW40" s="53"/>
      <c r="EX40" s="53"/>
      <c r="EY40" s="53"/>
      <c r="EZ40" s="53"/>
      <c r="FA40" s="53"/>
      <c r="FB40" s="53"/>
      <c r="FC40" s="53"/>
      <c r="FD40" s="53"/>
      <c r="FE40" s="53"/>
      <c r="FF40" s="53"/>
      <c r="FG40" s="53"/>
      <c r="FH40" s="53"/>
      <c r="FI40" s="53"/>
      <c r="FJ40" s="53"/>
      <c r="FK40" s="53"/>
      <c r="FL40" s="53"/>
      <c r="FM40" s="53"/>
      <c r="FN40" s="53"/>
      <c r="FO40" s="53"/>
      <c r="FP40" s="53"/>
      <c r="FQ40" s="53"/>
      <c r="FR40" s="53"/>
      <c r="FS40" s="53"/>
      <c r="FT40" s="53"/>
      <c r="FU40" s="53"/>
      <c r="FV40" s="53"/>
      <c r="FW40" s="53"/>
      <c r="FX40" s="53"/>
      <c r="FY40" s="53"/>
      <c r="FZ40" s="53"/>
      <c r="GA40" s="53"/>
      <c r="GB40" s="53"/>
      <c r="GC40" s="53"/>
      <c r="GD40" s="53"/>
      <c r="GE40" s="53"/>
      <c r="GF40" s="53"/>
      <c r="GG40" s="53"/>
      <c r="GH40" s="53"/>
      <c r="GI40" s="53"/>
      <c r="GJ40" s="53"/>
      <c r="GK40" s="53"/>
      <c r="GL40" s="53"/>
      <c r="GM40" s="53"/>
      <c r="GN40" s="53"/>
      <c r="GO40" s="53"/>
      <c r="GP40" s="53"/>
      <c r="GQ40" s="53"/>
      <c r="GR40" s="53"/>
      <c r="GS40" s="53"/>
      <c r="GT40" s="53"/>
      <c r="GU40" s="53"/>
      <c r="GV40" s="53"/>
      <c r="GW40" s="53"/>
      <c r="GX40" s="53">
        <v>0</v>
      </c>
    </row>
    <row r="42" spans="1:245" ht="13" x14ac:dyDescent="0.3">
      <c r="A42" s="54">
        <v>50</v>
      </c>
      <c r="B42" s="54">
        <v>0</v>
      </c>
      <c r="C42" s="54">
        <v>0</v>
      </c>
      <c r="D42" s="54">
        <v>1</v>
      </c>
      <c r="E42" s="54">
        <v>201</v>
      </c>
      <c r="F42" s="54">
        <f>ROUND('Source (3)'!O40,O42)</f>
        <v>1213181.94</v>
      </c>
      <c r="G42" s="54" t="s">
        <v>214</v>
      </c>
      <c r="H42" s="54" t="s">
        <v>215</v>
      </c>
      <c r="I42" s="54"/>
      <c r="J42" s="54"/>
      <c r="K42" s="54">
        <v>201</v>
      </c>
      <c r="L42" s="54">
        <v>1</v>
      </c>
      <c r="M42" s="54">
        <v>3</v>
      </c>
      <c r="N42" s="54" t="s">
        <v>30</v>
      </c>
      <c r="O42" s="54">
        <v>2</v>
      </c>
      <c r="P42" s="54"/>
      <c r="Q42" s="54"/>
      <c r="R42" s="54"/>
      <c r="S42" s="54"/>
      <c r="T42" s="54"/>
      <c r="U42" s="54"/>
      <c r="V42" s="54"/>
      <c r="W42" s="54">
        <v>1213181.94</v>
      </c>
      <c r="X42" s="54">
        <v>1</v>
      </c>
      <c r="Y42" s="54">
        <v>1213181.94</v>
      </c>
      <c r="Z42" s="54"/>
      <c r="AA42" s="54"/>
      <c r="AB42" s="54"/>
    </row>
    <row r="43" spans="1:245" ht="13" x14ac:dyDescent="0.3">
      <c r="A43" s="54">
        <v>50</v>
      </c>
      <c r="B43" s="54">
        <v>0</v>
      </c>
      <c r="C43" s="54">
        <v>0</v>
      </c>
      <c r="D43" s="54">
        <v>1</v>
      </c>
      <c r="E43" s="54">
        <v>202</v>
      </c>
      <c r="F43" s="54">
        <f>ROUND('Source (3)'!P40,O43)</f>
        <v>705068</v>
      </c>
      <c r="G43" s="54" t="s">
        <v>216</v>
      </c>
      <c r="H43" s="54" t="s">
        <v>217</v>
      </c>
      <c r="I43" s="54"/>
      <c r="J43" s="54"/>
      <c r="K43" s="54">
        <v>202</v>
      </c>
      <c r="L43" s="54">
        <v>2</v>
      </c>
      <c r="M43" s="54">
        <v>3</v>
      </c>
      <c r="N43" s="54" t="s">
        <v>30</v>
      </c>
      <c r="O43" s="54">
        <v>2</v>
      </c>
      <c r="P43" s="54"/>
      <c r="Q43" s="54"/>
      <c r="R43" s="54"/>
      <c r="S43" s="54"/>
      <c r="T43" s="54"/>
      <c r="U43" s="54"/>
      <c r="V43" s="54"/>
      <c r="W43" s="54">
        <v>705068</v>
      </c>
      <c r="X43" s="54">
        <v>1</v>
      </c>
      <c r="Y43" s="54">
        <v>705068</v>
      </c>
      <c r="Z43" s="54"/>
      <c r="AA43" s="54"/>
      <c r="AB43" s="54"/>
    </row>
    <row r="44" spans="1:245" ht="13" x14ac:dyDescent="0.3">
      <c r="A44" s="54">
        <v>50</v>
      </c>
      <c r="B44" s="54">
        <v>0</v>
      </c>
      <c r="C44" s="54">
        <v>0</v>
      </c>
      <c r="D44" s="54">
        <v>1</v>
      </c>
      <c r="E44" s="54">
        <v>222</v>
      </c>
      <c r="F44" s="54">
        <f>ROUND('Source (3)'!AO40,O44)</f>
        <v>0</v>
      </c>
      <c r="G44" s="54" t="s">
        <v>218</v>
      </c>
      <c r="H44" s="54" t="s">
        <v>219</v>
      </c>
      <c r="I44" s="54"/>
      <c r="J44" s="54"/>
      <c r="K44" s="54">
        <v>222</v>
      </c>
      <c r="L44" s="54">
        <v>3</v>
      </c>
      <c r="M44" s="54">
        <v>3</v>
      </c>
      <c r="N44" s="54" t="s">
        <v>30</v>
      </c>
      <c r="O44" s="54">
        <v>2</v>
      </c>
      <c r="P44" s="54"/>
      <c r="Q44" s="54"/>
      <c r="R44" s="54"/>
      <c r="S44" s="54"/>
      <c r="T44" s="54"/>
      <c r="U44" s="54"/>
      <c r="V44" s="54"/>
      <c r="W44" s="54">
        <v>0</v>
      </c>
      <c r="X44" s="54">
        <v>1</v>
      </c>
      <c r="Y44" s="54">
        <v>0</v>
      </c>
      <c r="Z44" s="54"/>
      <c r="AA44" s="54"/>
      <c r="AB44" s="54"/>
    </row>
    <row r="45" spans="1:245" ht="13" x14ac:dyDescent="0.3">
      <c r="A45" s="54">
        <v>50</v>
      </c>
      <c r="B45" s="54">
        <v>0</v>
      </c>
      <c r="C45" s="54">
        <v>0</v>
      </c>
      <c r="D45" s="54">
        <v>1</v>
      </c>
      <c r="E45" s="54">
        <v>225</v>
      </c>
      <c r="F45" s="54">
        <f>ROUND('Source (3)'!AV40,O45)</f>
        <v>705068</v>
      </c>
      <c r="G45" s="54" t="s">
        <v>220</v>
      </c>
      <c r="H45" s="54" t="s">
        <v>221</v>
      </c>
      <c r="I45" s="54"/>
      <c r="J45" s="54"/>
      <c r="K45" s="54">
        <v>225</v>
      </c>
      <c r="L45" s="54">
        <v>4</v>
      </c>
      <c r="M45" s="54">
        <v>3</v>
      </c>
      <c r="N45" s="54" t="s">
        <v>30</v>
      </c>
      <c r="O45" s="54">
        <v>2</v>
      </c>
      <c r="P45" s="54"/>
      <c r="Q45" s="54"/>
      <c r="R45" s="54"/>
      <c r="S45" s="54"/>
      <c r="T45" s="54"/>
      <c r="U45" s="54"/>
      <c r="V45" s="54"/>
      <c r="W45" s="54">
        <v>705068</v>
      </c>
      <c r="X45" s="54">
        <v>1</v>
      </c>
      <c r="Y45" s="54">
        <v>705068</v>
      </c>
      <c r="Z45" s="54"/>
      <c r="AA45" s="54"/>
      <c r="AB45" s="54"/>
    </row>
    <row r="46" spans="1:245" ht="13" x14ac:dyDescent="0.3">
      <c r="A46" s="54">
        <v>50</v>
      </c>
      <c r="B46" s="54">
        <v>0</v>
      </c>
      <c r="C46" s="54">
        <v>0</v>
      </c>
      <c r="D46" s="54">
        <v>1</v>
      </c>
      <c r="E46" s="54">
        <v>226</v>
      </c>
      <c r="F46" s="54">
        <f>ROUND('Source (3)'!AW40,O46)</f>
        <v>705068</v>
      </c>
      <c r="G46" s="54" t="s">
        <v>222</v>
      </c>
      <c r="H46" s="54" t="s">
        <v>223</v>
      </c>
      <c r="I46" s="54"/>
      <c r="J46" s="54"/>
      <c r="K46" s="54">
        <v>226</v>
      </c>
      <c r="L46" s="54">
        <v>5</v>
      </c>
      <c r="M46" s="54">
        <v>3</v>
      </c>
      <c r="N46" s="54" t="s">
        <v>30</v>
      </c>
      <c r="O46" s="54">
        <v>2</v>
      </c>
      <c r="P46" s="54"/>
      <c r="Q46" s="54"/>
      <c r="R46" s="54"/>
      <c r="S46" s="54"/>
      <c r="T46" s="54"/>
      <c r="U46" s="54"/>
      <c r="V46" s="54"/>
      <c r="W46" s="54">
        <v>705068</v>
      </c>
      <c r="X46" s="54">
        <v>1</v>
      </c>
      <c r="Y46" s="54">
        <v>705068</v>
      </c>
      <c r="Z46" s="54"/>
      <c r="AA46" s="54"/>
      <c r="AB46" s="54"/>
    </row>
    <row r="47" spans="1:245" ht="13" x14ac:dyDescent="0.3">
      <c r="A47" s="54">
        <v>50</v>
      </c>
      <c r="B47" s="54">
        <v>0</v>
      </c>
      <c r="C47" s="54">
        <v>0</v>
      </c>
      <c r="D47" s="54">
        <v>1</v>
      </c>
      <c r="E47" s="54">
        <v>227</v>
      </c>
      <c r="F47" s="54">
        <f>ROUND('Source (3)'!AX40,O47)</f>
        <v>0</v>
      </c>
      <c r="G47" s="54" t="s">
        <v>224</v>
      </c>
      <c r="H47" s="54" t="s">
        <v>225</v>
      </c>
      <c r="I47" s="54"/>
      <c r="J47" s="54"/>
      <c r="K47" s="54">
        <v>227</v>
      </c>
      <c r="L47" s="54">
        <v>6</v>
      </c>
      <c r="M47" s="54">
        <v>3</v>
      </c>
      <c r="N47" s="54" t="s">
        <v>30</v>
      </c>
      <c r="O47" s="54">
        <v>2</v>
      </c>
      <c r="P47" s="54"/>
      <c r="Q47" s="54"/>
      <c r="R47" s="54"/>
      <c r="S47" s="54"/>
      <c r="T47" s="54"/>
      <c r="U47" s="54"/>
      <c r="V47" s="54"/>
      <c r="W47" s="54">
        <v>0</v>
      </c>
      <c r="X47" s="54">
        <v>1</v>
      </c>
      <c r="Y47" s="54">
        <v>0</v>
      </c>
      <c r="Z47" s="54"/>
      <c r="AA47" s="54"/>
      <c r="AB47" s="54"/>
    </row>
    <row r="48" spans="1:245" ht="13" x14ac:dyDescent="0.3">
      <c r="A48" s="54">
        <v>50</v>
      </c>
      <c r="B48" s="54">
        <v>0</v>
      </c>
      <c r="C48" s="54">
        <v>0</v>
      </c>
      <c r="D48" s="54">
        <v>1</v>
      </c>
      <c r="E48" s="54">
        <v>228</v>
      </c>
      <c r="F48" s="54">
        <f>ROUND('Source (3)'!AY40,O48)</f>
        <v>705068</v>
      </c>
      <c r="G48" s="54" t="s">
        <v>226</v>
      </c>
      <c r="H48" s="54" t="s">
        <v>227</v>
      </c>
      <c r="I48" s="54"/>
      <c r="J48" s="54"/>
      <c r="K48" s="54">
        <v>228</v>
      </c>
      <c r="L48" s="54">
        <v>7</v>
      </c>
      <c r="M48" s="54">
        <v>3</v>
      </c>
      <c r="N48" s="54" t="s">
        <v>30</v>
      </c>
      <c r="O48" s="54">
        <v>2</v>
      </c>
      <c r="P48" s="54"/>
      <c r="Q48" s="54"/>
      <c r="R48" s="54"/>
      <c r="S48" s="54"/>
      <c r="T48" s="54"/>
      <c r="U48" s="54"/>
      <c r="V48" s="54"/>
      <c r="W48" s="54">
        <v>705068</v>
      </c>
      <c r="X48" s="54">
        <v>1</v>
      </c>
      <c r="Y48" s="54">
        <v>705068</v>
      </c>
      <c r="Z48" s="54"/>
      <c r="AA48" s="54"/>
      <c r="AB48" s="54"/>
    </row>
    <row r="49" spans="1:28" ht="13" x14ac:dyDescent="0.3">
      <c r="A49" s="54">
        <v>50</v>
      </c>
      <c r="B49" s="54">
        <v>0</v>
      </c>
      <c r="C49" s="54">
        <v>0</v>
      </c>
      <c r="D49" s="54">
        <v>1</v>
      </c>
      <c r="E49" s="54">
        <v>216</v>
      </c>
      <c r="F49" s="54">
        <f>ROUND('Source (3)'!AP40,O49)</f>
        <v>0</v>
      </c>
      <c r="G49" s="54" t="s">
        <v>228</v>
      </c>
      <c r="H49" s="54" t="s">
        <v>229</v>
      </c>
      <c r="I49" s="54"/>
      <c r="J49" s="54"/>
      <c r="K49" s="54">
        <v>216</v>
      </c>
      <c r="L49" s="54">
        <v>8</v>
      </c>
      <c r="M49" s="54">
        <v>3</v>
      </c>
      <c r="N49" s="54" t="s">
        <v>30</v>
      </c>
      <c r="O49" s="54">
        <v>2</v>
      </c>
      <c r="P49" s="54"/>
      <c r="Q49" s="54"/>
      <c r="R49" s="54"/>
      <c r="S49" s="54"/>
      <c r="T49" s="54"/>
      <c r="U49" s="54"/>
      <c r="V49" s="54"/>
      <c r="W49" s="54">
        <v>0</v>
      </c>
      <c r="X49" s="54">
        <v>1</v>
      </c>
      <c r="Y49" s="54">
        <v>0</v>
      </c>
      <c r="Z49" s="54"/>
      <c r="AA49" s="54"/>
      <c r="AB49" s="54"/>
    </row>
    <row r="50" spans="1:28" ht="13" x14ac:dyDescent="0.3">
      <c r="A50" s="54">
        <v>50</v>
      </c>
      <c r="B50" s="54">
        <v>0</v>
      </c>
      <c r="C50" s="54">
        <v>0</v>
      </c>
      <c r="D50" s="54">
        <v>1</v>
      </c>
      <c r="E50" s="54">
        <v>223</v>
      </c>
      <c r="F50" s="54">
        <f>ROUND('Source (3)'!AQ40,O50)</f>
        <v>0</v>
      </c>
      <c r="G50" s="54" t="s">
        <v>230</v>
      </c>
      <c r="H50" s="54" t="s">
        <v>231</v>
      </c>
      <c r="I50" s="54"/>
      <c r="J50" s="54"/>
      <c r="K50" s="54">
        <v>223</v>
      </c>
      <c r="L50" s="54">
        <v>9</v>
      </c>
      <c r="M50" s="54">
        <v>3</v>
      </c>
      <c r="N50" s="54" t="s">
        <v>30</v>
      </c>
      <c r="O50" s="54">
        <v>2</v>
      </c>
      <c r="P50" s="54"/>
      <c r="Q50" s="54"/>
      <c r="R50" s="54"/>
      <c r="S50" s="54"/>
      <c r="T50" s="54"/>
      <c r="U50" s="54"/>
      <c r="V50" s="54"/>
      <c r="W50" s="54">
        <v>0</v>
      </c>
      <c r="X50" s="54">
        <v>1</v>
      </c>
      <c r="Y50" s="54">
        <v>0</v>
      </c>
      <c r="Z50" s="54"/>
      <c r="AA50" s="54"/>
      <c r="AB50" s="54"/>
    </row>
    <row r="51" spans="1:28" ht="13" x14ac:dyDescent="0.3">
      <c r="A51" s="54">
        <v>50</v>
      </c>
      <c r="B51" s="54">
        <v>0</v>
      </c>
      <c r="C51" s="54">
        <v>0</v>
      </c>
      <c r="D51" s="54">
        <v>1</v>
      </c>
      <c r="E51" s="54">
        <v>229</v>
      </c>
      <c r="F51" s="54">
        <f>ROUND('Source (3)'!AZ40,O51)</f>
        <v>0</v>
      </c>
      <c r="G51" s="54" t="s">
        <v>232</v>
      </c>
      <c r="H51" s="54" t="s">
        <v>233</v>
      </c>
      <c r="I51" s="54"/>
      <c r="J51" s="54"/>
      <c r="K51" s="54">
        <v>229</v>
      </c>
      <c r="L51" s="54">
        <v>10</v>
      </c>
      <c r="M51" s="54">
        <v>3</v>
      </c>
      <c r="N51" s="54" t="s">
        <v>30</v>
      </c>
      <c r="O51" s="54">
        <v>2</v>
      </c>
      <c r="P51" s="54"/>
      <c r="Q51" s="54"/>
      <c r="R51" s="54"/>
      <c r="S51" s="54"/>
      <c r="T51" s="54"/>
      <c r="U51" s="54"/>
      <c r="V51" s="54"/>
      <c r="W51" s="54">
        <v>0</v>
      </c>
      <c r="X51" s="54">
        <v>1</v>
      </c>
      <c r="Y51" s="54">
        <v>0</v>
      </c>
      <c r="Z51" s="54"/>
      <c r="AA51" s="54"/>
      <c r="AB51" s="54"/>
    </row>
    <row r="52" spans="1:28" ht="13" x14ac:dyDescent="0.3">
      <c r="A52" s="54">
        <v>50</v>
      </c>
      <c r="B52" s="54">
        <v>0</v>
      </c>
      <c r="C52" s="54">
        <v>0</v>
      </c>
      <c r="D52" s="54">
        <v>1</v>
      </c>
      <c r="E52" s="54">
        <v>203</v>
      </c>
      <c r="F52" s="54">
        <f>ROUND('Source (3)'!Q40,O52)</f>
        <v>451179.84</v>
      </c>
      <c r="G52" s="54" t="s">
        <v>234</v>
      </c>
      <c r="H52" s="54" t="s">
        <v>235</v>
      </c>
      <c r="I52" s="54"/>
      <c r="J52" s="54"/>
      <c r="K52" s="54">
        <v>203</v>
      </c>
      <c r="L52" s="54">
        <v>11</v>
      </c>
      <c r="M52" s="54">
        <v>3</v>
      </c>
      <c r="N52" s="54" t="s">
        <v>30</v>
      </c>
      <c r="O52" s="54">
        <v>2</v>
      </c>
      <c r="P52" s="54"/>
      <c r="Q52" s="54"/>
      <c r="R52" s="54"/>
      <c r="S52" s="54"/>
      <c r="T52" s="54"/>
      <c r="U52" s="54"/>
      <c r="V52" s="54"/>
      <c r="W52" s="54">
        <v>451179.84</v>
      </c>
      <c r="X52" s="54">
        <v>1</v>
      </c>
      <c r="Y52" s="54">
        <v>451179.84</v>
      </c>
      <c r="Z52" s="54"/>
      <c r="AA52" s="54"/>
      <c r="AB52" s="54"/>
    </row>
    <row r="53" spans="1:28" ht="13" x14ac:dyDescent="0.3">
      <c r="A53" s="54">
        <v>50</v>
      </c>
      <c r="B53" s="54">
        <v>0</v>
      </c>
      <c r="C53" s="54">
        <v>0</v>
      </c>
      <c r="D53" s="54">
        <v>1</v>
      </c>
      <c r="E53" s="54">
        <v>231</v>
      </c>
      <c r="F53" s="54">
        <f>ROUND('Source (3)'!BB40,O53)</f>
        <v>0</v>
      </c>
      <c r="G53" s="54" t="s">
        <v>236</v>
      </c>
      <c r="H53" s="54" t="s">
        <v>237</v>
      </c>
      <c r="I53" s="54"/>
      <c r="J53" s="54"/>
      <c r="K53" s="54">
        <v>231</v>
      </c>
      <c r="L53" s="54">
        <v>12</v>
      </c>
      <c r="M53" s="54">
        <v>3</v>
      </c>
      <c r="N53" s="54" t="s">
        <v>30</v>
      </c>
      <c r="O53" s="54">
        <v>2</v>
      </c>
      <c r="P53" s="54"/>
      <c r="Q53" s="54"/>
      <c r="R53" s="54"/>
      <c r="S53" s="54"/>
      <c r="T53" s="54"/>
      <c r="U53" s="54"/>
      <c r="V53" s="54"/>
      <c r="W53" s="54">
        <v>0</v>
      </c>
      <c r="X53" s="54">
        <v>1</v>
      </c>
      <c r="Y53" s="54">
        <v>0</v>
      </c>
      <c r="Z53" s="54"/>
      <c r="AA53" s="54"/>
      <c r="AB53" s="54"/>
    </row>
    <row r="54" spans="1:28" ht="13" x14ac:dyDescent="0.3">
      <c r="A54" s="54">
        <v>50</v>
      </c>
      <c r="B54" s="54">
        <v>0</v>
      </c>
      <c r="C54" s="54">
        <v>0</v>
      </c>
      <c r="D54" s="54">
        <v>1</v>
      </c>
      <c r="E54" s="54">
        <v>204</v>
      </c>
      <c r="F54" s="54">
        <f>ROUND('Source (3)'!R40,O54)</f>
        <v>220481.15</v>
      </c>
      <c r="G54" s="54" t="s">
        <v>238</v>
      </c>
      <c r="H54" s="54" t="s">
        <v>239</v>
      </c>
      <c r="I54" s="54"/>
      <c r="J54" s="54"/>
      <c r="K54" s="54">
        <v>204</v>
      </c>
      <c r="L54" s="54">
        <v>13</v>
      </c>
      <c r="M54" s="54">
        <v>3</v>
      </c>
      <c r="N54" s="54" t="s">
        <v>30</v>
      </c>
      <c r="O54" s="54">
        <v>2</v>
      </c>
      <c r="P54" s="54"/>
      <c r="Q54" s="54"/>
      <c r="R54" s="54"/>
      <c r="S54" s="54"/>
      <c r="T54" s="54"/>
      <c r="U54" s="54"/>
      <c r="V54" s="54"/>
      <c r="W54" s="54">
        <v>220481.15</v>
      </c>
      <c r="X54" s="54">
        <v>1</v>
      </c>
      <c r="Y54" s="54">
        <v>220481.15</v>
      </c>
      <c r="Z54" s="54"/>
      <c r="AA54" s="54"/>
      <c r="AB54" s="54"/>
    </row>
    <row r="55" spans="1:28" ht="13" x14ac:dyDescent="0.3">
      <c r="A55" s="54">
        <v>50</v>
      </c>
      <c r="B55" s="54">
        <v>0</v>
      </c>
      <c r="C55" s="54">
        <v>0</v>
      </c>
      <c r="D55" s="54">
        <v>1</v>
      </c>
      <c r="E55" s="54">
        <v>205</v>
      </c>
      <c r="F55" s="54">
        <f>ROUND('Source (3)'!S40,O55)</f>
        <v>56934.1</v>
      </c>
      <c r="G55" s="54" t="s">
        <v>240</v>
      </c>
      <c r="H55" s="54" t="s">
        <v>241</v>
      </c>
      <c r="I55" s="54"/>
      <c r="J55" s="54"/>
      <c r="K55" s="54">
        <v>205</v>
      </c>
      <c r="L55" s="54">
        <v>14</v>
      </c>
      <c r="M55" s="54">
        <v>3</v>
      </c>
      <c r="N55" s="54" t="s">
        <v>30</v>
      </c>
      <c r="O55" s="54">
        <v>2</v>
      </c>
      <c r="P55" s="54"/>
      <c r="Q55" s="54"/>
      <c r="R55" s="54"/>
      <c r="S55" s="54"/>
      <c r="T55" s="54"/>
      <c r="U55" s="54"/>
      <c r="V55" s="54"/>
      <c r="W55" s="54">
        <v>56934.1</v>
      </c>
      <c r="X55" s="54">
        <v>1</v>
      </c>
      <c r="Y55" s="54">
        <v>56934.1</v>
      </c>
      <c r="Z55" s="54"/>
      <c r="AA55" s="54"/>
      <c r="AB55" s="54"/>
    </row>
    <row r="56" spans="1:28" ht="13" x14ac:dyDescent="0.3">
      <c r="A56" s="54">
        <v>50</v>
      </c>
      <c r="B56" s="54">
        <v>0</v>
      </c>
      <c r="C56" s="54">
        <v>0</v>
      </c>
      <c r="D56" s="54">
        <v>1</v>
      </c>
      <c r="E56" s="54">
        <v>232</v>
      </c>
      <c r="F56" s="54">
        <f>ROUND('Source (3)'!BC40,O56)</f>
        <v>0</v>
      </c>
      <c r="G56" s="54" t="s">
        <v>242</v>
      </c>
      <c r="H56" s="54" t="s">
        <v>243</v>
      </c>
      <c r="I56" s="54"/>
      <c r="J56" s="54"/>
      <c r="K56" s="54">
        <v>232</v>
      </c>
      <c r="L56" s="54">
        <v>15</v>
      </c>
      <c r="M56" s="54">
        <v>3</v>
      </c>
      <c r="N56" s="54" t="s">
        <v>30</v>
      </c>
      <c r="O56" s="54">
        <v>2</v>
      </c>
      <c r="P56" s="54"/>
      <c r="Q56" s="54"/>
      <c r="R56" s="54"/>
      <c r="S56" s="54"/>
      <c r="T56" s="54"/>
      <c r="U56" s="54"/>
      <c r="V56" s="54"/>
      <c r="W56" s="54">
        <v>0</v>
      </c>
      <c r="X56" s="54">
        <v>1</v>
      </c>
      <c r="Y56" s="54">
        <v>0</v>
      </c>
      <c r="Z56" s="54"/>
      <c r="AA56" s="54"/>
      <c r="AB56" s="54"/>
    </row>
    <row r="57" spans="1:28" ht="13" x14ac:dyDescent="0.3">
      <c r="A57" s="54">
        <v>50</v>
      </c>
      <c r="B57" s="54">
        <v>0</v>
      </c>
      <c r="C57" s="54">
        <v>0</v>
      </c>
      <c r="D57" s="54">
        <v>1</v>
      </c>
      <c r="E57" s="54">
        <v>214</v>
      </c>
      <c r="F57" s="54">
        <f>ROUND('Source (3)'!AS40,O57)</f>
        <v>0</v>
      </c>
      <c r="G57" s="54" t="s">
        <v>244</v>
      </c>
      <c r="H57" s="54" t="s">
        <v>245</v>
      </c>
      <c r="I57" s="54"/>
      <c r="J57" s="54"/>
      <c r="K57" s="54">
        <v>214</v>
      </c>
      <c r="L57" s="54">
        <v>16</v>
      </c>
      <c r="M57" s="54">
        <v>3</v>
      </c>
      <c r="N57" s="54" t="s">
        <v>30</v>
      </c>
      <c r="O57" s="54">
        <v>2</v>
      </c>
      <c r="P57" s="54"/>
      <c r="Q57" s="54"/>
      <c r="R57" s="54"/>
      <c r="S57" s="54"/>
      <c r="T57" s="54"/>
      <c r="U57" s="54"/>
      <c r="V57" s="54"/>
      <c r="W57" s="54">
        <v>0</v>
      </c>
      <c r="X57" s="54">
        <v>1</v>
      </c>
      <c r="Y57" s="54">
        <v>0</v>
      </c>
      <c r="Z57" s="54"/>
      <c r="AA57" s="54"/>
      <c r="AB57" s="54"/>
    </row>
    <row r="58" spans="1:28" ht="13" x14ac:dyDescent="0.3">
      <c r="A58" s="54">
        <v>50</v>
      </c>
      <c r="B58" s="54">
        <v>0</v>
      </c>
      <c r="C58" s="54">
        <v>0</v>
      </c>
      <c r="D58" s="54">
        <v>1</v>
      </c>
      <c r="E58" s="54">
        <v>215</v>
      </c>
      <c r="F58" s="54">
        <f>ROUND('Source (3)'!AT40,O58)</f>
        <v>0</v>
      </c>
      <c r="G58" s="54" t="s">
        <v>246</v>
      </c>
      <c r="H58" s="54" t="s">
        <v>247</v>
      </c>
      <c r="I58" s="54"/>
      <c r="J58" s="54"/>
      <c r="K58" s="54">
        <v>215</v>
      </c>
      <c r="L58" s="54">
        <v>17</v>
      </c>
      <c r="M58" s="54">
        <v>3</v>
      </c>
      <c r="N58" s="54" t="s">
        <v>30</v>
      </c>
      <c r="O58" s="54">
        <v>2</v>
      </c>
      <c r="P58" s="54"/>
      <c r="Q58" s="54"/>
      <c r="R58" s="54"/>
      <c r="S58" s="54"/>
      <c r="T58" s="54"/>
      <c r="U58" s="54"/>
      <c r="V58" s="54"/>
      <c r="W58" s="54">
        <v>0</v>
      </c>
      <c r="X58" s="54">
        <v>1</v>
      </c>
      <c r="Y58" s="54">
        <v>0</v>
      </c>
      <c r="Z58" s="54"/>
      <c r="AA58" s="54"/>
      <c r="AB58" s="54"/>
    </row>
    <row r="59" spans="1:28" ht="13" x14ac:dyDescent="0.3">
      <c r="A59" s="54">
        <v>50</v>
      </c>
      <c r="B59" s="54">
        <v>0</v>
      </c>
      <c r="C59" s="54">
        <v>0</v>
      </c>
      <c r="D59" s="54">
        <v>1</v>
      </c>
      <c r="E59" s="54">
        <v>217</v>
      </c>
      <c r="F59" s="54">
        <f>ROUND('Source (3)'!AU40,O59)</f>
        <v>1299426.33</v>
      </c>
      <c r="G59" s="54" t="s">
        <v>248</v>
      </c>
      <c r="H59" s="54" t="s">
        <v>249</v>
      </c>
      <c r="I59" s="54"/>
      <c r="J59" s="54"/>
      <c r="K59" s="54">
        <v>217</v>
      </c>
      <c r="L59" s="54">
        <v>18</v>
      </c>
      <c r="M59" s="54">
        <v>3</v>
      </c>
      <c r="N59" s="54" t="s">
        <v>30</v>
      </c>
      <c r="O59" s="54">
        <v>2</v>
      </c>
      <c r="P59" s="54"/>
      <c r="Q59" s="54"/>
      <c r="R59" s="54"/>
      <c r="S59" s="54"/>
      <c r="T59" s="54"/>
      <c r="U59" s="54"/>
      <c r="V59" s="54"/>
      <c r="W59" s="54">
        <v>1299426.33</v>
      </c>
      <c r="X59" s="54">
        <v>1</v>
      </c>
      <c r="Y59" s="54">
        <v>1299426.33</v>
      </c>
      <c r="Z59" s="54"/>
      <c r="AA59" s="54"/>
      <c r="AB59" s="54"/>
    </row>
    <row r="60" spans="1:28" ht="13" x14ac:dyDescent="0.3">
      <c r="A60" s="54">
        <v>50</v>
      </c>
      <c r="B60" s="54">
        <v>0</v>
      </c>
      <c r="C60" s="54">
        <v>0</v>
      </c>
      <c r="D60" s="54">
        <v>1</v>
      </c>
      <c r="E60" s="54">
        <v>230</v>
      </c>
      <c r="F60" s="54">
        <f>ROUND('Source (3)'!BA40,O60)</f>
        <v>0</v>
      </c>
      <c r="G60" s="54" t="s">
        <v>250</v>
      </c>
      <c r="H60" s="54" t="s">
        <v>251</v>
      </c>
      <c r="I60" s="54"/>
      <c r="J60" s="54"/>
      <c r="K60" s="54">
        <v>230</v>
      </c>
      <c r="L60" s="54">
        <v>19</v>
      </c>
      <c r="M60" s="54">
        <v>3</v>
      </c>
      <c r="N60" s="54" t="s">
        <v>30</v>
      </c>
      <c r="O60" s="54">
        <v>2</v>
      </c>
      <c r="P60" s="54"/>
      <c r="Q60" s="54"/>
      <c r="R60" s="54"/>
      <c r="S60" s="54"/>
      <c r="T60" s="54"/>
      <c r="U60" s="54"/>
      <c r="V60" s="54"/>
      <c r="W60" s="54">
        <v>0</v>
      </c>
      <c r="X60" s="54">
        <v>1</v>
      </c>
      <c r="Y60" s="54">
        <v>0</v>
      </c>
      <c r="Z60" s="54"/>
      <c r="AA60" s="54"/>
      <c r="AB60" s="54"/>
    </row>
    <row r="61" spans="1:28" ht="13" x14ac:dyDescent="0.3">
      <c r="A61" s="54">
        <v>50</v>
      </c>
      <c r="B61" s="54">
        <v>0</v>
      </c>
      <c r="C61" s="54">
        <v>0</v>
      </c>
      <c r="D61" s="54">
        <v>1</v>
      </c>
      <c r="E61" s="54">
        <v>206</v>
      </c>
      <c r="F61" s="54">
        <f>ROUND('Source (3)'!T40,O61)</f>
        <v>0</v>
      </c>
      <c r="G61" s="54" t="s">
        <v>252</v>
      </c>
      <c r="H61" s="54" t="s">
        <v>253</v>
      </c>
      <c r="I61" s="54"/>
      <c r="J61" s="54"/>
      <c r="K61" s="54">
        <v>206</v>
      </c>
      <c r="L61" s="54">
        <v>20</v>
      </c>
      <c r="M61" s="54">
        <v>3</v>
      </c>
      <c r="N61" s="54" t="s">
        <v>30</v>
      </c>
      <c r="O61" s="54">
        <v>2</v>
      </c>
      <c r="P61" s="54"/>
      <c r="Q61" s="54"/>
      <c r="R61" s="54"/>
      <c r="S61" s="54"/>
      <c r="T61" s="54"/>
      <c r="U61" s="54"/>
      <c r="V61" s="54"/>
      <c r="W61" s="54">
        <v>0</v>
      </c>
      <c r="X61" s="54">
        <v>1</v>
      </c>
      <c r="Y61" s="54">
        <v>0</v>
      </c>
      <c r="Z61" s="54"/>
      <c r="AA61" s="54"/>
      <c r="AB61" s="54"/>
    </row>
    <row r="62" spans="1:28" ht="13" x14ac:dyDescent="0.3">
      <c r="A62" s="54">
        <v>50</v>
      </c>
      <c r="B62" s="54">
        <v>0</v>
      </c>
      <c r="C62" s="54">
        <v>0</v>
      </c>
      <c r="D62" s="54">
        <v>1</v>
      </c>
      <c r="E62" s="54">
        <v>207</v>
      </c>
      <c r="F62" s="54">
        <f>'Source (3)'!U40</f>
        <v>246.03659999999999</v>
      </c>
      <c r="G62" s="54" t="s">
        <v>254</v>
      </c>
      <c r="H62" s="54" t="s">
        <v>255</v>
      </c>
      <c r="I62" s="54"/>
      <c r="J62" s="54"/>
      <c r="K62" s="54">
        <v>207</v>
      </c>
      <c r="L62" s="54">
        <v>21</v>
      </c>
      <c r="M62" s="54">
        <v>3</v>
      </c>
      <c r="N62" s="54" t="s">
        <v>30</v>
      </c>
      <c r="O62" s="54">
        <v>-1</v>
      </c>
      <c r="P62" s="54"/>
      <c r="Q62" s="54"/>
      <c r="R62" s="54"/>
      <c r="S62" s="54"/>
      <c r="T62" s="54"/>
      <c r="U62" s="54"/>
      <c r="V62" s="54"/>
      <c r="W62" s="54">
        <v>246.03659999999999</v>
      </c>
      <c r="X62" s="54">
        <v>1</v>
      </c>
      <c r="Y62" s="54">
        <v>246.03659999999999</v>
      </c>
      <c r="Z62" s="54"/>
      <c r="AA62" s="54"/>
      <c r="AB62" s="54"/>
    </row>
    <row r="63" spans="1:28" ht="13" x14ac:dyDescent="0.3">
      <c r="A63" s="54">
        <v>50</v>
      </c>
      <c r="B63" s="54">
        <v>0</v>
      </c>
      <c r="C63" s="54">
        <v>0</v>
      </c>
      <c r="D63" s="54">
        <v>1</v>
      </c>
      <c r="E63" s="54">
        <v>208</v>
      </c>
      <c r="F63" s="54">
        <f>'Source (3)'!V40</f>
        <v>0</v>
      </c>
      <c r="G63" s="54" t="s">
        <v>256</v>
      </c>
      <c r="H63" s="54" t="s">
        <v>257</v>
      </c>
      <c r="I63" s="54"/>
      <c r="J63" s="54"/>
      <c r="K63" s="54">
        <v>208</v>
      </c>
      <c r="L63" s="54">
        <v>22</v>
      </c>
      <c r="M63" s="54">
        <v>3</v>
      </c>
      <c r="N63" s="54" t="s">
        <v>30</v>
      </c>
      <c r="O63" s="54">
        <v>-1</v>
      </c>
      <c r="P63" s="54"/>
      <c r="Q63" s="54"/>
      <c r="R63" s="54"/>
      <c r="S63" s="54"/>
      <c r="T63" s="54"/>
      <c r="U63" s="54"/>
      <c r="V63" s="54"/>
      <c r="W63" s="54">
        <v>0</v>
      </c>
      <c r="X63" s="54">
        <v>1</v>
      </c>
      <c r="Y63" s="54">
        <v>0</v>
      </c>
      <c r="Z63" s="54"/>
      <c r="AA63" s="54"/>
      <c r="AB63" s="54"/>
    </row>
    <row r="64" spans="1:28" ht="13" x14ac:dyDescent="0.3">
      <c r="A64" s="54">
        <v>50</v>
      </c>
      <c r="B64" s="54">
        <v>0</v>
      </c>
      <c r="C64" s="54">
        <v>0</v>
      </c>
      <c r="D64" s="54">
        <v>1</v>
      </c>
      <c r="E64" s="54">
        <v>209</v>
      </c>
      <c r="F64" s="54">
        <f>ROUND('Source (3)'!W40,O64)</f>
        <v>0</v>
      </c>
      <c r="G64" s="54" t="s">
        <v>258</v>
      </c>
      <c r="H64" s="54" t="s">
        <v>259</v>
      </c>
      <c r="I64" s="54"/>
      <c r="J64" s="54"/>
      <c r="K64" s="54">
        <v>209</v>
      </c>
      <c r="L64" s="54">
        <v>23</v>
      </c>
      <c r="M64" s="54">
        <v>3</v>
      </c>
      <c r="N64" s="54" t="s">
        <v>30</v>
      </c>
      <c r="O64" s="54">
        <v>2</v>
      </c>
      <c r="P64" s="54"/>
      <c r="Q64" s="54"/>
      <c r="R64" s="54"/>
      <c r="S64" s="54"/>
      <c r="T64" s="54"/>
      <c r="U64" s="54"/>
      <c r="V64" s="54"/>
      <c r="W64" s="54">
        <v>0</v>
      </c>
      <c r="X64" s="54">
        <v>1</v>
      </c>
      <c r="Y64" s="54">
        <v>0</v>
      </c>
      <c r="Z64" s="54"/>
      <c r="AA64" s="54"/>
      <c r="AB64" s="54"/>
    </row>
    <row r="65" spans="1:88" ht="13" x14ac:dyDescent="0.3">
      <c r="A65" s="54">
        <v>50</v>
      </c>
      <c r="B65" s="54">
        <v>0</v>
      </c>
      <c r="C65" s="54">
        <v>0</v>
      </c>
      <c r="D65" s="54">
        <v>1</v>
      </c>
      <c r="E65" s="54">
        <v>233</v>
      </c>
      <c r="F65" s="54">
        <f>ROUND('Source (3)'!BD40,O65)</f>
        <v>0</v>
      </c>
      <c r="G65" s="54" t="s">
        <v>260</v>
      </c>
      <c r="H65" s="54" t="s">
        <v>261</v>
      </c>
      <c r="I65" s="54"/>
      <c r="J65" s="54"/>
      <c r="K65" s="54">
        <v>233</v>
      </c>
      <c r="L65" s="54">
        <v>24</v>
      </c>
      <c r="M65" s="54">
        <v>3</v>
      </c>
      <c r="N65" s="54" t="s">
        <v>30</v>
      </c>
      <c r="O65" s="54">
        <v>2</v>
      </c>
      <c r="P65" s="54"/>
      <c r="Q65" s="54"/>
      <c r="R65" s="54"/>
      <c r="S65" s="54"/>
      <c r="T65" s="54"/>
      <c r="U65" s="54"/>
      <c r="V65" s="54"/>
      <c r="W65" s="54">
        <v>0</v>
      </c>
      <c r="X65" s="54">
        <v>1</v>
      </c>
      <c r="Y65" s="54">
        <v>0</v>
      </c>
      <c r="Z65" s="54"/>
      <c r="AA65" s="54"/>
      <c r="AB65" s="54"/>
    </row>
    <row r="66" spans="1:88" ht="13" x14ac:dyDescent="0.3">
      <c r="A66" s="54">
        <v>50</v>
      </c>
      <c r="B66" s="54">
        <v>0</v>
      </c>
      <c r="C66" s="54">
        <v>0</v>
      </c>
      <c r="D66" s="54">
        <v>1</v>
      </c>
      <c r="E66" s="54">
        <v>210</v>
      </c>
      <c r="F66" s="54">
        <f>ROUND('Source (3)'!X40,O66)</f>
        <v>39853.870000000003</v>
      </c>
      <c r="G66" s="54" t="s">
        <v>262</v>
      </c>
      <c r="H66" s="54" t="s">
        <v>263</v>
      </c>
      <c r="I66" s="54"/>
      <c r="J66" s="54"/>
      <c r="K66" s="54">
        <v>210</v>
      </c>
      <c r="L66" s="54">
        <v>25</v>
      </c>
      <c r="M66" s="54">
        <v>3</v>
      </c>
      <c r="N66" s="54" t="s">
        <v>30</v>
      </c>
      <c r="O66" s="54">
        <v>2</v>
      </c>
      <c r="P66" s="54"/>
      <c r="Q66" s="54"/>
      <c r="R66" s="54"/>
      <c r="S66" s="54"/>
      <c r="T66" s="54"/>
      <c r="U66" s="54"/>
      <c r="V66" s="54"/>
      <c r="W66" s="54">
        <v>39853.870000000003</v>
      </c>
      <c r="X66" s="54">
        <v>1</v>
      </c>
      <c r="Y66" s="54">
        <v>39853.870000000003</v>
      </c>
      <c r="Z66" s="54"/>
      <c r="AA66" s="54"/>
      <c r="AB66" s="54"/>
    </row>
    <row r="67" spans="1:88" ht="13" x14ac:dyDescent="0.3">
      <c r="A67" s="54">
        <v>50</v>
      </c>
      <c r="B67" s="54">
        <v>0</v>
      </c>
      <c r="C67" s="54">
        <v>0</v>
      </c>
      <c r="D67" s="54">
        <v>1</v>
      </c>
      <c r="E67" s="54">
        <v>211</v>
      </c>
      <c r="F67" s="54">
        <f>ROUND('Source (3)'!Y40,O67)</f>
        <v>5693.41</v>
      </c>
      <c r="G67" s="54" t="s">
        <v>264</v>
      </c>
      <c r="H67" s="54" t="s">
        <v>265</v>
      </c>
      <c r="I67" s="54"/>
      <c r="J67" s="54"/>
      <c r="K67" s="54">
        <v>211</v>
      </c>
      <c r="L67" s="54">
        <v>26</v>
      </c>
      <c r="M67" s="54">
        <v>3</v>
      </c>
      <c r="N67" s="54" t="s">
        <v>30</v>
      </c>
      <c r="O67" s="54">
        <v>2</v>
      </c>
      <c r="P67" s="54"/>
      <c r="Q67" s="54"/>
      <c r="R67" s="54"/>
      <c r="S67" s="54"/>
      <c r="T67" s="54"/>
      <c r="U67" s="54"/>
      <c r="V67" s="54"/>
      <c r="W67" s="54">
        <v>5693.41</v>
      </c>
      <c r="X67" s="54">
        <v>1</v>
      </c>
      <c r="Y67" s="54">
        <v>5693.41</v>
      </c>
      <c r="Z67" s="54"/>
      <c r="AA67" s="54"/>
      <c r="AB67" s="54"/>
    </row>
    <row r="68" spans="1:88" ht="13" x14ac:dyDescent="0.3">
      <c r="A68" s="54">
        <v>50</v>
      </c>
      <c r="B68" s="54">
        <v>0</v>
      </c>
      <c r="C68" s="54">
        <v>0</v>
      </c>
      <c r="D68" s="54">
        <v>1</v>
      </c>
      <c r="E68" s="54">
        <v>224</v>
      </c>
      <c r="F68" s="54">
        <f>ROUND('Source (3)'!AR40,O68)</f>
        <v>1299426.33</v>
      </c>
      <c r="G68" s="54" t="s">
        <v>266</v>
      </c>
      <c r="H68" s="54" t="s">
        <v>267</v>
      </c>
      <c r="I68" s="54"/>
      <c r="J68" s="54"/>
      <c r="K68" s="54">
        <v>224</v>
      </c>
      <c r="L68" s="54">
        <v>27</v>
      </c>
      <c r="M68" s="54">
        <v>3</v>
      </c>
      <c r="N68" s="54" t="s">
        <v>30</v>
      </c>
      <c r="O68" s="54">
        <v>2</v>
      </c>
      <c r="P68" s="54"/>
      <c r="Q68" s="54"/>
      <c r="R68" s="54"/>
      <c r="S68" s="54"/>
      <c r="T68" s="54"/>
      <c r="U68" s="54"/>
      <c r="V68" s="54"/>
      <c r="W68" s="54">
        <v>1299426.33</v>
      </c>
      <c r="X68" s="54">
        <v>1</v>
      </c>
      <c r="Y68" s="54">
        <v>1299426.33</v>
      </c>
      <c r="Z68" s="54"/>
      <c r="AA68" s="54"/>
      <c r="AB68" s="54"/>
    </row>
    <row r="69" spans="1:88" ht="13" x14ac:dyDescent="0.3">
      <c r="A69" s="54">
        <v>50</v>
      </c>
      <c r="B69" s="54">
        <v>1</v>
      </c>
      <c r="C69" s="54">
        <v>0</v>
      </c>
      <c r="D69" s="54">
        <v>2</v>
      </c>
      <c r="E69" s="54">
        <v>0</v>
      </c>
      <c r="F69" s="54">
        <f>ROUND(F68,O69)</f>
        <v>1299426.33</v>
      </c>
      <c r="G69" s="54" t="s">
        <v>268</v>
      </c>
      <c r="H69" s="54" t="s">
        <v>269</v>
      </c>
      <c r="I69" s="54"/>
      <c r="J69" s="54"/>
      <c r="K69" s="54">
        <v>212</v>
      </c>
      <c r="L69" s="54">
        <v>28</v>
      </c>
      <c r="M69" s="54">
        <v>0</v>
      </c>
      <c r="N69" s="54" t="s">
        <v>30</v>
      </c>
      <c r="O69" s="54">
        <v>2</v>
      </c>
      <c r="P69" s="54"/>
      <c r="Q69" s="54"/>
      <c r="R69" s="54"/>
      <c r="S69" s="54"/>
      <c r="T69" s="54"/>
      <c r="U69" s="54"/>
      <c r="V69" s="54"/>
      <c r="W69" s="54">
        <v>1299426.33</v>
      </c>
      <c r="X69" s="54">
        <v>1</v>
      </c>
      <c r="Y69" s="54">
        <v>1299426.33</v>
      </c>
      <c r="Z69" s="54"/>
      <c r="AA69" s="54"/>
      <c r="AB69" s="54"/>
    </row>
    <row r="70" spans="1:88" ht="13" x14ac:dyDescent="0.3">
      <c r="A70" s="54">
        <v>50</v>
      </c>
      <c r="B70" s="54">
        <v>1</v>
      </c>
      <c r="C70" s="54">
        <v>0</v>
      </c>
      <c r="D70" s="54">
        <v>2</v>
      </c>
      <c r="E70" s="54">
        <v>0</v>
      </c>
      <c r="F70" s="54">
        <f>ROUND(F68-F55-F54,O70)</f>
        <v>1022011.08</v>
      </c>
      <c r="G70" s="54" t="s">
        <v>270</v>
      </c>
      <c r="H70" s="54" t="s">
        <v>271</v>
      </c>
      <c r="I70" s="54"/>
      <c r="J70" s="54"/>
      <c r="K70" s="54">
        <v>212</v>
      </c>
      <c r="L70" s="54">
        <v>29</v>
      </c>
      <c r="M70" s="54">
        <v>0</v>
      </c>
      <c r="N70" s="54" t="s">
        <v>30</v>
      </c>
      <c r="O70" s="54">
        <v>2</v>
      </c>
      <c r="P70" s="54"/>
      <c r="Q70" s="54"/>
      <c r="R70" s="54"/>
      <c r="S70" s="54"/>
      <c r="T70" s="54"/>
      <c r="U70" s="54"/>
      <c r="V70" s="54"/>
      <c r="W70" s="54">
        <v>1022011.08</v>
      </c>
      <c r="X70" s="54">
        <v>1</v>
      </c>
      <c r="Y70" s="54">
        <v>1022011.08</v>
      </c>
      <c r="Z70" s="54"/>
      <c r="AA70" s="54"/>
      <c r="AB70" s="54"/>
    </row>
    <row r="71" spans="1:88" ht="13" x14ac:dyDescent="0.3">
      <c r="A71" s="54">
        <v>50</v>
      </c>
      <c r="B71" s="54">
        <v>1</v>
      </c>
      <c r="C71" s="54">
        <v>0</v>
      </c>
      <c r="D71" s="54">
        <v>2</v>
      </c>
      <c r="E71" s="54">
        <v>0</v>
      </c>
      <c r="F71" s="54">
        <f>ROUND(F67,O71)</f>
        <v>5693.41</v>
      </c>
      <c r="G71" s="54" t="s">
        <v>25</v>
      </c>
      <c r="H71" s="54" t="s">
        <v>25</v>
      </c>
      <c r="I71" s="54"/>
      <c r="J71" s="54"/>
      <c r="K71" s="54">
        <v>212</v>
      </c>
      <c r="L71" s="54">
        <v>30</v>
      </c>
      <c r="M71" s="54">
        <v>0</v>
      </c>
      <c r="N71" s="54" t="s">
        <v>30</v>
      </c>
      <c r="O71" s="54">
        <v>2</v>
      </c>
      <c r="P71" s="54"/>
      <c r="Q71" s="54"/>
      <c r="R71" s="54"/>
      <c r="S71" s="54"/>
      <c r="T71" s="54"/>
      <c r="U71" s="54"/>
      <c r="V71" s="54"/>
      <c r="W71" s="54">
        <v>5693.41</v>
      </c>
      <c r="X71" s="54">
        <v>1</v>
      </c>
      <c r="Y71" s="54">
        <v>5693.41</v>
      </c>
      <c r="Z71" s="54"/>
      <c r="AA71" s="54"/>
      <c r="AB71" s="54"/>
    </row>
    <row r="72" spans="1:88" ht="13" x14ac:dyDescent="0.3">
      <c r="A72" s="54">
        <v>50</v>
      </c>
      <c r="B72" s="54">
        <v>1</v>
      </c>
      <c r="C72" s="54">
        <v>0</v>
      </c>
      <c r="D72" s="54">
        <v>2</v>
      </c>
      <c r="E72" s="54">
        <v>0</v>
      </c>
      <c r="F72" s="54">
        <f>ROUND(F77*0.3,O72)</f>
        <v>66144.350000000006</v>
      </c>
      <c r="G72" s="54" t="s">
        <v>272</v>
      </c>
      <c r="H72" s="54" t="s">
        <v>272</v>
      </c>
      <c r="I72" s="54"/>
      <c r="J72" s="54"/>
      <c r="K72" s="54">
        <v>212</v>
      </c>
      <c r="L72" s="54">
        <v>31</v>
      </c>
      <c r="M72" s="54">
        <v>0</v>
      </c>
      <c r="N72" s="54" t="s">
        <v>30</v>
      </c>
      <c r="O72" s="54">
        <v>2</v>
      </c>
      <c r="P72" s="54"/>
      <c r="Q72" s="54"/>
      <c r="R72" s="54"/>
      <c r="S72" s="54"/>
      <c r="T72" s="54"/>
      <c r="U72" s="54"/>
      <c r="V72" s="54"/>
      <c r="W72" s="54">
        <v>66144.350000000006</v>
      </c>
      <c r="X72" s="54">
        <v>1</v>
      </c>
      <c r="Y72" s="54">
        <v>66144.350000000006</v>
      </c>
      <c r="Z72" s="54"/>
      <c r="AA72" s="54"/>
      <c r="AB72" s="54"/>
    </row>
    <row r="73" spans="1:88" ht="13" x14ac:dyDescent="0.3">
      <c r="A73" s="54">
        <v>50</v>
      </c>
      <c r="B73" s="54">
        <v>1</v>
      </c>
      <c r="C73" s="54">
        <v>0</v>
      </c>
      <c r="D73" s="54">
        <v>2</v>
      </c>
      <c r="E73" s="54">
        <v>0</v>
      </c>
      <c r="F73" s="54">
        <f>ROUND(F70-F71-F72,O73)</f>
        <v>950173.32</v>
      </c>
      <c r="G73" s="54" t="s">
        <v>273</v>
      </c>
      <c r="H73" s="54" t="s">
        <v>274</v>
      </c>
      <c r="I73" s="54"/>
      <c r="J73" s="54"/>
      <c r="K73" s="54">
        <v>212</v>
      </c>
      <c r="L73" s="54">
        <v>32</v>
      </c>
      <c r="M73" s="54">
        <v>0</v>
      </c>
      <c r="N73" s="54" t="s">
        <v>30</v>
      </c>
      <c r="O73" s="54">
        <v>2</v>
      </c>
      <c r="P73" s="54"/>
      <c r="Q73" s="54"/>
      <c r="R73" s="54"/>
      <c r="S73" s="54"/>
      <c r="T73" s="54"/>
      <c r="U73" s="54"/>
      <c r="V73" s="54"/>
      <c r="W73" s="54">
        <v>950173.32</v>
      </c>
      <c r="X73" s="54">
        <v>1</v>
      </c>
      <c r="Y73" s="54">
        <v>950173.32</v>
      </c>
      <c r="Z73" s="54"/>
      <c r="AA73" s="54"/>
      <c r="AB73" s="54"/>
    </row>
    <row r="74" spans="1:88" ht="13" x14ac:dyDescent="0.3">
      <c r="A74" s="54">
        <v>50</v>
      </c>
      <c r="B74" s="54">
        <v>1</v>
      </c>
      <c r="C74" s="54">
        <v>0</v>
      </c>
      <c r="D74" s="54">
        <v>2</v>
      </c>
      <c r="E74" s="54">
        <v>0</v>
      </c>
      <c r="F74" s="54">
        <f>ROUND(F73*0.2,O74)</f>
        <v>190034.66</v>
      </c>
      <c r="G74" s="54" t="s">
        <v>42</v>
      </c>
      <c r="H74" s="54" t="s">
        <v>42</v>
      </c>
      <c r="I74" s="54"/>
      <c r="J74" s="54"/>
      <c r="K74" s="54">
        <v>212</v>
      </c>
      <c r="L74" s="54">
        <v>33</v>
      </c>
      <c r="M74" s="54">
        <v>0</v>
      </c>
      <c r="N74" s="54" t="s">
        <v>30</v>
      </c>
      <c r="O74" s="54">
        <v>2</v>
      </c>
      <c r="P74" s="54"/>
      <c r="Q74" s="54"/>
      <c r="R74" s="54"/>
      <c r="S74" s="54"/>
      <c r="T74" s="54"/>
      <c r="U74" s="54"/>
      <c r="V74" s="54"/>
      <c r="W74" s="54">
        <v>190034.66</v>
      </c>
      <c r="X74" s="54">
        <v>1</v>
      </c>
      <c r="Y74" s="54">
        <v>190034.66</v>
      </c>
      <c r="Z74" s="54"/>
      <c r="AA74" s="54"/>
      <c r="AB74" s="54"/>
    </row>
    <row r="75" spans="1:88" ht="13" x14ac:dyDescent="0.3">
      <c r="A75" s="54">
        <v>50</v>
      </c>
      <c r="B75" s="54">
        <v>1</v>
      </c>
      <c r="C75" s="54">
        <v>0</v>
      </c>
      <c r="D75" s="54">
        <v>2</v>
      </c>
      <c r="E75" s="54">
        <v>0</v>
      </c>
      <c r="F75" s="54">
        <f>ROUND(F73+F74,O75)</f>
        <v>1140207.98</v>
      </c>
      <c r="G75" s="54" t="s">
        <v>43</v>
      </c>
      <c r="H75" s="54" t="s">
        <v>275</v>
      </c>
      <c r="I75" s="54"/>
      <c r="J75" s="54"/>
      <c r="K75" s="54">
        <v>212</v>
      </c>
      <c r="L75" s="54">
        <v>34</v>
      </c>
      <c r="M75" s="54">
        <v>0</v>
      </c>
      <c r="N75" s="54" t="s">
        <v>30</v>
      </c>
      <c r="O75" s="54">
        <v>2</v>
      </c>
      <c r="P75" s="54"/>
      <c r="Q75" s="54"/>
      <c r="R75" s="54"/>
      <c r="S75" s="54"/>
      <c r="T75" s="54"/>
      <c r="U75" s="54"/>
      <c r="V75" s="54"/>
      <c r="W75" s="54">
        <v>1140207.98</v>
      </c>
      <c r="X75" s="54">
        <v>1</v>
      </c>
      <c r="Y75" s="54">
        <v>1140207.98</v>
      </c>
      <c r="Z75" s="54"/>
      <c r="AA75" s="54"/>
      <c r="AB75" s="54"/>
    </row>
    <row r="76" spans="1:88" ht="13" x14ac:dyDescent="0.3">
      <c r="A76" s="54">
        <v>50</v>
      </c>
      <c r="B76" s="54">
        <v>1</v>
      </c>
      <c r="C76" s="54">
        <v>0</v>
      </c>
      <c r="D76" s="54">
        <v>2</v>
      </c>
      <c r="E76" s="54">
        <v>0</v>
      </c>
      <c r="F76" s="54">
        <f>ROUND(F55,O76)</f>
        <v>56934.1</v>
      </c>
      <c r="G76" s="54" t="s">
        <v>276</v>
      </c>
      <c r="H76" s="54" t="s">
        <v>277</v>
      </c>
      <c r="I76" s="54"/>
      <c r="J76" s="54"/>
      <c r="K76" s="54">
        <v>212</v>
      </c>
      <c r="L76" s="54">
        <v>35</v>
      </c>
      <c r="M76" s="54">
        <v>0</v>
      </c>
      <c r="N76" s="54" t="s">
        <v>30</v>
      </c>
      <c r="O76" s="54">
        <v>2</v>
      </c>
      <c r="P76" s="54"/>
      <c r="Q76" s="54"/>
      <c r="R76" s="54"/>
      <c r="S76" s="54"/>
      <c r="T76" s="54"/>
      <c r="U76" s="54"/>
      <c r="V76" s="54"/>
      <c r="W76" s="54">
        <v>56934.1</v>
      </c>
      <c r="X76" s="54">
        <v>1</v>
      </c>
      <c r="Y76" s="54">
        <v>56934.1</v>
      </c>
      <c r="Z76" s="54"/>
      <c r="AA76" s="54"/>
      <c r="AB76" s="54"/>
    </row>
    <row r="77" spans="1:88" ht="13" x14ac:dyDescent="0.3">
      <c r="A77" s="54">
        <v>50</v>
      </c>
      <c r="B77" s="54">
        <v>1</v>
      </c>
      <c r="C77" s="54">
        <v>0</v>
      </c>
      <c r="D77" s="54">
        <v>2</v>
      </c>
      <c r="E77" s="54">
        <v>0</v>
      </c>
      <c r="F77" s="54">
        <f>ROUND(F54,O77)</f>
        <v>220481.15</v>
      </c>
      <c r="G77" s="54" t="s">
        <v>278</v>
      </c>
      <c r="H77" s="54" t="s">
        <v>279</v>
      </c>
      <c r="I77" s="54"/>
      <c r="J77" s="54"/>
      <c r="K77" s="54">
        <v>212</v>
      </c>
      <c r="L77" s="54">
        <v>36</v>
      </c>
      <c r="M77" s="54">
        <v>0</v>
      </c>
      <c r="N77" s="54" t="s">
        <v>30</v>
      </c>
      <c r="O77" s="54">
        <v>2</v>
      </c>
      <c r="P77" s="54"/>
      <c r="Q77" s="54"/>
      <c r="R77" s="54"/>
      <c r="S77" s="54"/>
      <c r="T77" s="54"/>
      <c r="U77" s="54"/>
      <c r="V77" s="54"/>
      <c r="W77" s="54">
        <v>220481.15</v>
      </c>
      <c r="X77" s="54">
        <v>1</v>
      </c>
      <c r="Y77" s="54">
        <v>220481.15</v>
      </c>
      <c r="Z77" s="54"/>
      <c r="AA77" s="54"/>
      <c r="AB77" s="54"/>
    </row>
    <row r="78" spans="1:88" ht="13" x14ac:dyDescent="0.3">
      <c r="A78" s="54">
        <v>50</v>
      </c>
      <c r="B78" s="54">
        <v>1</v>
      </c>
      <c r="C78" s="54">
        <v>0</v>
      </c>
      <c r="D78" s="54">
        <v>2</v>
      </c>
      <c r="E78" s="54">
        <v>0</v>
      </c>
      <c r="F78" s="54">
        <f>ROUND(F75+F76+F77,O78)</f>
        <v>1417623.23</v>
      </c>
      <c r="G78" s="54" t="s">
        <v>266</v>
      </c>
      <c r="H78" s="54" t="s">
        <v>280</v>
      </c>
      <c r="I78" s="54"/>
      <c r="J78" s="54"/>
      <c r="K78" s="54">
        <v>212</v>
      </c>
      <c r="L78" s="54">
        <v>37</v>
      </c>
      <c r="M78" s="54">
        <v>0</v>
      </c>
      <c r="N78" s="54" t="s">
        <v>30</v>
      </c>
      <c r="O78" s="54">
        <v>2</v>
      </c>
      <c r="P78" s="54"/>
      <c r="Q78" s="54"/>
      <c r="R78" s="54"/>
      <c r="S78" s="54"/>
      <c r="T78" s="54"/>
      <c r="U78" s="54"/>
      <c r="V78" s="54"/>
      <c r="W78" s="54">
        <v>1417623.23</v>
      </c>
      <c r="X78" s="54">
        <v>1</v>
      </c>
      <c r="Y78" s="54">
        <v>1417623.23</v>
      </c>
      <c r="Z78" s="54"/>
      <c r="AA78" s="54"/>
      <c r="AB78" s="54"/>
    </row>
    <row r="80" spans="1:88" ht="13" x14ac:dyDescent="0.3">
      <c r="A80" s="51">
        <v>4</v>
      </c>
      <c r="B80" s="51">
        <v>1</v>
      </c>
      <c r="C80" s="51"/>
      <c r="D80" s="51">
        <f>ROW(A93)</f>
        <v>93</v>
      </c>
      <c r="E80" s="51"/>
      <c r="F80" s="51" t="s">
        <v>174</v>
      </c>
      <c r="G80" s="51" t="s">
        <v>281</v>
      </c>
      <c r="H80" s="51" t="s">
        <v>30</v>
      </c>
      <c r="I80" s="51">
        <v>0</v>
      </c>
      <c r="J80" s="51"/>
      <c r="K80" s="51">
        <v>-1</v>
      </c>
      <c r="L80" s="51"/>
      <c r="M80" s="51" t="s">
        <v>30</v>
      </c>
      <c r="N80" s="51"/>
      <c r="O80" s="51"/>
      <c r="P80" s="51"/>
      <c r="Q80" s="51"/>
      <c r="R80" s="51"/>
      <c r="S80" s="51">
        <v>0</v>
      </c>
      <c r="T80" s="51"/>
      <c r="U80" s="51" t="s">
        <v>30</v>
      </c>
      <c r="V80" s="51">
        <v>0</v>
      </c>
      <c r="W80" s="51"/>
      <c r="X80" s="51"/>
      <c r="Y80" s="51"/>
      <c r="Z80" s="51"/>
      <c r="AA80" s="51"/>
      <c r="AB80" s="51" t="s">
        <v>30</v>
      </c>
      <c r="AC80" s="51" t="s">
        <v>30</v>
      </c>
      <c r="AD80" s="51" t="s">
        <v>30</v>
      </c>
      <c r="AE80" s="51" t="s">
        <v>30</v>
      </c>
      <c r="AF80" s="51" t="s">
        <v>30</v>
      </c>
      <c r="AG80" s="51" t="s">
        <v>30</v>
      </c>
      <c r="AH80" s="51"/>
      <c r="AI80" s="51"/>
      <c r="AJ80" s="51"/>
      <c r="AK80" s="51"/>
      <c r="AL80" s="51"/>
      <c r="AM80" s="51"/>
      <c r="AN80" s="51"/>
      <c r="AO80" s="51"/>
      <c r="AP80" s="51" t="s">
        <v>30</v>
      </c>
      <c r="AQ80" s="51" t="s">
        <v>30</v>
      </c>
      <c r="AR80" s="51" t="s">
        <v>30</v>
      </c>
      <c r="AS80" s="51"/>
      <c r="AT80" s="51"/>
      <c r="AU80" s="51"/>
      <c r="AV80" s="51"/>
      <c r="AW80" s="51"/>
      <c r="AX80" s="51"/>
      <c r="AY80" s="51"/>
      <c r="AZ80" s="51" t="s">
        <v>30</v>
      </c>
      <c r="BA80" s="51"/>
      <c r="BB80" s="51" t="s">
        <v>30</v>
      </c>
      <c r="BC80" s="51" t="s">
        <v>30</v>
      </c>
      <c r="BD80" s="51" t="s">
        <v>30</v>
      </c>
      <c r="BE80" s="51" t="s">
        <v>30</v>
      </c>
      <c r="BF80" s="51" t="s">
        <v>30</v>
      </c>
      <c r="BG80" s="51" t="s">
        <v>30</v>
      </c>
      <c r="BH80" s="51" t="s">
        <v>30</v>
      </c>
      <c r="BI80" s="51" t="s">
        <v>30</v>
      </c>
      <c r="BJ80" s="51" t="s">
        <v>30</v>
      </c>
      <c r="BK80" s="51" t="s">
        <v>30</v>
      </c>
      <c r="BL80" s="51" t="s">
        <v>30</v>
      </c>
      <c r="BM80" s="51" t="s">
        <v>30</v>
      </c>
      <c r="BN80" s="51" t="s">
        <v>30</v>
      </c>
      <c r="BO80" s="51" t="s">
        <v>30</v>
      </c>
      <c r="BP80" s="51" t="s">
        <v>30</v>
      </c>
      <c r="BQ80" s="51"/>
      <c r="BR80" s="51"/>
      <c r="BS80" s="51"/>
      <c r="BT80" s="51"/>
      <c r="BU80" s="51"/>
      <c r="BV80" s="51"/>
      <c r="BW80" s="51"/>
      <c r="BX80" s="51">
        <v>0</v>
      </c>
      <c r="BY80" s="51"/>
      <c r="BZ80" s="51"/>
      <c r="CA80" s="51"/>
      <c r="CB80" s="51"/>
      <c r="CC80" s="51"/>
      <c r="CD80" s="51"/>
      <c r="CE80" s="51"/>
      <c r="CF80" s="51"/>
      <c r="CG80" s="51"/>
      <c r="CH80" s="51"/>
      <c r="CI80" s="51"/>
      <c r="CJ80" s="51">
        <v>0</v>
      </c>
    </row>
    <row r="82" spans="1:245" ht="13" x14ac:dyDescent="0.3">
      <c r="A82" s="52">
        <v>52</v>
      </c>
      <c r="B82" s="52">
        <f t="shared" ref="B82:G82" si="52">B93</f>
        <v>1</v>
      </c>
      <c r="C82" s="52">
        <f t="shared" si="52"/>
        <v>4</v>
      </c>
      <c r="D82" s="52">
        <f t="shared" si="52"/>
        <v>80</v>
      </c>
      <c r="E82" s="52">
        <f t="shared" si="52"/>
        <v>0</v>
      </c>
      <c r="F82" s="52" t="str">
        <f t="shared" si="52"/>
        <v>Новый раздел</v>
      </c>
      <c r="G82" s="52" t="str">
        <f t="shared" si="52"/>
        <v>Устройство бортового камня</v>
      </c>
      <c r="H82" s="52"/>
      <c r="I82" s="52"/>
      <c r="J82" s="52"/>
      <c r="K82" s="52"/>
      <c r="L82" s="52"/>
      <c r="M82" s="52"/>
      <c r="N82" s="52"/>
      <c r="O82" s="52">
        <f t="shared" ref="O82:BZ82" si="53">O93</f>
        <v>1302084.8</v>
      </c>
      <c r="P82" s="52">
        <f t="shared" si="53"/>
        <v>732597.84</v>
      </c>
      <c r="Q82" s="52">
        <f t="shared" si="53"/>
        <v>408351.53</v>
      </c>
      <c r="R82" s="52">
        <f t="shared" si="53"/>
        <v>223881.52</v>
      </c>
      <c r="S82" s="52">
        <f t="shared" si="53"/>
        <v>161135.43</v>
      </c>
      <c r="T82" s="52">
        <f t="shared" si="53"/>
        <v>0</v>
      </c>
      <c r="U82" s="52">
        <f t="shared" si="53"/>
        <v>738.34990000000005</v>
      </c>
      <c r="V82" s="52">
        <f t="shared" si="53"/>
        <v>0</v>
      </c>
      <c r="W82" s="52">
        <f t="shared" si="53"/>
        <v>0</v>
      </c>
      <c r="X82" s="52">
        <f t="shared" si="53"/>
        <v>112794.8</v>
      </c>
      <c r="Y82" s="52">
        <f t="shared" si="53"/>
        <v>16113.55</v>
      </c>
      <c r="Z82" s="52">
        <f t="shared" si="53"/>
        <v>0</v>
      </c>
      <c r="AA82" s="52">
        <f t="shared" si="53"/>
        <v>0</v>
      </c>
      <c r="AB82" s="52">
        <f t="shared" si="53"/>
        <v>1302084.8</v>
      </c>
      <c r="AC82" s="52">
        <f t="shared" si="53"/>
        <v>732597.84</v>
      </c>
      <c r="AD82" s="52">
        <f t="shared" si="53"/>
        <v>408351.53</v>
      </c>
      <c r="AE82" s="52">
        <f t="shared" si="53"/>
        <v>223881.52</v>
      </c>
      <c r="AF82" s="52">
        <f t="shared" si="53"/>
        <v>161135.43</v>
      </c>
      <c r="AG82" s="52">
        <f t="shared" si="53"/>
        <v>0</v>
      </c>
      <c r="AH82" s="52">
        <f t="shared" si="53"/>
        <v>738.34990000000005</v>
      </c>
      <c r="AI82" s="52">
        <f t="shared" si="53"/>
        <v>0</v>
      </c>
      <c r="AJ82" s="52">
        <f t="shared" si="53"/>
        <v>0</v>
      </c>
      <c r="AK82" s="52">
        <f t="shared" si="53"/>
        <v>112794.8</v>
      </c>
      <c r="AL82" s="52">
        <f t="shared" si="53"/>
        <v>16113.55</v>
      </c>
      <c r="AM82" s="52">
        <f t="shared" si="53"/>
        <v>0</v>
      </c>
      <c r="AN82" s="52">
        <f t="shared" si="53"/>
        <v>0</v>
      </c>
      <c r="AO82" s="52">
        <f t="shared" si="53"/>
        <v>0</v>
      </c>
      <c r="AP82" s="52">
        <f t="shared" si="53"/>
        <v>0</v>
      </c>
      <c r="AQ82" s="52">
        <f t="shared" si="53"/>
        <v>0</v>
      </c>
      <c r="AR82" s="52">
        <f t="shared" si="53"/>
        <v>1516070.09</v>
      </c>
      <c r="AS82" s="52">
        <f t="shared" si="53"/>
        <v>0</v>
      </c>
      <c r="AT82" s="52">
        <f t="shared" si="53"/>
        <v>0</v>
      </c>
      <c r="AU82" s="52">
        <f t="shared" si="53"/>
        <v>1516070.09</v>
      </c>
      <c r="AV82" s="52">
        <f t="shared" si="53"/>
        <v>732597.84</v>
      </c>
      <c r="AW82" s="52">
        <f t="shared" si="53"/>
        <v>732597.84</v>
      </c>
      <c r="AX82" s="52">
        <f t="shared" si="53"/>
        <v>0</v>
      </c>
      <c r="AY82" s="52">
        <f t="shared" si="53"/>
        <v>732597.84</v>
      </c>
      <c r="AZ82" s="52">
        <f t="shared" si="53"/>
        <v>0</v>
      </c>
      <c r="BA82" s="52">
        <f t="shared" si="53"/>
        <v>0</v>
      </c>
      <c r="BB82" s="52">
        <f t="shared" si="53"/>
        <v>0</v>
      </c>
      <c r="BC82" s="52">
        <f t="shared" si="53"/>
        <v>0</v>
      </c>
      <c r="BD82" s="52">
        <f t="shared" si="53"/>
        <v>0</v>
      </c>
      <c r="BE82" s="52">
        <f t="shared" si="53"/>
        <v>0</v>
      </c>
      <c r="BF82" s="52">
        <f t="shared" si="53"/>
        <v>0</v>
      </c>
      <c r="BG82" s="52">
        <f t="shared" si="53"/>
        <v>0</v>
      </c>
      <c r="BH82" s="52">
        <f t="shared" si="53"/>
        <v>0</v>
      </c>
      <c r="BI82" s="52">
        <f t="shared" si="53"/>
        <v>0</v>
      </c>
      <c r="BJ82" s="52">
        <f t="shared" si="53"/>
        <v>0</v>
      </c>
      <c r="BK82" s="52">
        <f t="shared" si="53"/>
        <v>0</v>
      </c>
      <c r="BL82" s="52">
        <f t="shared" si="53"/>
        <v>0</v>
      </c>
      <c r="BM82" s="52">
        <f t="shared" si="53"/>
        <v>0</v>
      </c>
      <c r="BN82" s="52">
        <f t="shared" si="53"/>
        <v>0</v>
      </c>
      <c r="BO82" s="52">
        <f t="shared" si="53"/>
        <v>0</v>
      </c>
      <c r="BP82" s="52">
        <f t="shared" si="53"/>
        <v>0</v>
      </c>
      <c r="BQ82" s="52">
        <f t="shared" si="53"/>
        <v>0</v>
      </c>
      <c r="BR82" s="52">
        <f t="shared" si="53"/>
        <v>0</v>
      </c>
      <c r="BS82" s="52">
        <f t="shared" si="53"/>
        <v>0</v>
      </c>
      <c r="BT82" s="52">
        <f t="shared" si="53"/>
        <v>0</v>
      </c>
      <c r="BU82" s="52">
        <f t="shared" si="53"/>
        <v>0</v>
      </c>
      <c r="BV82" s="52">
        <f t="shared" si="53"/>
        <v>0</v>
      </c>
      <c r="BW82" s="52">
        <f t="shared" si="53"/>
        <v>0</v>
      </c>
      <c r="BX82" s="52">
        <f t="shared" si="53"/>
        <v>0</v>
      </c>
      <c r="BY82" s="52">
        <f t="shared" si="53"/>
        <v>0</v>
      </c>
      <c r="BZ82" s="52">
        <f t="shared" si="53"/>
        <v>0</v>
      </c>
      <c r="CA82" s="52">
        <f t="shared" ref="CA82:EL82" si="54">CA93</f>
        <v>1516070.09</v>
      </c>
      <c r="CB82" s="52">
        <f t="shared" si="54"/>
        <v>0</v>
      </c>
      <c r="CC82" s="52">
        <f t="shared" si="54"/>
        <v>0</v>
      </c>
      <c r="CD82" s="52">
        <f t="shared" si="54"/>
        <v>1516070.09</v>
      </c>
      <c r="CE82" s="52">
        <f t="shared" si="54"/>
        <v>732597.84</v>
      </c>
      <c r="CF82" s="52">
        <f t="shared" si="54"/>
        <v>732597.84</v>
      </c>
      <c r="CG82" s="52">
        <f t="shared" si="54"/>
        <v>0</v>
      </c>
      <c r="CH82" s="52">
        <f t="shared" si="54"/>
        <v>732597.84</v>
      </c>
      <c r="CI82" s="52">
        <f t="shared" si="54"/>
        <v>0</v>
      </c>
      <c r="CJ82" s="52">
        <f t="shared" si="54"/>
        <v>0</v>
      </c>
      <c r="CK82" s="52">
        <f t="shared" si="54"/>
        <v>0</v>
      </c>
      <c r="CL82" s="52">
        <f t="shared" si="54"/>
        <v>0</v>
      </c>
      <c r="CM82" s="52">
        <f t="shared" si="54"/>
        <v>0</v>
      </c>
      <c r="CN82" s="52">
        <f t="shared" si="54"/>
        <v>0</v>
      </c>
      <c r="CO82" s="52">
        <f t="shared" si="54"/>
        <v>0</v>
      </c>
      <c r="CP82" s="52">
        <f t="shared" si="54"/>
        <v>0</v>
      </c>
      <c r="CQ82" s="52">
        <f t="shared" si="54"/>
        <v>0</v>
      </c>
      <c r="CR82" s="52">
        <f t="shared" si="54"/>
        <v>0</v>
      </c>
      <c r="CS82" s="52">
        <f t="shared" si="54"/>
        <v>0</v>
      </c>
      <c r="CT82" s="52">
        <f t="shared" si="54"/>
        <v>0</v>
      </c>
      <c r="CU82" s="52">
        <f t="shared" si="54"/>
        <v>0</v>
      </c>
      <c r="CV82" s="52">
        <f t="shared" si="54"/>
        <v>0</v>
      </c>
      <c r="CW82" s="52">
        <f t="shared" si="54"/>
        <v>0</v>
      </c>
      <c r="CX82" s="52">
        <f t="shared" si="54"/>
        <v>0</v>
      </c>
      <c r="CY82" s="52">
        <f t="shared" si="54"/>
        <v>0</v>
      </c>
      <c r="CZ82" s="52">
        <f t="shared" si="54"/>
        <v>0</v>
      </c>
      <c r="DA82" s="52">
        <f t="shared" si="54"/>
        <v>0</v>
      </c>
      <c r="DB82" s="52">
        <f t="shared" si="54"/>
        <v>0</v>
      </c>
      <c r="DC82" s="52">
        <f t="shared" si="54"/>
        <v>0</v>
      </c>
      <c r="DD82" s="52">
        <f t="shared" si="54"/>
        <v>0</v>
      </c>
      <c r="DE82" s="52">
        <f t="shared" si="54"/>
        <v>0</v>
      </c>
      <c r="DF82" s="52">
        <f t="shared" si="54"/>
        <v>0</v>
      </c>
      <c r="DG82" s="53">
        <f t="shared" si="54"/>
        <v>0</v>
      </c>
      <c r="DH82" s="53">
        <f t="shared" si="54"/>
        <v>0</v>
      </c>
      <c r="DI82" s="53">
        <f t="shared" si="54"/>
        <v>0</v>
      </c>
      <c r="DJ82" s="53">
        <f t="shared" si="54"/>
        <v>0</v>
      </c>
      <c r="DK82" s="53">
        <f t="shared" si="54"/>
        <v>0</v>
      </c>
      <c r="DL82" s="53">
        <f t="shared" si="54"/>
        <v>0</v>
      </c>
      <c r="DM82" s="53">
        <f t="shared" si="54"/>
        <v>0</v>
      </c>
      <c r="DN82" s="53">
        <f t="shared" si="54"/>
        <v>0</v>
      </c>
      <c r="DO82" s="53">
        <f t="shared" si="54"/>
        <v>0</v>
      </c>
      <c r="DP82" s="53">
        <f t="shared" si="54"/>
        <v>0</v>
      </c>
      <c r="DQ82" s="53">
        <f t="shared" si="54"/>
        <v>0</v>
      </c>
      <c r="DR82" s="53">
        <f t="shared" si="54"/>
        <v>0</v>
      </c>
      <c r="DS82" s="53">
        <f t="shared" si="54"/>
        <v>0</v>
      </c>
      <c r="DT82" s="53">
        <f t="shared" si="54"/>
        <v>0</v>
      </c>
      <c r="DU82" s="53">
        <f t="shared" si="54"/>
        <v>0</v>
      </c>
      <c r="DV82" s="53">
        <f t="shared" si="54"/>
        <v>0</v>
      </c>
      <c r="DW82" s="53">
        <f t="shared" si="54"/>
        <v>0</v>
      </c>
      <c r="DX82" s="53">
        <f t="shared" si="54"/>
        <v>0</v>
      </c>
      <c r="DY82" s="53">
        <f t="shared" si="54"/>
        <v>0</v>
      </c>
      <c r="DZ82" s="53">
        <f t="shared" si="54"/>
        <v>0</v>
      </c>
      <c r="EA82" s="53">
        <f t="shared" si="54"/>
        <v>0</v>
      </c>
      <c r="EB82" s="53">
        <f t="shared" si="54"/>
        <v>0</v>
      </c>
      <c r="EC82" s="53">
        <f t="shared" si="54"/>
        <v>0</v>
      </c>
      <c r="ED82" s="53">
        <f t="shared" si="54"/>
        <v>0</v>
      </c>
      <c r="EE82" s="53">
        <f t="shared" si="54"/>
        <v>0</v>
      </c>
      <c r="EF82" s="53">
        <f t="shared" si="54"/>
        <v>0</v>
      </c>
      <c r="EG82" s="53">
        <f t="shared" si="54"/>
        <v>0</v>
      </c>
      <c r="EH82" s="53">
        <f t="shared" si="54"/>
        <v>0</v>
      </c>
      <c r="EI82" s="53">
        <f t="shared" si="54"/>
        <v>0</v>
      </c>
      <c r="EJ82" s="53">
        <f t="shared" si="54"/>
        <v>0</v>
      </c>
      <c r="EK82" s="53">
        <f t="shared" si="54"/>
        <v>0</v>
      </c>
      <c r="EL82" s="53">
        <f t="shared" si="54"/>
        <v>0</v>
      </c>
      <c r="EM82" s="53">
        <f t="shared" ref="EM82:GX82" si="55">EM93</f>
        <v>0</v>
      </c>
      <c r="EN82" s="53">
        <f t="shared" si="55"/>
        <v>0</v>
      </c>
      <c r="EO82" s="53">
        <f t="shared" si="55"/>
        <v>0</v>
      </c>
      <c r="EP82" s="53">
        <f t="shared" si="55"/>
        <v>0</v>
      </c>
      <c r="EQ82" s="53">
        <f t="shared" si="55"/>
        <v>0</v>
      </c>
      <c r="ER82" s="53">
        <f t="shared" si="55"/>
        <v>0</v>
      </c>
      <c r="ES82" s="53">
        <f t="shared" si="55"/>
        <v>0</v>
      </c>
      <c r="ET82" s="53">
        <f t="shared" si="55"/>
        <v>0</v>
      </c>
      <c r="EU82" s="53">
        <f t="shared" si="55"/>
        <v>0</v>
      </c>
      <c r="EV82" s="53">
        <f t="shared" si="55"/>
        <v>0</v>
      </c>
      <c r="EW82" s="53">
        <f t="shared" si="55"/>
        <v>0</v>
      </c>
      <c r="EX82" s="53">
        <f t="shared" si="55"/>
        <v>0</v>
      </c>
      <c r="EY82" s="53">
        <f t="shared" si="55"/>
        <v>0</v>
      </c>
      <c r="EZ82" s="53">
        <f t="shared" si="55"/>
        <v>0</v>
      </c>
      <c r="FA82" s="53">
        <f t="shared" si="55"/>
        <v>0</v>
      </c>
      <c r="FB82" s="53">
        <f t="shared" si="55"/>
        <v>0</v>
      </c>
      <c r="FC82" s="53">
        <f t="shared" si="55"/>
        <v>0</v>
      </c>
      <c r="FD82" s="53">
        <f t="shared" si="55"/>
        <v>0</v>
      </c>
      <c r="FE82" s="53">
        <f t="shared" si="55"/>
        <v>0</v>
      </c>
      <c r="FF82" s="53">
        <f t="shared" si="55"/>
        <v>0</v>
      </c>
      <c r="FG82" s="53">
        <f t="shared" si="55"/>
        <v>0</v>
      </c>
      <c r="FH82" s="53">
        <f t="shared" si="55"/>
        <v>0</v>
      </c>
      <c r="FI82" s="53">
        <f t="shared" si="55"/>
        <v>0</v>
      </c>
      <c r="FJ82" s="53">
        <f t="shared" si="55"/>
        <v>0</v>
      </c>
      <c r="FK82" s="53">
        <f t="shared" si="55"/>
        <v>0</v>
      </c>
      <c r="FL82" s="53">
        <f t="shared" si="55"/>
        <v>0</v>
      </c>
      <c r="FM82" s="53">
        <f t="shared" si="55"/>
        <v>0</v>
      </c>
      <c r="FN82" s="53">
        <f t="shared" si="55"/>
        <v>0</v>
      </c>
      <c r="FO82" s="53">
        <f t="shared" si="55"/>
        <v>0</v>
      </c>
      <c r="FP82" s="53">
        <f t="shared" si="55"/>
        <v>0</v>
      </c>
      <c r="FQ82" s="53">
        <f t="shared" si="55"/>
        <v>0</v>
      </c>
      <c r="FR82" s="53">
        <f t="shared" si="55"/>
        <v>0</v>
      </c>
      <c r="FS82" s="53">
        <f t="shared" si="55"/>
        <v>0</v>
      </c>
      <c r="FT82" s="53">
        <f t="shared" si="55"/>
        <v>0</v>
      </c>
      <c r="FU82" s="53">
        <f t="shared" si="55"/>
        <v>0</v>
      </c>
      <c r="FV82" s="53">
        <f t="shared" si="55"/>
        <v>0</v>
      </c>
      <c r="FW82" s="53">
        <f t="shared" si="55"/>
        <v>0</v>
      </c>
      <c r="FX82" s="53">
        <f t="shared" si="55"/>
        <v>0</v>
      </c>
      <c r="FY82" s="53">
        <f t="shared" si="55"/>
        <v>0</v>
      </c>
      <c r="FZ82" s="53">
        <f t="shared" si="55"/>
        <v>0</v>
      </c>
      <c r="GA82" s="53">
        <f t="shared" si="55"/>
        <v>0</v>
      </c>
      <c r="GB82" s="53">
        <f t="shared" si="55"/>
        <v>0</v>
      </c>
      <c r="GC82" s="53">
        <f t="shared" si="55"/>
        <v>0</v>
      </c>
      <c r="GD82" s="53">
        <f t="shared" si="55"/>
        <v>0</v>
      </c>
      <c r="GE82" s="53">
        <f t="shared" si="55"/>
        <v>0</v>
      </c>
      <c r="GF82" s="53">
        <f t="shared" si="55"/>
        <v>0</v>
      </c>
      <c r="GG82" s="53">
        <f t="shared" si="55"/>
        <v>0</v>
      </c>
      <c r="GH82" s="53">
        <f t="shared" si="55"/>
        <v>0</v>
      </c>
      <c r="GI82" s="53">
        <f t="shared" si="55"/>
        <v>0</v>
      </c>
      <c r="GJ82" s="53">
        <f t="shared" si="55"/>
        <v>0</v>
      </c>
      <c r="GK82" s="53">
        <f t="shared" si="55"/>
        <v>0</v>
      </c>
      <c r="GL82" s="53">
        <f t="shared" si="55"/>
        <v>0</v>
      </c>
      <c r="GM82" s="53">
        <f t="shared" si="55"/>
        <v>0</v>
      </c>
      <c r="GN82" s="53">
        <f t="shared" si="55"/>
        <v>0</v>
      </c>
      <c r="GO82" s="53">
        <f t="shared" si="55"/>
        <v>0</v>
      </c>
      <c r="GP82" s="53">
        <f t="shared" si="55"/>
        <v>0</v>
      </c>
      <c r="GQ82" s="53">
        <f t="shared" si="55"/>
        <v>0</v>
      </c>
      <c r="GR82" s="53">
        <f t="shared" si="55"/>
        <v>0</v>
      </c>
      <c r="GS82" s="53">
        <f t="shared" si="55"/>
        <v>0</v>
      </c>
      <c r="GT82" s="53">
        <f t="shared" si="55"/>
        <v>0</v>
      </c>
      <c r="GU82" s="53">
        <f t="shared" si="55"/>
        <v>0</v>
      </c>
      <c r="GV82" s="53">
        <f t="shared" si="55"/>
        <v>0</v>
      </c>
      <c r="GW82" s="53">
        <f t="shared" si="55"/>
        <v>0</v>
      </c>
      <c r="GX82" s="53">
        <f t="shared" si="55"/>
        <v>0</v>
      </c>
    </row>
    <row r="84" spans="1:245" x14ac:dyDescent="0.25">
      <c r="A84" s="2">
        <v>17</v>
      </c>
      <c r="B84" s="2">
        <v>1</v>
      </c>
      <c r="C84" s="2">
        <f>ROW('SmtRes (3)'!A41)</f>
        <v>41</v>
      </c>
      <c r="D84" s="2">
        <f>ROW('EtalonRes (3)'!A39)</f>
        <v>39</v>
      </c>
      <c r="E84" s="2" t="s">
        <v>282</v>
      </c>
      <c r="F84" s="2" t="s">
        <v>283</v>
      </c>
      <c r="G84" s="2" t="s">
        <v>284</v>
      </c>
      <c r="H84" s="2" t="s">
        <v>64</v>
      </c>
      <c r="I84" s="2">
        <v>697</v>
      </c>
      <c r="J84" s="2">
        <v>0</v>
      </c>
      <c r="K84" s="2">
        <v>697</v>
      </c>
      <c r="O84" s="2">
        <f t="shared" ref="O84:O91" si="56">ROUND(CP84,2)</f>
        <v>643094.02</v>
      </c>
      <c r="P84" s="2">
        <f t="shared" ref="P84:P91" si="57">ROUND(CQ84*I84,2)</f>
        <v>400461.35</v>
      </c>
      <c r="Q84" s="2">
        <f t="shared" ref="Q84:Q91" si="58">ROUND(CR84*I84,2)</f>
        <v>139379.09</v>
      </c>
      <c r="R84" s="2">
        <f t="shared" ref="R84:R91" si="59">ROUND(CS84*I84,2)</f>
        <v>78774.94</v>
      </c>
      <c r="S84" s="2">
        <f t="shared" ref="S84:S91" si="60">ROUND(CT84*I84,2)</f>
        <v>103253.58</v>
      </c>
      <c r="T84" s="2">
        <f t="shared" ref="T84:T91" si="61">ROUND(CU84*I84,2)</f>
        <v>0</v>
      </c>
      <c r="U84" s="2">
        <f t="shared" ref="U84:U91" si="62">CV84*I84</f>
        <v>460.02</v>
      </c>
      <c r="V84" s="2">
        <f t="shared" ref="V84:V91" si="63">CW84*I84</f>
        <v>0</v>
      </c>
      <c r="W84" s="2">
        <f t="shared" ref="W84:W91" si="64">ROUND(CX84*I84,2)</f>
        <v>0</v>
      </c>
      <c r="X84" s="2">
        <f t="shared" ref="X84:Y91" si="65">ROUND(CY84,2)</f>
        <v>72277.509999999995</v>
      </c>
      <c r="Y84" s="2">
        <f t="shared" si="65"/>
        <v>10325.36</v>
      </c>
      <c r="AA84" s="2">
        <v>52286166</v>
      </c>
      <c r="AB84" s="2">
        <f t="shared" ref="AB84:AB91" si="66">ROUND((AC84+AD84+AF84),6)</f>
        <v>922.66</v>
      </c>
      <c r="AC84" s="2">
        <f>ROUND((ES84),6)</f>
        <v>574.54999999999995</v>
      </c>
      <c r="AD84" s="2">
        <f>ROUND((((ET84)-(EU84))+AE84),6)</f>
        <v>199.97</v>
      </c>
      <c r="AE84" s="2">
        <f t="shared" ref="AE84:AF87" si="67">ROUND((EU84),6)</f>
        <v>113.02</v>
      </c>
      <c r="AF84" s="2">
        <f t="shared" si="67"/>
        <v>148.13999999999999</v>
      </c>
      <c r="AG84" s="2">
        <f t="shared" ref="AG84:AG91" si="68">ROUND((AP84),6)</f>
        <v>0</v>
      </c>
      <c r="AH84" s="2">
        <f t="shared" ref="AH84:AI87" si="69">(EW84)</f>
        <v>0.66</v>
      </c>
      <c r="AI84" s="2">
        <f t="shared" si="69"/>
        <v>0</v>
      </c>
      <c r="AJ84" s="2">
        <f t="shared" ref="AJ84:AJ91" si="70">(AS84)</f>
        <v>0</v>
      </c>
      <c r="AK84" s="2">
        <v>922.66</v>
      </c>
      <c r="AL84" s="2">
        <v>574.54999999999995</v>
      </c>
      <c r="AM84" s="2">
        <v>199.97</v>
      </c>
      <c r="AN84" s="2">
        <v>113.02</v>
      </c>
      <c r="AO84" s="2">
        <v>148.13999999999999</v>
      </c>
      <c r="AP84" s="2">
        <v>0</v>
      </c>
      <c r="AQ84" s="2">
        <v>0.66</v>
      </c>
      <c r="AR84" s="2">
        <v>0</v>
      </c>
      <c r="AS84" s="2">
        <v>0</v>
      </c>
      <c r="AT84" s="2">
        <v>70</v>
      </c>
      <c r="AU84" s="2">
        <v>10</v>
      </c>
      <c r="AV84" s="2">
        <v>1</v>
      </c>
      <c r="AW84" s="2">
        <v>1</v>
      </c>
      <c r="AZ84" s="2">
        <v>1</v>
      </c>
      <c r="BA84" s="2">
        <v>1</v>
      </c>
      <c r="BB84" s="2">
        <v>1</v>
      </c>
      <c r="BC84" s="2">
        <v>1</v>
      </c>
      <c r="BD84" s="2" t="s">
        <v>30</v>
      </c>
      <c r="BE84" s="2" t="s">
        <v>30</v>
      </c>
      <c r="BF84" s="2" t="s">
        <v>30</v>
      </c>
      <c r="BG84" s="2" t="s">
        <v>30</v>
      </c>
      <c r="BH84" s="2">
        <v>0</v>
      </c>
      <c r="BI84" s="2">
        <v>4</v>
      </c>
      <c r="BJ84" s="2" t="s">
        <v>285</v>
      </c>
      <c r="BM84" s="2">
        <v>0</v>
      </c>
      <c r="BN84" s="2">
        <v>0</v>
      </c>
      <c r="BO84" s="2" t="s">
        <v>30</v>
      </c>
      <c r="BP84" s="2">
        <v>0</v>
      </c>
      <c r="BQ84" s="2">
        <v>1</v>
      </c>
      <c r="BR84" s="2">
        <v>0</v>
      </c>
      <c r="BS84" s="2">
        <v>1</v>
      </c>
      <c r="BT84" s="2">
        <v>1</v>
      </c>
      <c r="BU84" s="2">
        <v>1</v>
      </c>
      <c r="BV84" s="2">
        <v>1</v>
      </c>
      <c r="BW84" s="2">
        <v>1</v>
      </c>
      <c r="BX84" s="2">
        <v>1</v>
      </c>
      <c r="BY84" s="2" t="s">
        <v>30</v>
      </c>
      <c r="BZ84" s="2">
        <v>70</v>
      </c>
      <c r="CA84" s="2">
        <v>10</v>
      </c>
      <c r="CB84" s="2" t="s">
        <v>30</v>
      </c>
      <c r="CE84" s="2">
        <v>0</v>
      </c>
      <c r="CF84" s="2">
        <v>0</v>
      </c>
      <c r="CG84" s="2">
        <v>0</v>
      </c>
      <c r="CM84" s="2">
        <v>0</v>
      </c>
      <c r="CN84" s="2" t="s">
        <v>30</v>
      </c>
      <c r="CO84" s="2">
        <v>0</v>
      </c>
      <c r="CP84" s="2">
        <f t="shared" ref="CP84:CP91" si="71">(P84+Q84+S84)</f>
        <v>643094.02</v>
      </c>
      <c r="CQ84" s="2">
        <f t="shared" ref="CQ84:CQ91" si="72">(AC84*BC84*AW84)</f>
        <v>574.54999999999995</v>
      </c>
      <c r="CR84" s="2">
        <f>((((ET84)*BB84-(EU84)*BS84)+AE84*BS84)*AV84)</f>
        <v>199.97</v>
      </c>
      <c r="CS84" s="2">
        <f t="shared" ref="CS84:CS91" si="73">(AE84*BS84*AV84)</f>
        <v>113.02</v>
      </c>
      <c r="CT84" s="2">
        <f t="shared" ref="CT84:CT91" si="74">(AF84*BA84*AV84)</f>
        <v>148.13999999999999</v>
      </c>
      <c r="CU84" s="2">
        <f t="shared" ref="CU84:CU91" si="75">AG84</f>
        <v>0</v>
      </c>
      <c r="CV84" s="2">
        <f t="shared" ref="CV84:CV91" si="76">(AH84*AV84)</f>
        <v>0.66</v>
      </c>
      <c r="CW84" s="2">
        <f t="shared" ref="CW84:CX91" si="77">AI84</f>
        <v>0</v>
      </c>
      <c r="CX84" s="2">
        <f t="shared" si="77"/>
        <v>0</v>
      </c>
      <c r="CY84" s="2">
        <f t="shared" ref="CY84:CY91" si="78">((S84*BZ84)/100)</f>
        <v>72277.505999999994</v>
      </c>
      <c r="CZ84" s="2">
        <f t="shared" ref="CZ84:CZ91" si="79">((S84*CA84)/100)</f>
        <v>10325.358</v>
      </c>
      <c r="DC84" s="2" t="s">
        <v>30</v>
      </c>
      <c r="DD84" s="2" t="s">
        <v>30</v>
      </c>
      <c r="DE84" s="2" t="s">
        <v>30</v>
      </c>
      <c r="DF84" s="2" t="s">
        <v>30</v>
      </c>
      <c r="DG84" s="2" t="s">
        <v>30</v>
      </c>
      <c r="DH84" s="2" t="s">
        <v>30</v>
      </c>
      <c r="DI84" s="2" t="s">
        <v>30</v>
      </c>
      <c r="DJ84" s="2" t="s">
        <v>30</v>
      </c>
      <c r="DK84" s="2" t="s">
        <v>30</v>
      </c>
      <c r="DL84" s="2" t="s">
        <v>30</v>
      </c>
      <c r="DM84" s="2" t="s">
        <v>30</v>
      </c>
      <c r="DN84" s="2">
        <v>0</v>
      </c>
      <c r="DO84" s="2">
        <v>0</v>
      </c>
      <c r="DP84" s="2">
        <v>1</v>
      </c>
      <c r="DQ84" s="2">
        <v>1</v>
      </c>
      <c r="DU84" s="2">
        <v>1003</v>
      </c>
      <c r="DV84" s="2" t="s">
        <v>64</v>
      </c>
      <c r="DW84" s="2" t="s">
        <v>64</v>
      </c>
      <c r="DX84" s="2">
        <v>1</v>
      </c>
      <c r="DZ84" s="2" t="s">
        <v>30</v>
      </c>
      <c r="EA84" s="2" t="s">
        <v>30</v>
      </c>
      <c r="EB84" s="2" t="s">
        <v>30</v>
      </c>
      <c r="EC84" s="2" t="s">
        <v>30</v>
      </c>
      <c r="EE84" s="2">
        <v>49661954</v>
      </c>
      <c r="EF84" s="2">
        <v>1</v>
      </c>
      <c r="EG84" s="2" t="s">
        <v>180</v>
      </c>
      <c r="EH84" s="2">
        <v>0</v>
      </c>
      <c r="EI84" s="2" t="s">
        <v>30</v>
      </c>
      <c r="EJ84" s="2">
        <v>4</v>
      </c>
      <c r="EK84" s="2">
        <v>0</v>
      </c>
      <c r="EL84" s="2" t="s">
        <v>181</v>
      </c>
      <c r="EM84" s="2" t="s">
        <v>182</v>
      </c>
      <c r="EO84" s="2" t="s">
        <v>30</v>
      </c>
      <c r="EQ84" s="2">
        <v>0</v>
      </c>
      <c r="ER84" s="2">
        <v>922.66</v>
      </c>
      <c r="ES84" s="2">
        <v>574.54999999999995</v>
      </c>
      <c r="ET84" s="2">
        <v>199.97</v>
      </c>
      <c r="EU84" s="2">
        <v>113.02</v>
      </c>
      <c r="EV84" s="2">
        <v>148.13999999999999</v>
      </c>
      <c r="EW84" s="2">
        <v>0.66</v>
      </c>
      <c r="EX84" s="2">
        <v>0</v>
      </c>
      <c r="EY84" s="2">
        <v>0</v>
      </c>
      <c r="FQ84" s="2">
        <v>0</v>
      </c>
      <c r="FR84" s="2">
        <f t="shared" ref="FR84:FR91" si="80">ROUND(IF(AND(BH84=3,BI84=3),P84,0),2)</f>
        <v>0</v>
      </c>
      <c r="FS84" s="2">
        <v>0</v>
      </c>
      <c r="FX84" s="2">
        <v>70</v>
      </c>
      <c r="FY84" s="2">
        <v>10</v>
      </c>
      <c r="GA84" s="2" t="s">
        <v>30</v>
      </c>
      <c r="GD84" s="2">
        <v>0</v>
      </c>
      <c r="GF84" s="2">
        <v>999669814</v>
      </c>
      <c r="GG84" s="2">
        <v>2</v>
      </c>
      <c r="GH84" s="2">
        <v>1</v>
      </c>
      <c r="GI84" s="2">
        <v>-2</v>
      </c>
      <c r="GJ84" s="2">
        <v>0</v>
      </c>
      <c r="GK84" s="2">
        <f>ROUND(R84*(R12)/100,2)</f>
        <v>85076.94</v>
      </c>
      <c r="GL84" s="2">
        <f t="shared" ref="GL84:GL91" si="81">ROUND(IF(AND(BH84=3,BI84=3,FS84&lt;&gt;0),P84,0),2)</f>
        <v>0</v>
      </c>
      <c r="GM84" s="2">
        <f>ROUND(O84+X84+Y84+GK84,2)+GX84</f>
        <v>810773.83</v>
      </c>
      <c r="GN84" s="2">
        <f>IF(OR(BI84=0,BI84=1),ROUND(O84+X84+Y84+GK84,2),0)</f>
        <v>0</v>
      </c>
      <c r="GO84" s="2">
        <f>IF(BI84=2,ROUND(O84+X84+Y84+GK84,2),0)</f>
        <v>0</v>
      </c>
      <c r="GP84" s="2">
        <f>IF(BI84=4,ROUND(O84+X84+Y84+GK84,2)+GX84,0)</f>
        <v>810773.83</v>
      </c>
      <c r="GR84" s="2">
        <v>0</v>
      </c>
      <c r="GS84" s="2">
        <v>3</v>
      </c>
      <c r="GT84" s="2">
        <v>0</v>
      </c>
      <c r="GU84" s="2" t="s">
        <v>30</v>
      </c>
      <c r="GV84" s="2">
        <f t="shared" ref="GV84:GV91" si="82">ROUND((GT84),6)</f>
        <v>0</v>
      </c>
      <c r="GW84" s="2">
        <v>1</v>
      </c>
      <c r="GX84" s="2">
        <f t="shared" ref="GX84:GX91" si="83">ROUND(HC84*I84,2)</f>
        <v>0</v>
      </c>
      <c r="HA84" s="2">
        <v>0</v>
      </c>
      <c r="HB84" s="2">
        <v>0</v>
      </c>
      <c r="HC84" s="2">
        <f t="shared" ref="HC84:HC91" si="84">GV84*GW84</f>
        <v>0</v>
      </c>
      <c r="HE84" s="2" t="s">
        <v>30</v>
      </c>
      <c r="HF84" s="2" t="s">
        <v>30</v>
      </c>
      <c r="HM84" s="2" t="s">
        <v>30</v>
      </c>
      <c r="HN84" s="2" t="s">
        <v>30</v>
      </c>
      <c r="HO84" s="2" t="s">
        <v>30</v>
      </c>
      <c r="HP84" s="2" t="s">
        <v>30</v>
      </c>
      <c r="HQ84" s="2" t="s">
        <v>30</v>
      </c>
      <c r="IK84" s="2">
        <v>0</v>
      </c>
    </row>
    <row r="85" spans="1:245" x14ac:dyDescent="0.25">
      <c r="A85" s="2">
        <v>18</v>
      </c>
      <c r="B85" s="2">
        <v>1</v>
      </c>
      <c r="C85" s="2">
        <v>39</v>
      </c>
      <c r="E85" s="2" t="s">
        <v>35</v>
      </c>
      <c r="F85" s="2" t="s">
        <v>286</v>
      </c>
      <c r="G85" s="2" t="s">
        <v>287</v>
      </c>
      <c r="H85" s="2" t="s">
        <v>62</v>
      </c>
      <c r="I85" s="2">
        <f>I84*J85</f>
        <v>-0.41820000000000002</v>
      </c>
      <c r="J85" s="2">
        <v>-5.9999999999999995E-4</v>
      </c>
      <c r="K85" s="2">
        <v>-5.9999999999999995E-4</v>
      </c>
      <c r="O85" s="2">
        <f t="shared" si="56"/>
        <v>-1433.37</v>
      </c>
      <c r="P85" s="2">
        <f t="shared" si="57"/>
        <v>-1433.37</v>
      </c>
      <c r="Q85" s="2">
        <f t="shared" si="58"/>
        <v>0</v>
      </c>
      <c r="R85" s="2">
        <f t="shared" si="59"/>
        <v>0</v>
      </c>
      <c r="S85" s="2">
        <f t="shared" si="60"/>
        <v>0</v>
      </c>
      <c r="T85" s="2">
        <f t="shared" si="61"/>
        <v>0</v>
      </c>
      <c r="U85" s="2">
        <f t="shared" si="62"/>
        <v>0</v>
      </c>
      <c r="V85" s="2">
        <f t="shared" si="63"/>
        <v>0</v>
      </c>
      <c r="W85" s="2">
        <f t="shared" si="64"/>
        <v>0</v>
      </c>
      <c r="X85" s="2">
        <f t="shared" si="65"/>
        <v>0</v>
      </c>
      <c r="Y85" s="2">
        <f t="shared" si="65"/>
        <v>0</v>
      </c>
      <c r="AA85" s="2">
        <v>52286166</v>
      </c>
      <c r="AB85" s="2">
        <f t="shared" si="66"/>
        <v>3427.48</v>
      </c>
      <c r="AC85" s="2">
        <f>ROUND((ES85),6)</f>
        <v>3427.48</v>
      </c>
      <c r="AD85" s="2">
        <f>ROUND((((ET85)-(EU85))+AE85),6)</f>
        <v>0</v>
      </c>
      <c r="AE85" s="2">
        <f t="shared" si="67"/>
        <v>0</v>
      </c>
      <c r="AF85" s="2">
        <f t="shared" si="67"/>
        <v>0</v>
      </c>
      <c r="AG85" s="2">
        <f t="shared" si="68"/>
        <v>0</v>
      </c>
      <c r="AH85" s="2">
        <f t="shared" si="69"/>
        <v>0</v>
      </c>
      <c r="AI85" s="2">
        <f t="shared" si="69"/>
        <v>0</v>
      </c>
      <c r="AJ85" s="2">
        <f t="shared" si="70"/>
        <v>0</v>
      </c>
      <c r="AK85" s="2">
        <v>3427.48</v>
      </c>
      <c r="AL85" s="2">
        <v>3427.48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70</v>
      </c>
      <c r="AU85" s="2">
        <v>10</v>
      </c>
      <c r="AV85" s="2">
        <v>1</v>
      </c>
      <c r="AW85" s="2">
        <v>1</v>
      </c>
      <c r="AZ85" s="2">
        <v>1</v>
      </c>
      <c r="BA85" s="2">
        <v>1</v>
      </c>
      <c r="BB85" s="2">
        <v>1</v>
      </c>
      <c r="BC85" s="2">
        <v>1</v>
      </c>
      <c r="BD85" s="2" t="s">
        <v>30</v>
      </c>
      <c r="BE85" s="2" t="s">
        <v>30</v>
      </c>
      <c r="BF85" s="2" t="s">
        <v>30</v>
      </c>
      <c r="BG85" s="2" t="s">
        <v>30</v>
      </c>
      <c r="BH85" s="2">
        <v>3</v>
      </c>
      <c r="BI85" s="2">
        <v>4</v>
      </c>
      <c r="BJ85" s="2" t="s">
        <v>288</v>
      </c>
      <c r="BM85" s="2">
        <v>0</v>
      </c>
      <c r="BN85" s="2">
        <v>0</v>
      </c>
      <c r="BO85" s="2" t="s">
        <v>30</v>
      </c>
      <c r="BP85" s="2">
        <v>0</v>
      </c>
      <c r="BQ85" s="2">
        <v>1</v>
      </c>
      <c r="BR85" s="2">
        <v>1</v>
      </c>
      <c r="BS85" s="2">
        <v>1</v>
      </c>
      <c r="BT85" s="2">
        <v>1</v>
      </c>
      <c r="BU85" s="2">
        <v>1</v>
      </c>
      <c r="BV85" s="2">
        <v>1</v>
      </c>
      <c r="BW85" s="2">
        <v>1</v>
      </c>
      <c r="BX85" s="2">
        <v>1</v>
      </c>
      <c r="BY85" s="2" t="s">
        <v>30</v>
      </c>
      <c r="BZ85" s="2">
        <v>70</v>
      </c>
      <c r="CA85" s="2">
        <v>10</v>
      </c>
      <c r="CB85" s="2" t="s">
        <v>30</v>
      </c>
      <c r="CE85" s="2">
        <v>0</v>
      </c>
      <c r="CF85" s="2">
        <v>0</v>
      </c>
      <c r="CG85" s="2">
        <v>0</v>
      </c>
      <c r="CM85" s="2">
        <v>0</v>
      </c>
      <c r="CN85" s="2" t="s">
        <v>30</v>
      </c>
      <c r="CO85" s="2">
        <v>0</v>
      </c>
      <c r="CP85" s="2">
        <f t="shared" si="71"/>
        <v>-1433.37</v>
      </c>
      <c r="CQ85" s="2">
        <f t="shared" si="72"/>
        <v>3427.48</v>
      </c>
      <c r="CR85" s="2">
        <f>((((ET85)*BB85-(EU85)*BS85)+AE85*BS85)*AV85)</f>
        <v>0</v>
      </c>
      <c r="CS85" s="2">
        <f t="shared" si="73"/>
        <v>0</v>
      </c>
      <c r="CT85" s="2">
        <f t="shared" si="74"/>
        <v>0</v>
      </c>
      <c r="CU85" s="2">
        <f t="shared" si="75"/>
        <v>0</v>
      </c>
      <c r="CV85" s="2">
        <f t="shared" si="76"/>
        <v>0</v>
      </c>
      <c r="CW85" s="2">
        <f t="shared" si="77"/>
        <v>0</v>
      </c>
      <c r="CX85" s="2">
        <f t="shared" si="77"/>
        <v>0</v>
      </c>
      <c r="CY85" s="2">
        <f t="shared" si="78"/>
        <v>0</v>
      </c>
      <c r="CZ85" s="2">
        <f t="shared" si="79"/>
        <v>0</v>
      </c>
      <c r="DC85" s="2" t="s">
        <v>30</v>
      </c>
      <c r="DD85" s="2" t="s">
        <v>30</v>
      </c>
      <c r="DE85" s="2" t="s">
        <v>30</v>
      </c>
      <c r="DF85" s="2" t="s">
        <v>30</v>
      </c>
      <c r="DG85" s="2" t="s">
        <v>30</v>
      </c>
      <c r="DH85" s="2" t="s">
        <v>30</v>
      </c>
      <c r="DI85" s="2" t="s">
        <v>30</v>
      </c>
      <c r="DJ85" s="2" t="s">
        <v>30</v>
      </c>
      <c r="DK85" s="2" t="s">
        <v>30</v>
      </c>
      <c r="DL85" s="2" t="s">
        <v>30</v>
      </c>
      <c r="DM85" s="2" t="s">
        <v>30</v>
      </c>
      <c r="DN85" s="2">
        <v>0</v>
      </c>
      <c r="DO85" s="2">
        <v>0</v>
      </c>
      <c r="DP85" s="2">
        <v>1</v>
      </c>
      <c r="DQ85" s="2">
        <v>1</v>
      </c>
      <c r="DU85" s="2">
        <v>1007</v>
      </c>
      <c r="DV85" s="2" t="s">
        <v>62</v>
      </c>
      <c r="DW85" s="2" t="s">
        <v>62</v>
      </c>
      <c r="DX85" s="2">
        <v>1</v>
      </c>
      <c r="DZ85" s="2" t="s">
        <v>30</v>
      </c>
      <c r="EA85" s="2" t="s">
        <v>30</v>
      </c>
      <c r="EB85" s="2" t="s">
        <v>30</v>
      </c>
      <c r="EC85" s="2" t="s">
        <v>30</v>
      </c>
      <c r="EE85" s="2">
        <v>49661954</v>
      </c>
      <c r="EF85" s="2">
        <v>1</v>
      </c>
      <c r="EG85" s="2" t="s">
        <v>180</v>
      </c>
      <c r="EH85" s="2">
        <v>0</v>
      </c>
      <c r="EI85" s="2" t="s">
        <v>30</v>
      </c>
      <c r="EJ85" s="2">
        <v>4</v>
      </c>
      <c r="EK85" s="2">
        <v>0</v>
      </c>
      <c r="EL85" s="2" t="s">
        <v>181</v>
      </c>
      <c r="EM85" s="2" t="s">
        <v>182</v>
      </c>
      <c r="EO85" s="2" t="s">
        <v>30</v>
      </c>
      <c r="EQ85" s="2">
        <v>0</v>
      </c>
      <c r="ER85" s="2">
        <v>3427.48</v>
      </c>
      <c r="ES85" s="2">
        <v>3427.48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FQ85" s="2">
        <v>0</v>
      </c>
      <c r="FR85" s="2">
        <f t="shared" si="80"/>
        <v>0</v>
      </c>
      <c r="FS85" s="2">
        <v>0</v>
      </c>
      <c r="FX85" s="2">
        <v>70</v>
      </c>
      <c r="FY85" s="2">
        <v>10</v>
      </c>
      <c r="GA85" s="2" t="s">
        <v>30</v>
      </c>
      <c r="GD85" s="2">
        <v>0</v>
      </c>
      <c r="GF85" s="2">
        <v>820745631</v>
      </c>
      <c r="GG85" s="2">
        <v>2</v>
      </c>
      <c r="GH85" s="2">
        <v>1</v>
      </c>
      <c r="GI85" s="2">
        <v>-2</v>
      </c>
      <c r="GJ85" s="2">
        <v>0</v>
      </c>
      <c r="GK85" s="2">
        <f>ROUND(R85*(R12)/100,2)</f>
        <v>0</v>
      </c>
      <c r="GL85" s="2">
        <f t="shared" si="81"/>
        <v>0</v>
      </c>
      <c r="GM85" s="2">
        <f>ROUND(O85+X85+Y85+GK85,2)+GX85</f>
        <v>-1433.37</v>
      </c>
      <c r="GN85" s="2">
        <f>IF(OR(BI85=0,BI85=1),ROUND(O85+X85+Y85+GK85,2),0)</f>
        <v>0</v>
      </c>
      <c r="GO85" s="2">
        <f>IF(BI85=2,ROUND(O85+X85+Y85+GK85,2),0)</f>
        <v>0</v>
      </c>
      <c r="GP85" s="2">
        <f>IF(BI85=4,ROUND(O85+X85+Y85+GK85,2)+GX85,0)</f>
        <v>-1433.37</v>
      </c>
      <c r="GR85" s="2">
        <v>0</v>
      </c>
      <c r="GS85" s="2">
        <v>3</v>
      </c>
      <c r="GT85" s="2">
        <v>0</v>
      </c>
      <c r="GU85" s="2" t="s">
        <v>30</v>
      </c>
      <c r="GV85" s="2">
        <f t="shared" si="82"/>
        <v>0</v>
      </c>
      <c r="GW85" s="2">
        <v>1</v>
      </c>
      <c r="GX85" s="2">
        <f t="shared" si="83"/>
        <v>0</v>
      </c>
      <c r="HA85" s="2">
        <v>0</v>
      </c>
      <c r="HB85" s="2">
        <v>0</v>
      </c>
      <c r="HC85" s="2">
        <f t="shared" si="84"/>
        <v>0</v>
      </c>
      <c r="HE85" s="2" t="s">
        <v>30</v>
      </c>
      <c r="HF85" s="2" t="s">
        <v>30</v>
      </c>
      <c r="HM85" s="2" t="s">
        <v>30</v>
      </c>
      <c r="HN85" s="2" t="s">
        <v>30</v>
      </c>
      <c r="HO85" s="2" t="s">
        <v>30</v>
      </c>
      <c r="HP85" s="2" t="s">
        <v>30</v>
      </c>
      <c r="HQ85" s="2" t="s">
        <v>30</v>
      </c>
      <c r="IK85" s="2">
        <v>0</v>
      </c>
    </row>
    <row r="86" spans="1:245" x14ac:dyDescent="0.25">
      <c r="A86" s="2">
        <v>18</v>
      </c>
      <c r="B86" s="2">
        <v>1</v>
      </c>
      <c r="C86" s="2">
        <v>41</v>
      </c>
      <c r="E86" s="2" t="s">
        <v>36</v>
      </c>
      <c r="F86" s="2" t="s">
        <v>289</v>
      </c>
      <c r="G86" s="2" t="s">
        <v>290</v>
      </c>
      <c r="H86" s="2" t="s">
        <v>63</v>
      </c>
      <c r="I86" s="2">
        <f>I84*J86</f>
        <v>-171.46199999999999</v>
      </c>
      <c r="J86" s="2">
        <v>-0.246</v>
      </c>
      <c r="K86" s="2">
        <v>-0.246</v>
      </c>
      <c r="O86" s="2">
        <f t="shared" si="56"/>
        <v>0</v>
      </c>
      <c r="P86" s="2">
        <f t="shared" si="57"/>
        <v>0</v>
      </c>
      <c r="Q86" s="2">
        <f t="shared" si="58"/>
        <v>0</v>
      </c>
      <c r="R86" s="2">
        <f t="shared" si="59"/>
        <v>0</v>
      </c>
      <c r="S86" s="2">
        <f t="shared" si="60"/>
        <v>0</v>
      </c>
      <c r="T86" s="2">
        <f t="shared" si="61"/>
        <v>0</v>
      </c>
      <c r="U86" s="2">
        <f t="shared" si="62"/>
        <v>0</v>
      </c>
      <c r="V86" s="2">
        <f t="shared" si="63"/>
        <v>0</v>
      </c>
      <c r="W86" s="2">
        <f t="shared" si="64"/>
        <v>0</v>
      </c>
      <c r="X86" s="2">
        <f t="shared" si="65"/>
        <v>0</v>
      </c>
      <c r="Y86" s="2">
        <f t="shared" si="65"/>
        <v>0</v>
      </c>
      <c r="AA86" s="2">
        <v>52286166</v>
      </c>
      <c r="AB86" s="2">
        <f t="shared" si="66"/>
        <v>0</v>
      </c>
      <c r="AC86" s="2">
        <f>ROUND((ES86),6)</f>
        <v>0</v>
      </c>
      <c r="AD86" s="2">
        <f>ROUND((((ET86)-(EU86))+AE86),6)</f>
        <v>0</v>
      </c>
      <c r="AE86" s="2">
        <f t="shared" si="67"/>
        <v>0</v>
      </c>
      <c r="AF86" s="2">
        <f t="shared" si="67"/>
        <v>0</v>
      </c>
      <c r="AG86" s="2">
        <f t="shared" si="68"/>
        <v>0</v>
      </c>
      <c r="AH86" s="2">
        <f t="shared" si="69"/>
        <v>0</v>
      </c>
      <c r="AI86" s="2">
        <f t="shared" si="69"/>
        <v>0</v>
      </c>
      <c r="AJ86" s="2">
        <f t="shared" si="70"/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70</v>
      </c>
      <c r="AU86" s="2">
        <v>10</v>
      </c>
      <c r="AV86" s="2">
        <v>1</v>
      </c>
      <c r="AW86" s="2">
        <v>1</v>
      </c>
      <c r="AZ86" s="2">
        <v>1</v>
      </c>
      <c r="BA86" s="2">
        <v>1</v>
      </c>
      <c r="BB86" s="2">
        <v>1</v>
      </c>
      <c r="BC86" s="2">
        <v>1</v>
      </c>
      <c r="BD86" s="2" t="s">
        <v>30</v>
      </c>
      <c r="BE86" s="2" t="s">
        <v>30</v>
      </c>
      <c r="BF86" s="2" t="s">
        <v>30</v>
      </c>
      <c r="BG86" s="2" t="s">
        <v>30</v>
      </c>
      <c r="BH86" s="2">
        <v>3</v>
      </c>
      <c r="BI86" s="2">
        <v>4</v>
      </c>
      <c r="BJ86" s="2" t="s">
        <v>30</v>
      </c>
      <c r="BM86" s="2">
        <v>0</v>
      </c>
      <c r="BN86" s="2">
        <v>0</v>
      </c>
      <c r="BO86" s="2" t="s">
        <v>30</v>
      </c>
      <c r="BP86" s="2">
        <v>0</v>
      </c>
      <c r="BQ86" s="2">
        <v>1</v>
      </c>
      <c r="BR86" s="2">
        <v>1</v>
      </c>
      <c r="BS86" s="2">
        <v>1</v>
      </c>
      <c r="BT86" s="2">
        <v>1</v>
      </c>
      <c r="BU86" s="2">
        <v>1</v>
      </c>
      <c r="BV86" s="2">
        <v>1</v>
      </c>
      <c r="BW86" s="2">
        <v>1</v>
      </c>
      <c r="BX86" s="2">
        <v>1</v>
      </c>
      <c r="BY86" s="2" t="s">
        <v>30</v>
      </c>
      <c r="BZ86" s="2">
        <v>70</v>
      </c>
      <c r="CA86" s="2">
        <v>10</v>
      </c>
      <c r="CB86" s="2" t="s">
        <v>30</v>
      </c>
      <c r="CE86" s="2">
        <v>0</v>
      </c>
      <c r="CF86" s="2">
        <v>0</v>
      </c>
      <c r="CG86" s="2">
        <v>0</v>
      </c>
      <c r="CM86" s="2">
        <v>0</v>
      </c>
      <c r="CN86" s="2" t="s">
        <v>30</v>
      </c>
      <c r="CO86" s="2">
        <v>0</v>
      </c>
      <c r="CP86" s="2">
        <f t="shared" si="71"/>
        <v>0</v>
      </c>
      <c r="CQ86" s="2">
        <f t="shared" si="72"/>
        <v>0</v>
      </c>
      <c r="CR86" s="2">
        <f>((((ET86)*BB86-(EU86)*BS86)+AE86*BS86)*AV86)</f>
        <v>0</v>
      </c>
      <c r="CS86" s="2">
        <f t="shared" si="73"/>
        <v>0</v>
      </c>
      <c r="CT86" s="2">
        <f t="shared" si="74"/>
        <v>0</v>
      </c>
      <c r="CU86" s="2">
        <f t="shared" si="75"/>
        <v>0</v>
      </c>
      <c r="CV86" s="2">
        <f t="shared" si="76"/>
        <v>0</v>
      </c>
      <c r="CW86" s="2">
        <f t="shared" si="77"/>
        <v>0</v>
      </c>
      <c r="CX86" s="2">
        <f t="shared" si="77"/>
        <v>0</v>
      </c>
      <c r="CY86" s="2">
        <f t="shared" si="78"/>
        <v>0</v>
      </c>
      <c r="CZ86" s="2">
        <f t="shared" si="79"/>
        <v>0</v>
      </c>
      <c r="DC86" s="2" t="s">
        <v>30</v>
      </c>
      <c r="DD86" s="2" t="s">
        <v>30</v>
      </c>
      <c r="DE86" s="2" t="s">
        <v>30</v>
      </c>
      <c r="DF86" s="2" t="s">
        <v>30</v>
      </c>
      <c r="DG86" s="2" t="s">
        <v>30</v>
      </c>
      <c r="DH86" s="2" t="s">
        <v>30</v>
      </c>
      <c r="DI86" s="2" t="s">
        <v>30</v>
      </c>
      <c r="DJ86" s="2" t="s">
        <v>30</v>
      </c>
      <c r="DK86" s="2" t="s">
        <v>30</v>
      </c>
      <c r="DL86" s="2" t="s">
        <v>30</v>
      </c>
      <c r="DM86" s="2" t="s">
        <v>30</v>
      </c>
      <c r="DN86" s="2">
        <v>0</v>
      </c>
      <c r="DO86" s="2">
        <v>0</v>
      </c>
      <c r="DP86" s="2">
        <v>1</v>
      </c>
      <c r="DQ86" s="2">
        <v>1</v>
      </c>
      <c r="DU86" s="2">
        <v>1009</v>
      </c>
      <c r="DV86" s="2" t="s">
        <v>63</v>
      </c>
      <c r="DW86" s="2" t="s">
        <v>63</v>
      </c>
      <c r="DX86" s="2">
        <v>1000</v>
      </c>
      <c r="DZ86" s="2" t="s">
        <v>30</v>
      </c>
      <c r="EA86" s="2" t="s">
        <v>30</v>
      </c>
      <c r="EB86" s="2" t="s">
        <v>30</v>
      </c>
      <c r="EC86" s="2" t="s">
        <v>30</v>
      </c>
      <c r="EE86" s="2">
        <v>49661954</v>
      </c>
      <c r="EF86" s="2">
        <v>1</v>
      </c>
      <c r="EG86" s="2" t="s">
        <v>180</v>
      </c>
      <c r="EH86" s="2">
        <v>0</v>
      </c>
      <c r="EI86" s="2" t="s">
        <v>30</v>
      </c>
      <c r="EJ86" s="2">
        <v>4</v>
      </c>
      <c r="EK86" s="2">
        <v>0</v>
      </c>
      <c r="EL86" s="2" t="s">
        <v>181</v>
      </c>
      <c r="EM86" s="2" t="s">
        <v>182</v>
      </c>
      <c r="EO86" s="2" t="s">
        <v>30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FQ86" s="2">
        <v>0</v>
      </c>
      <c r="FR86" s="2">
        <f t="shared" si="80"/>
        <v>0</v>
      </c>
      <c r="FS86" s="2">
        <v>0</v>
      </c>
      <c r="FX86" s="2">
        <v>70</v>
      </c>
      <c r="FY86" s="2">
        <v>10</v>
      </c>
      <c r="GA86" s="2" t="s">
        <v>30</v>
      </c>
      <c r="GD86" s="2">
        <v>0</v>
      </c>
      <c r="GF86" s="2">
        <v>1489638031</v>
      </c>
      <c r="GG86" s="2">
        <v>2</v>
      </c>
      <c r="GH86" s="2">
        <v>1</v>
      </c>
      <c r="GI86" s="2">
        <v>-2</v>
      </c>
      <c r="GJ86" s="2">
        <v>0</v>
      </c>
      <c r="GK86" s="2">
        <f>ROUND(R86*(R12)/100,2)</f>
        <v>0</v>
      </c>
      <c r="GL86" s="2">
        <f t="shared" si="81"/>
        <v>0</v>
      </c>
      <c r="GM86" s="2">
        <f>ROUND(O86+X86+Y86+GK86,2)+GX86</f>
        <v>0</v>
      </c>
      <c r="GN86" s="2">
        <f>IF(OR(BI86=0,BI86=1),ROUND(O86+X86+Y86+GK86,2),0)</f>
        <v>0</v>
      </c>
      <c r="GO86" s="2">
        <f>IF(BI86=2,ROUND(O86+X86+Y86+GK86,2),0)</f>
        <v>0</v>
      </c>
      <c r="GP86" s="2">
        <f>IF(BI86=4,ROUND(O86+X86+Y86+GK86,2)+GX86,0)</f>
        <v>0</v>
      </c>
      <c r="GR86" s="2">
        <v>0</v>
      </c>
      <c r="GS86" s="2">
        <v>3</v>
      </c>
      <c r="GT86" s="2">
        <v>0</v>
      </c>
      <c r="GU86" s="2" t="s">
        <v>30</v>
      </c>
      <c r="GV86" s="2">
        <f t="shared" si="82"/>
        <v>0</v>
      </c>
      <c r="GW86" s="2">
        <v>1</v>
      </c>
      <c r="GX86" s="2">
        <f t="shared" si="83"/>
        <v>0</v>
      </c>
      <c r="HA86" s="2">
        <v>0</v>
      </c>
      <c r="HB86" s="2">
        <v>0</v>
      </c>
      <c r="HC86" s="2">
        <f t="shared" si="84"/>
        <v>0</v>
      </c>
      <c r="HE86" s="2" t="s">
        <v>30</v>
      </c>
      <c r="HF86" s="2" t="s">
        <v>30</v>
      </c>
      <c r="HM86" s="2" t="s">
        <v>30</v>
      </c>
      <c r="HN86" s="2" t="s">
        <v>30</v>
      </c>
      <c r="HO86" s="2" t="s">
        <v>30</v>
      </c>
      <c r="HP86" s="2" t="s">
        <v>30</v>
      </c>
      <c r="HQ86" s="2" t="s">
        <v>30</v>
      </c>
      <c r="IK86" s="2">
        <v>0</v>
      </c>
    </row>
    <row r="87" spans="1:245" x14ac:dyDescent="0.25">
      <c r="A87" s="2">
        <v>17</v>
      </c>
      <c r="B87" s="2">
        <v>1</v>
      </c>
      <c r="C87" s="2">
        <f>ROW('SmtRes (3)'!A43)</f>
        <v>43</v>
      </c>
      <c r="D87" s="2">
        <f>ROW('EtalonRes (3)'!A41)</f>
        <v>41</v>
      </c>
      <c r="E87" s="2" t="s">
        <v>291</v>
      </c>
      <c r="F87" s="2" t="s">
        <v>199</v>
      </c>
      <c r="G87" s="2" t="s">
        <v>292</v>
      </c>
      <c r="H87" s="2" t="s">
        <v>63</v>
      </c>
      <c r="I87" s="2">
        <v>171.46199999999999</v>
      </c>
      <c r="J87" s="2">
        <v>0</v>
      </c>
      <c r="K87" s="2">
        <v>171.46199999999999</v>
      </c>
      <c r="O87" s="2">
        <f t="shared" si="56"/>
        <v>10496.9</v>
      </c>
      <c r="P87" s="2">
        <f t="shared" si="57"/>
        <v>0</v>
      </c>
      <c r="Q87" s="2">
        <f t="shared" si="58"/>
        <v>10496.9</v>
      </c>
      <c r="R87" s="2">
        <f t="shared" si="59"/>
        <v>5659.96</v>
      </c>
      <c r="S87" s="2">
        <f t="shared" si="60"/>
        <v>0</v>
      </c>
      <c r="T87" s="2">
        <f t="shared" si="61"/>
        <v>0</v>
      </c>
      <c r="U87" s="2">
        <f t="shared" si="62"/>
        <v>0</v>
      </c>
      <c r="V87" s="2">
        <f t="shared" si="63"/>
        <v>0</v>
      </c>
      <c r="W87" s="2">
        <f t="shared" si="64"/>
        <v>0</v>
      </c>
      <c r="X87" s="2">
        <f t="shared" si="65"/>
        <v>0</v>
      </c>
      <c r="Y87" s="2">
        <f t="shared" si="65"/>
        <v>0</v>
      </c>
      <c r="AA87" s="2">
        <v>52286166</v>
      </c>
      <c r="AB87" s="2">
        <f t="shared" si="66"/>
        <v>61.22</v>
      </c>
      <c r="AC87" s="2">
        <f>ROUND((ES87),6)</f>
        <v>0</v>
      </c>
      <c r="AD87" s="2">
        <f>ROUND((((ET87)-(EU87))+AE87),6)</f>
        <v>61.22</v>
      </c>
      <c r="AE87" s="2">
        <f t="shared" si="67"/>
        <v>33.01</v>
      </c>
      <c r="AF87" s="2">
        <f t="shared" si="67"/>
        <v>0</v>
      </c>
      <c r="AG87" s="2">
        <f t="shared" si="68"/>
        <v>0</v>
      </c>
      <c r="AH87" s="2">
        <f t="shared" si="69"/>
        <v>0</v>
      </c>
      <c r="AI87" s="2">
        <f t="shared" si="69"/>
        <v>0</v>
      </c>
      <c r="AJ87" s="2">
        <f t="shared" si="70"/>
        <v>0</v>
      </c>
      <c r="AK87" s="2">
        <v>61.22</v>
      </c>
      <c r="AL87" s="2">
        <v>0</v>
      </c>
      <c r="AM87" s="2">
        <v>61.22</v>
      </c>
      <c r="AN87" s="2">
        <v>33.01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1</v>
      </c>
      <c r="AW87" s="2">
        <v>1</v>
      </c>
      <c r="AZ87" s="2">
        <v>1</v>
      </c>
      <c r="BA87" s="2">
        <v>1</v>
      </c>
      <c r="BB87" s="2">
        <v>1</v>
      </c>
      <c r="BC87" s="2">
        <v>1</v>
      </c>
      <c r="BD87" s="2" t="s">
        <v>30</v>
      </c>
      <c r="BE87" s="2" t="s">
        <v>30</v>
      </c>
      <c r="BF87" s="2" t="s">
        <v>30</v>
      </c>
      <c r="BG87" s="2" t="s">
        <v>30</v>
      </c>
      <c r="BH87" s="2">
        <v>0</v>
      </c>
      <c r="BI87" s="2">
        <v>4</v>
      </c>
      <c r="BJ87" s="2" t="s">
        <v>201</v>
      </c>
      <c r="BM87" s="2">
        <v>1</v>
      </c>
      <c r="BN87" s="2">
        <v>0</v>
      </c>
      <c r="BO87" s="2" t="s">
        <v>30</v>
      </c>
      <c r="BP87" s="2">
        <v>0</v>
      </c>
      <c r="BQ87" s="2">
        <v>1</v>
      </c>
      <c r="BR87" s="2">
        <v>0</v>
      </c>
      <c r="BS87" s="2">
        <v>1</v>
      </c>
      <c r="BT87" s="2">
        <v>1</v>
      </c>
      <c r="BU87" s="2">
        <v>1</v>
      </c>
      <c r="BV87" s="2">
        <v>1</v>
      </c>
      <c r="BW87" s="2">
        <v>1</v>
      </c>
      <c r="BX87" s="2">
        <v>1</v>
      </c>
      <c r="BY87" s="2" t="s">
        <v>30</v>
      </c>
      <c r="BZ87" s="2">
        <v>0</v>
      </c>
      <c r="CA87" s="2">
        <v>0</v>
      </c>
      <c r="CB87" s="2" t="s">
        <v>30</v>
      </c>
      <c r="CE87" s="2">
        <v>0</v>
      </c>
      <c r="CF87" s="2">
        <v>0</v>
      </c>
      <c r="CG87" s="2">
        <v>0</v>
      </c>
      <c r="CM87" s="2">
        <v>0</v>
      </c>
      <c r="CN87" s="2" t="s">
        <v>30</v>
      </c>
      <c r="CO87" s="2">
        <v>0</v>
      </c>
      <c r="CP87" s="2">
        <f t="shared" si="71"/>
        <v>10496.9</v>
      </c>
      <c r="CQ87" s="2">
        <f t="shared" si="72"/>
        <v>0</v>
      </c>
      <c r="CR87" s="2">
        <f>((((ET87)*BB87-(EU87)*BS87)+AE87*BS87)*AV87)</f>
        <v>61.22</v>
      </c>
      <c r="CS87" s="2">
        <f t="shared" si="73"/>
        <v>33.01</v>
      </c>
      <c r="CT87" s="2">
        <f t="shared" si="74"/>
        <v>0</v>
      </c>
      <c r="CU87" s="2">
        <f t="shared" si="75"/>
        <v>0</v>
      </c>
      <c r="CV87" s="2">
        <f t="shared" si="76"/>
        <v>0</v>
      </c>
      <c r="CW87" s="2">
        <f t="shared" si="77"/>
        <v>0</v>
      </c>
      <c r="CX87" s="2">
        <f t="shared" si="77"/>
        <v>0</v>
      </c>
      <c r="CY87" s="2">
        <f t="shared" si="78"/>
        <v>0</v>
      </c>
      <c r="CZ87" s="2">
        <f t="shared" si="79"/>
        <v>0</v>
      </c>
      <c r="DC87" s="2" t="s">
        <v>30</v>
      </c>
      <c r="DD87" s="2" t="s">
        <v>30</v>
      </c>
      <c r="DE87" s="2" t="s">
        <v>30</v>
      </c>
      <c r="DF87" s="2" t="s">
        <v>30</v>
      </c>
      <c r="DG87" s="2" t="s">
        <v>30</v>
      </c>
      <c r="DH87" s="2" t="s">
        <v>30</v>
      </c>
      <c r="DI87" s="2" t="s">
        <v>30</v>
      </c>
      <c r="DJ87" s="2" t="s">
        <v>30</v>
      </c>
      <c r="DK87" s="2" t="s">
        <v>30</v>
      </c>
      <c r="DL87" s="2" t="s">
        <v>30</v>
      </c>
      <c r="DM87" s="2" t="s">
        <v>30</v>
      </c>
      <c r="DN87" s="2">
        <v>0</v>
      </c>
      <c r="DO87" s="2">
        <v>0</v>
      </c>
      <c r="DP87" s="2">
        <v>1</v>
      </c>
      <c r="DQ87" s="2">
        <v>1</v>
      </c>
      <c r="DU87" s="2">
        <v>1009</v>
      </c>
      <c r="DV87" s="2" t="s">
        <v>63</v>
      </c>
      <c r="DW87" s="2" t="s">
        <v>63</v>
      </c>
      <c r="DX87" s="2">
        <v>1000</v>
      </c>
      <c r="DZ87" s="2" t="s">
        <v>30</v>
      </c>
      <c r="EA87" s="2" t="s">
        <v>30</v>
      </c>
      <c r="EB87" s="2" t="s">
        <v>30</v>
      </c>
      <c r="EC87" s="2" t="s">
        <v>30</v>
      </c>
      <c r="EE87" s="2">
        <v>49661956</v>
      </c>
      <c r="EF87" s="2">
        <v>1</v>
      </c>
      <c r="EG87" s="2" t="s">
        <v>180</v>
      </c>
      <c r="EH87" s="2">
        <v>0</v>
      </c>
      <c r="EI87" s="2" t="s">
        <v>30</v>
      </c>
      <c r="EJ87" s="2">
        <v>4</v>
      </c>
      <c r="EK87" s="2">
        <v>1</v>
      </c>
      <c r="EL87" s="2" t="s">
        <v>202</v>
      </c>
      <c r="EM87" s="2" t="s">
        <v>182</v>
      </c>
      <c r="EO87" s="2" t="s">
        <v>30</v>
      </c>
      <c r="EQ87" s="2">
        <v>0</v>
      </c>
      <c r="ER87" s="2">
        <v>61.22</v>
      </c>
      <c r="ES87" s="2">
        <v>0</v>
      </c>
      <c r="ET87" s="2">
        <v>61.22</v>
      </c>
      <c r="EU87" s="2">
        <v>33.01</v>
      </c>
      <c r="EV87" s="2">
        <v>0</v>
      </c>
      <c r="EW87" s="2">
        <v>0</v>
      </c>
      <c r="EX87" s="2">
        <v>0</v>
      </c>
      <c r="EY87" s="2">
        <v>0</v>
      </c>
      <c r="FQ87" s="2">
        <v>0</v>
      </c>
      <c r="FR87" s="2">
        <f t="shared" si="80"/>
        <v>0</v>
      </c>
      <c r="FS87" s="2">
        <v>0</v>
      </c>
      <c r="FX87" s="2">
        <v>0</v>
      </c>
      <c r="FY87" s="2">
        <v>0</v>
      </c>
      <c r="GA87" s="2" t="s">
        <v>30</v>
      </c>
      <c r="GD87" s="2">
        <v>1</v>
      </c>
      <c r="GF87" s="2">
        <v>1602572179</v>
      </c>
      <c r="GG87" s="2">
        <v>2</v>
      </c>
      <c r="GH87" s="2">
        <v>1</v>
      </c>
      <c r="GI87" s="2">
        <v>-2</v>
      </c>
      <c r="GJ87" s="2">
        <v>0</v>
      </c>
      <c r="GK87" s="2">
        <v>0</v>
      </c>
      <c r="GL87" s="2">
        <f t="shared" si="81"/>
        <v>0</v>
      </c>
      <c r="GM87" s="2">
        <f>ROUND(O87+X87+Y87,2)+GX87</f>
        <v>10496.9</v>
      </c>
      <c r="GN87" s="2">
        <f>IF(OR(BI87=0,BI87=1),ROUND(O87+X87+Y87,2),0)</f>
        <v>0</v>
      </c>
      <c r="GO87" s="2">
        <f>IF(BI87=2,ROUND(O87+X87+Y87,2),0)</f>
        <v>0</v>
      </c>
      <c r="GP87" s="2">
        <f>IF(BI87=4,ROUND(O87+X87+Y87,2)+GX87,0)</f>
        <v>10496.9</v>
      </c>
      <c r="GR87" s="2">
        <v>0</v>
      </c>
      <c r="GS87" s="2">
        <v>0</v>
      </c>
      <c r="GT87" s="2">
        <v>0</v>
      </c>
      <c r="GU87" s="2" t="s">
        <v>30</v>
      </c>
      <c r="GV87" s="2">
        <f t="shared" si="82"/>
        <v>0</v>
      </c>
      <c r="GW87" s="2">
        <v>1</v>
      </c>
      <c r="GX87" s="2">
        <f t="shared" si="83"/>
        <v>0</v>
      </c>
      <c r="HA87" s="2">
        <v>0</v>
      </c>
      <c r="HB87" s="2">
        <v>0</v>
      </c>
      <c r="HC87" s="2">
        <f t="shared" si="84"/>
        <v>0</v>
      </c>
      <c r="HE87" s="2" t="s">
        <v>30</v>
      </c>
      <c r="HF87" s="2" t="s">
        <v>30</v>
      </c>
      <c r="HM87" s="2" t="s">
        <v>30</v>
      </c>
      <c r="HN87" s="2" t="s">
        <v>30</v>
      </c>
      <c r="HO87" s="2" t="s">
        <v>30</v>
      </c>
      <c r="HP87" s="2" t="s">
        <v>30</v>
      </c>
      <c r="HQ87" s="2" t="s">
        <v>30</v>
      </c>
      <c r="IK87" s="2">
        <v>0</v>
      </c>
    </row>
    <row r="88" spans="1:245" x14ac:dyDescent="0.25">
      <c r="A88" s="2">
        <v>17</v>
      </c>
      <c r="B88" s="2">
        <v>1</v>
      </c>
      <c r="C88" s="2">
        <f>ROW('SmtRes (3)'!A45)</f>
        <v>45</v>
      </c>
      <c r="D88" s="2">
        <f>ROW('EtalonRes (3)'!A43)</f>
        <v>43</v>
      </c>
      <c r="E88" s="2" t="s">
        <v>293</v>
      </c>
      <c r="F88" s="2" t="s">
        <v>204</v>
      </c>
      <c r="G88" s="2" t="s">
        <v>205</v>
      </c>
      <c r="H88" s="2" t="s">
        <v>63</v>
      </c>
      <c r="I88" s="2">
        <v>171.46199999999999</v>
      </c>
      <c r="J88" s="2">
        <v>0</v>
      </c>
      <c r="K88" s="2">
        <v>171.46199999999999</v>
      </c>
      <c r="O88" s="2">
        <f t="shared" si="56"/>
        <v>258475.54</v>
      </c>
      <c r="P88" s="2">
        <f t="shared" si="57"/>
        <v>0</v>
      </c>
      <c r="Q88" s="2">
        <f t="shared" si="58"/>
        <v>258475.54</v>
      </c>
      <c r="R88" s="2">
        <f t="shared" si="59"/>
        <v>139446.62</v>
      </c>
      <c r="S88" s="2">
        <f t="shared" si="60"/>
        <v>0</v>
      </c>
      <c r="T88" s="2">
        <f t="shared" si="61"/>
        <v>0</v>
      </c>
      <c r="U88" s="2">
        <f t="shared" si="62"/>
        <v>0</v>
      </c>
      <c r="V88" s="2">
        <f t="shared" si="63"/>
        <v>0</v>
      </c>
      <c r="W88" s="2">
        <f t="shared" si="64"/>
        <v>0</v>
      </c>
      <c r="X88" s="2">
        <f t="shared" si="65"/>
        <v>0</v>
      </c>
      <c r="Y88" s="2">
        <f t="shared" si="65"/>
        <v>0</v>
      </c>
      <c r="AA88" s="2">
        <v>52286166</v>
      </c>
      <c r="AB88" s="2">
        <f t="shared" si="66"/>
        <v>1507.48</v>
      </c>
      <c r="AC88" s="2">
        <f>ROUND(((ES88*52)),6)</f>
        <v>0</v>
      </c>
      <c r="AD88" s="2">
        <f>ROUND(((((ET88*52))-((EU88*52)))+AE88),6)</f>
        <v>1507.48</v>
      </c>
      <c r="AE88" s="2">
        <f>ROUND(((EU88*52)),6)</f>
        <v>813.28</v>
      </c>
      <c r="AF88" s="2">
        <f>ROUND(((EV88*52)),6)</f>
        <v>0</v>
      </c>
      <c r="AG88" s="2">
        <f t="shared" si="68"/>
        <v>0</v>
      </c>
      <c r="AH88" s="2">
        <f>((EW88*52))</f>
        <v>0</v>
      </c>
      <c r="AI88" s="2">
        <f>((EX88*52))</f>
        <v>0</v>
      </c>
      <c r="AJ88" s="2">
        <f t="shared" si="70"/>
        <v>0</v>
      </c>
      <c r="AK88" s="2">
        <v>28.99</v>
      </c>
      <c r="AL88" s="2">
        <v>0</v>
      </c>
      <c r="AM88" s="2">
        <v>28.99</v>
      </c>
      <c r="AN88" s="2">
        <v>15.64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1</v>
      </c>
      <c r="AW88" s="2">
        <v>1</v>
      </c>
      <c r="AZ88" s="2">
        <v>1</v>
      </c>
      <c r="BA88" s="2">
        <v>1</v>
      </c>
      <c r="BB88" s="2">
        <v>1</v>
      </c>
      <c r="BC88" s="2">
        <v>1</v>
      </c>
      <c r="BD88" s="2" t="s">
        <v>30</v>
      </c>
      <c r="BE88" s="2" t="s">
        <v>30</v>
      </c>
      <c r="BF88" s="2" t="s">
        <v>30</v>
      </c>
      <c r="BG88" s="2" t="s">
        <v>30</v>
      </c>
      <c r="BH88" s="2">
        <v>0</v>
      </c>
      <c r="BI88" s="2">
        <v>4</v>
      </c>
      <c r="BJ88" s="2" t="s">
        <v>206</v>
      </c>
      <c r="BM88" s="2">
        <v>1</v>
      </c>
      <c r="BN88" s="2">
        <v>0</v>
      </c>
      <c r="BO88" s="2" t="s">
        <v>30</v>
      </c>
      <c r="BP88" s="2">
        <v>0</v>
      </c>
      <c r="BQ88" s="2">
        <v>1</v>
      </c>
      <c r="BR88" s="2">
        <v>0</v>
      </c>
      <c r="BS88" s="2">
        <v>1</v>
      </c>
      <c r="BT88" s="2">
        <v>1</v>
      </c>
      <c r="BU88" s="2">
        <v>1</v>
      </c>
      <c r="BV88" s="2">
        <v>1</v>
      </c>
      <c r="BW88" s="2">
        <v>1</v>
      </c>
      <c r="BX88" s="2">
        <v>1</v>
      </c>
      <c r="BY88" s="2" t="s">
        <v>30</v>
      </c>
      <c r="BZ88" s="2">
        <v>0</v>
      </c>
      <c r="CA88" s="2">
        <v>0</v>
      </c>
      <c r="CB88" s="2" t="s">
        <v>30</v>
      </c>
      <c r="CE88" s="2">
        <v>0</v>
      </c>
      <c r="CF88" s="2">
        <v>0</v>
      </c>
      <c r="CG88" s="2">
        <v>0</v>
      </c>
      <c r="CM88" s="2">
        <v>0</v>
      </c>
      <c r="CN88" s="2" t="s">
        <v>30</v>
      </c>
      <c r="CO88" s="2">
        <v>0</v>
      </c>
      <c r="CP88" s="2">
        <f t="shared" si="71"/>
        <v>258475.54</v>
      </c>
      <c r="CQ88" s="2">
        <f t="shared" si="72"/>
        <v>0</v>
      </c>
      <c r="CR88" s="2">
        <f>(((((ET88*52))*BB88-((EU88*52))*BS88)+AE88*BS88)*AV88)</f>
        <v>1507.48</v>
      </c>
      <c r="CS88" s="2">
        <f t="shared" si="73"/>
        <v>813.28</v>
      </c>
      <c r="CT88" s="2">
        <f t="shared" si="74"/>
        <v>0</v>
      </c>
      <c r="CU88" s="2">
        <f t="shared" si="75"/>
        <v>0</v>
      </c>
      <c r="CV88" s="2">
        <f t="shared" si="76"/>
        <v>0</v>
      </c>
      <c r="CW88" s="2">
        <f t="shared" si="77"/>
        <v>0</v>
      </c>
      <c r="CX88" s="2">
        <f t="shared" si="77"/>
        <v>0</v>
      </c>
      <c r="CY88" s="2">
        <f t="shared" si="78"/>
        <v>0</v>
      </c>
      <c r="CZ88" s="2">
        <f t="shared" si="79"/>
        <v>0</v>
      </c>
      <c r="DC88" s="2" t="s">
        <v>30</v>
      </c>
      <c r="DD88" s="2" t="s">
        <v>207</v>
      </c>
      <c r="DE88" s="2" t="s">
        <v>207</v>
      </c>
      <c r="DF88" s="2" t="s">
        <v>207</v>
      </c>
      <c r="DG88" s="2" t="s">
        <v>207</v>
      </c>
      <c r="DH88" s="2" t="s">
        <v>30</v>
      </c>
      <c r="DI88" s="2" t="s">
        <v>207</v>
      </c>
      <c r="DJ88" s="2" t="s">
        <v>207</v>
      </c>
      <c r="DK88" s="2" t="s">
        <v>30</v>
      </c>
      <c r="DL88" s="2" t="s">
        <v>30</v>
      </c>
      <c r="DM88" s="2" t="s">
        <v>30</v>
      </c>
      <c r="DN88" s="2">
        <v>0</v>
      </c>
      <c r="DO88" s="2">
        <v>0</v>
      </c>
      <c r="DP88" s="2">
        <v>1</v>
      </c>
      <c r="DQ88" s="2">
        <v>1</v>
      </c>
      <c r="DU88" s="2">
        <v>1009</v>
      </c>
      <c r="DV88" s="2" t="s">
        <v>63</v>
      </c>
      <c r="DW88" s="2" t="s">
        <v>63</v>
      </c>
      <c r="DX88" s="2">
        <v>1000</v>
      </c>
      <c r="DZ88" s="2" t="s">
        <v>30</v>
      </c>
      <c r="EA88" s="2" t="s">
        <v>30</v>
      </c>
      <c r="EB88" s="2" t="s">
        <v>30</v>
      </c>
      <c r="EC88" s="2" t="s">
        <v>30</v>
      </c>
      <c r="EE88" s="2">
        <v>49661956</v>
      </c>
      <c r="EF88" s="2">
        <v>1</v>
      </c>
      <c r="EG88" s="2" t="s">
        <v>180</v>
      </c>
      <c r="EH88" s="2">
        <v>0</v>
      </c>
      <c r="EI88" s="2" t="s">
        <v>30</v>
      </c>
      <c r="EJ88" s="2">
        <v>4</v>
      </c>
      <c r="EK88" s="2">
        <v>1</v>
      </c>
      <c r="EL88" s="2" t="s">
        <v>202</v>
      </c>
      <c r="EM88" s="2" t="s">
        <v>182</v>
      </c>
      <c r="EO88" s="2" t="s">
        <v>30</v>
      </c>
      <c r="EQ88" s="2">
        <v>0</v>
      </c>
      <c r="ER88" s="2">
        <v>28.99</v>
      </c>
      <c r="ES88" s="2">
        <v>0</v>
      </c>
      <c r="ET88" s="2">
        <v>28.99</v>
      </c>
      <c r="EU88" s="2">
        <v>15.64</v>
      </c>
      <c r="EV88" s="2">
        <v>0</v>
      </c>
      <c r="EW88" s="2">
        <v>0</v>
      </c>
      <c r="EX88" s="2">
        <v>0</v>
      </c>
      <c r="EY88" s="2">
        <v>0</v>
      </c>
      <c r="FQ88" s="2">
        <v>0</v>
      </c>
      <c r="FR88" s="2">
        <f t="shared" si="80"/>
        <v>0</v>
      </c>
      <c r="FS88" s="2">
        <v>0</v>
      </c>
      <c r="FX88" s="2">
        <v>0</v>
      </c>
      <c r="FY88" s="2">
        <v>0</v>
      </c>
      <c r="GA88" s="2" t="s">
        <v>30</v>
      </c>
      <c r="GD88" s="2">
        <v>1</v>
      </c>
      <c r="GF88" s="2">
        <v>-1355325295</v>
      </c>
      <c r="GG88" s="2">
        <v>2</v>
      </c>
      <c r="GH88" s="2">
        <v>1</v>
      </c>
      <c r="GI88" s="2">
        <v>-2</v>
      </c>
      <c r="GJ88" s="2">
        <v>0</v>
      </c>
      <c r="GK88" s="2">
        <v>0</v>
      </c>
      <c r="GL88" s="2">
        <f t="shared" si="81"/>
        <v>0</v>
      </c>
      <c r="GM88" s="2">
        <f>ROUND(O88+X88+Y88,2)+GX88</f>
        <v>258475.54</v>
      </c>
      <c r="GN88" s="2">
        <f>IF(OR(BI88=0,BI88=1),ROUND(O88+X88+Y88,2),0)</f>
        <v>0</v>
      </c>
      <c r="GO88" s="2">
        <f>IF(BI88=2,ROUND(O88+X88+Y88,2),0)</f>
        <v>0</v>
      </c>
      <c r="GP88" s="2">
        <f>IF(BI88=4,ROUND(O88+X88+Y88,2)+GX88,0)</f>
        <v>258475.54</v>
      </c>
      <c r="GR88" s="2">
        <v>0</v>
      </c>
      <c r="GS88" s="2">
        <v>0</v>
      </c>
      <c r="GT88" s="2">
        <v>0</v>
      </c>
      <c r="GU88" s="2" t="s">
        <v>30</v>
      </c>
      <c r="GV88" s="2">
        <f t="shared" si="82"/>
        <v>0</v>
      </c>
      <c r="GW88" s="2">
        <v>1</v>
      </c>
      <c r="GX88" s="2">
        <f t="shared" si="83"/>
        <v>0</v>
      </c>
      <c r="HA88" s="2">
        <v>0</v>
      </c>
      <c r="HB88" s="2">
        <v>0</v>
      </c>
      <c r="HC88" s="2">
        <f t="shared" si="84"/>
        <v>0</v>
      </c>
      <c r="HE88" s="2" t="s">
        <v>30</v>
      </c>
      <c r="HF88" s="2" t="s">
        <v>30</v>
      </c>
      <c r="HM88" s="2" t="s">
        <v>30</v>
      </c>
      <c r="HN88" s="2" t="s">
        <v>30</v>
      </c>
      <c r="HO88" s="2" t="s">
        <v>30</v>
      </c>
      <c r="HP88" s="2" t="s">
        <v>30</v>
      </c>
      <c r="HQ88" s="2" t="s">
        <v>30</v>
      </c>
      <c r="IK88" s="2">
        <v>0</v>
      </c>
    </row>
    <row r="89" spans="1:245" x14ac:dyDescent="0.25">
      <c r="A89" s="2">
        <v>17</v>
      </c>
      <c r="B89" s="2">
        <v>1</v>
      </c>
      <c r="C89" s="2">
        <f>ROW('SmtRes (3)'!A49)</f>
        <v>49</v>
      </c>
      <c r="D89" s="2">
        <f>ROW('EtalonRes (3)'!A47)</f>
        <v>47</v>
      </c>
      <c r="E89" s="2" t="s">
        <v>294</v>
      </c>
      <c r="F89" s="2" t="s">
        <v>295</v>
      </c>
      <c r="G89" s="2" t="s">
        <v>296</v>
      </c>
      <c r="H89" s="2" t="s">
        <v>65</v>
      </c>
      <c r="I89" s="2">
        <f>ROUND(332/100,9)</f>
        <v>3.32</v>
      </c>
      <c r="J89" s="2">
        <v>0</v>
      </c>
      <c r="K89" s="2">
        <f>ROUND(332/100,9)</f>
        <v>3.32</v>
      </c>
      <c r="O89" s="2">
        <f t="shared" si="56"/>
        <v>245161.05</v>
      </c>
      <c r="P89" s="2">
        <f t="shared" si="57"/>
        <v>189791.09</v>
      </c>
      <c r="Q89" s="2">
        <f t="shared" si="58"/>
        <v>0</v>
      </c>
      <c r="R89" s="2">
        <f t="shared" si="59"/>
        <v>0</v>
      </c>
      <c r="S89" s="2">
        <f t="shared" si="60"/>
        <v>55369.96</v>
      </c>
      <c r="T89" s="2">
        <f t="shared" si="61"/>
        <v>0</v>
      </c>
      <c r="U89" s="2">
        <f t="shared" si="62"/>
        <v>266.49639999999999</v>
      </c>
      <c r="V89" s="2">
        <f t="shared" si="63"/>
        <v>0</v>
      </c>
      <c r="W89" s="2">
        <f t="shared" si="64"/>
        <v>0</v>
      </c>
      <c r="X89" s="2">
        <f t="shared" si="65"/>
        <v>38758.97</v>
      </c>
      <c r="Y89" s="2">
        <f t="shared" si="65"/>
        <v>5537</v>
      </c>
      <c r="AA89" s="2">
        <v>52286166</v>
      </c>
      <c r="AB89" s="2">
        <f t="shared" si="66"/>
        <v>73843.69</v>
      </c>
      <c r="AC89" s="2">
        <f>ROUND((ES89),6)</f>
        <v>57165.99</v>
      </c>
      <c r="AD89" s="2">
        <f>ROUND((((ET89)-(EU89))+AE89),6)</f>
        <v>0</v>
      </c>
      <c r="AE89" s="2">
        <f t="shared" ref="AE89:AF91" si="85">ROUND((EU89),6)</f>
        <v>0</v>
      </c>
      <c r="AF89" s="2">
        <f t="shared" si="85"/>
        <v>16677.7</v>
      </c>
      <c r="AG89" s="2">
        <f t="shared" si="68"/>
        <v>0</v>
      </c>
      <c r="AH89" s="2">
        <f t="shared" ref="AH89:AI91" si="86">(EW89)</f>
        <v>80.27</v>
      </c>
      <c r="AI89" s="2">
        <f t="shared" si="86"/>
        <v>0</v>
      </c>
      <c r="AJ89" s="2">
        <f t="shared" si="70"/>
        <v>0</v>
      </c>
      <c r="AK89" s="2">
        <v>73843.69</v>
      </c>
      <c r="AL89" s="2">
        <v>57165.99</v>
      </c>
      <c r="AM89" s="2">
        <v>0</v>
      </c>
      <c r="AN89" s="2">
        <v>0</v>
      </c>
      <c r="AO89" s="2">
        <v>16677.7</v>
      </c>
      <c r="AP89" s="2">
        <v>0</v>
      </c>
      <c r="AQ89" s="2">
        <v>80.27</v>
      </c>
      <c r="AR89" s="2">
        <v>0</v>
      </c>
      <c r="AS89" s="2">
        <v>0</v>
      </c>
      <c r="AT89" s="2">
        <v>70</v>
      </c>
      <c r="AU89" s="2">
        <v>10</v>
      </c>
      <c r="AV89" s="2">
        <v>1</v>
      </c>
      <c r="AW89" s="2">
        <v>1</v>
      </c>
      <c r="AZ89" s="2">
        <v>1</v>
      </c>
      <c r="BA89" s="2">
        <v>1</v>
      </c>
      <c r="BB89" s="2">
        <v>1</v>
      </c>
      <c r="BC89" s="2">
        <v>1</v>
      </c>
      <c r="BD89" s="2" t="s">
        <v>30</v>
      </c>
      <c r="BE89" s="2" t="s">
        <v>30</v>
      </c>
      <c r="BF89" s="2" t="s">
        <v>30</v>
      </c>
      <c r="BG89" s="2" t="s">
        <v>30</v>
      </c>
      <c r="BH89" s="2">
        <v>0</v>
      </c>
      <c r="BI89" s="2">
        <v>4</v>
      </c>
      <c r="BJ89" s="2" t="s">
        <v>297</v>
      </c>
      <c r="BM89" s="2">
        <v>0</v>
      </c>
      <c r="BN89" s="2">
        <v>0</v>
      </c>
      <c r="BO89" s="2" t="s">
        <v>30</v>
      </c>
      <c r="BP89" s="2">
        <v>0</v>
      </c>
      <c r="BQ89" s="2">
        <v>1</v>
      </c>
      <c r="BR89" s="2">
        <v>0</v>
      </c>
      <c r="BS89" s="2">
        <v>1</v>
      </c>
      <c r="BT89" s="2">
        <v>1</v>
      </c>
      <c r="BU89" s="2">
        <v>1</v>
      </c>
      <c r="BV89" s="2">
        <v>1</v>
      </c>
      <c r="BW89" s="2">
        <v>1</v>
      </c>
      <c r="BX89" s="2">
        <v>1</v>
      </c>
      <c r="BY89" s="2" t="s">
        <v>30</v>
      </c>
      <c r="BZ89" s="2">
        <v>70</v>
      </c>
      <c r="CA89" s="2">
        <v>10</v>
      </c>
      <c r="CB89" s="2" t="s">
        <v>30</v>
      </c>
      <c r="CE89" s="2">
        <v>0</v>
      </c>
      <c r="CF89" s="2">
        <v>0</v>
      </c>
      <c r="CG89" s="2">
        <v>0</v>
      </c>
      <c r="CM89" s="2">
        <v>0</v>
      </c>
      <c r="CN89" s="2" t="s">
        <v>30</v>
      </c>
      <c r="CO89" s="2">
        <v>0</v>
      </c>
      <c r="CP89" s="2">
        <f t="shared" si="71"/>
        <v>245161.05</v>
      </c>
      <c r="CQ89" s="2">
        <f t="shared" si="72"/>
        <v>57165.99</v>
      </c>
      <c r="CR89" s="2">
        <f>((((ET89)*BB89-(EU89)*BS89)+AE89*BS89)*AV89)</f>
        <v>0</v>
      </c>
      <c r="CS89" s="2">
        <f t="shared" si="73"/>
        <v>0</v>
      </c>
      <c r="CT89" s="2">
        <f t="shared" si="74"/>
        <v>16677.7</v>
      </c>
      <c r="CU89" s="2">
        <f t="shared" si="75"/>
        <v>0</v>
      </c>
      <c r="CV89" s="2">
        <f t="shared" si="76"/>
        <v>80.27</v>
      </c>
      <c r="CW89" s="2">
        <f t="shared" si="77"/>
        <v>0</v>
      </c>
      <c r="CX89" s="2">
        <f t="shared" si="77"/>
        <v>0</v>
      </c>
      <c r="CY89" s="2">
        <f t="shared" si="78"/>
        <v>38758.972000000002</v>
      </c>
      <c r="CZ89" s="2">
        <f t="shared" si="79"/>
        <v>5536.9960000000001</v>
      </c>
      <c r="DC89" s="2" t="s">
        <v>30</v>
      </c>
      <c r="DD89" s="2" t="s">
        <v>30</v>
      </c>
      <c r="DE89" s="2" t="s">
        <v>30</v>
      </c>
      <c r="DF89" s="2" t="s">
        <v>30</v>
      </c>
      <c r="DG89" s="2" t="s">
        <v>30</v>
      </c>
      <c r="DH89" s="2" t="s">
        <v>30</v>
      </c>
      <c r="DI89" s="2" t="s">
        <v>30</v>
      </c>
      <c r="DJ89" s="2" t="s">
        <v>30</v>
      </c>
      <c r="DK89" s="2" t="s">
        <v>30</v>
      </c>
      <c r="DL89" s="2" t="s">
        <v>30</v>
      </c>
      <c r="DM89" s="2" t="s">
        <v>30</v>
      </c>
      <c r="DN89" s="2">
        <v>0</v>
      </c>
      <c r="DO89" s="2">
        <v>0</v>
      </c>
      <c r="DP89" s="2">
        <v>1</v>
      </c>
      <c r="DQ89" s="2">
        <v>1</v>
      </c>
      <c r="DU89" s="2">
        <v>1003</v>
      </c>
      <c r="DV89" s="2" t="s">
        <v>65</v>
      </c>
      <c r="DW89" s="2" t="s">
        <v>65</v>
      </c>
      <c r="DX89" s="2">
        <v>100</v>
      </c>
      <c r="DZ89" s="2" t="s">
        <v>30</v>
      </c>
      <c r="EA89" s="2" t="s">
        <v>30</v>
      </c>
      <c r="EB89" s="2" t="s">
        <v>30</v>
      </c>
      <c r="EC89" s="2" t="s">
        <v>30</v>
      </c>
      <c r="EE89" s="2">
        <v>49661954</v>
      </c>
      <c r="EF89" s="2">
        <v>1</v>
      </c>
      <c r="EG89" s="2" t="s">
        <v>180</v>
      </c>
      <c r="EH89" s="2">
        <v>0</v>
      </c>
      <c r="EI89" s="2" t="s">
        <v>30</v>
      </c>
      <c r="EJ89" s="2">
        <v>4</v>
      </c>
      <c r="EK89" s="2">
        <v>0</v>
      </c>
      <c r="EL89" s="2" t="s">
        <v>181</v>
      </c>
      <c r="EM89" s="2" t="s">
        <v>182</v>
      </c>
      <c r="EO89" s="2" t="s">
        <v>30</v>
      </c>
      <c r="EQ89" s="2">
        <v>0</v>
      </c>
      <c r="ER89" s="2">
        <v>73843.69</v>
      </c>
      <c r="ES89" s="2">
        <v>57165.99</v>
      </c>
      <c r="ET89" s="2">
        <v>0</v>
      </c>
      <c r="EU89" s="2">
        <v>0</v>
      </c>
      <c r="EV89" s="2">
        <v>16677.7</v>
      </c>
      <c r="EW89" s="2">
        <v>80.27</v>
      </c>
      <c r="EX89" s="2">
        <v>0</v>
      </c>
      <c r="EY89" s="2">
        <v>0</v>
      </c>
      <c r="FQ89" s="2">
        <v>0</v>
      </c>
      <c r="FR89" s="2">
        <f t="shared" si="80"/>
        <v>0</v>
      </c>
      <c r="FS89" s="2">
        <v>0</v>
      </c>
      <c r="FX89" s="2">
        <v>70</v>
      </c>
      <c r="FY89" s="2">
        <v>10</v>
      </c>
      <c r="GA89" s="2" t="s">
        <v>30</v>
      </c>
      <c r="GD89" s="2">
        <v>0</v>
      </c>
      <c r="GF89" s="2">
        <v>497378928</v>
      </c>
      <c r="GG89" s="2">
        <v>2</v>
      </c>
      <c r="GH89" s="2">
        <v>1</v>
      </c>
      <c r="GI89" s="2">
        <v>-2</v>
      </c>
      <c r="GJ89" s="2">
        <v>0</v>
      </c>
      <c r="GK89" s="2">
        <f>ROUND(R89*(R12)/100,2)</f>
        <v>0</v>
      </c>
      <c r="GL89" s="2">
        <f t="shared" si="81"/>
        <v>0</v>
      </c>
      <c r="GM89" s="2">
        <f>ROUND(O89+X89+Y89+GK89,2)+GX89</f>
        <v>289457.02</v>
      </c>
      <c r="GN89" s="2">
        <f>IF(OR(BI89=0,BI89=1),ROUND(O89+X89+Y89+GK89,2),0)</f>
        <v>0</v>
      </c>
      <c r="GO89" s="2">
        <f>IF(BI89=2,ROUND(O89+X89+Y89+GK89,2),0)</f>
        <v>0</v>
      </c>
      <c r="GP89" s="2">
        <f>IF(BI89=4,ROUND(O89+X89+Y89+GK89,2)+GX89,0)</f>
        <v>289457.02</v>
      </c>
      <c r="GR89" s="2">
        <v>0</v>
      </c>
      <c r="GS89" s="2">
        <v>3</v>
      </c>
      <c r="GT89" s="2">
        <v>0</v>
      </c>
      <c r="GU89" s="2" t="s">
        <v>30</v>
      </c>
      <c r="GV89" s="2">
        <f t="shared" si="82"/>
        <v>0</v>
      </c>
      <c r="GW89" s="2">
        <v>1</v>
      </c>
      <c r="GX89" s="2">
        <f t="shared" si="83"/>
        <v>0</v>
      </c>
      <c r="HA89" s="2">
        <v>0</v>
      </c>
      <c r="HB89" s="2">
        <v>0</v>
      </c>
      <c r="HC89" s="2">
        <f t="shared" si="84"/>
        <v>0</v>
      </c>
      <c r="HE89" s="2" t="s">
        <v>30</v>
      </c>
      <c r="HF89" s="2" t="s">
        <v>30</v>
      </c>
      <c r="HM89" s="2" t="s">
        <v>30</v>
      </c>
      <c r="HN89" s="2" t="s">
        <v>30</v>
      </c>
      <c r="HO89" s="2" t="s">
        <v>30</v>
      </c>
      <c r="HP89" s="2" t="s">
        <v>30</v>
      </c>
      <c r="HQ89" s="2" t="s">
        <v>30</v>
      </c>
      <c r="IK89" s="2">
        <v>0</v>
      </c>
    </row>
    <row r="90" spans="1:245" x14ac:dyDescent="0.25">
      <c r="A90" s="2">
        <v>18</v>
      </c>
      <c r="B90" s="2">
        <v>1</v>
      </c>
      <c r="C90" s="2">
        <v>48</v>
      </c>
      <c r="E90" s="2" t="s">
        <v>37</v>
      </c>
      <c r="F90" s="2" t="s">
        <v>286</v>
      </c>
      <c r="G90" s="2" t="s">
        <v>287</v>
      </c>
      <c r="H90" s="2" t="s">
        <v>62</v>
      </c>
      <c r="I90" s="2">
        <f>I89*J90</f>
        <v>-0.19919999999999999</v>
      </c>
      <c r="J90" s="2">
        <v>-0.06</v>
      </c>
      <c r="K90" s="2">
        <v>-0.06</v>
      </c>
      <c r="O90" s="2">
        <f t="shared" si="56"/>
        <v>-682.75</v>
      </c>
      <c r="P90" s="2">
        <f t="shared" si="57"/>
        <v>-682.75</v>
      </c>
      <c r="Q90" s="2">
        <f t="shared" si="58"/>
        <v>0</v>
      </c>
      <c r="R90" s="2">
        <f t="shared" si="59"/>
        <v>0</v>
      </c>
      <c r="S90" s="2">
        <f t="shared" si="60"/>
        <v>0</v>
      </c>
      <c r="T90" s="2">
        <f t="shared" si="61"/>
        <v>0</v>
      </c>
      <c r="U90" s="2">
        <f t="shared" si="62"/>
        <v>0</v>
      </c>
      <c r="V90" s="2">
        <f t="shared" si="63"/>
        <v>0</v>
      </c>
      <c r="W90" s="2">
        <f t="shared" si="64"/>
        <v>0</v>
      </c>
      <c r="X90" s="2">
        <f t="shared" si="65"/>
        <v>0</v>
      </c>
      <c r="Y90" s="2">
        <f t="shared" si="65"/>
        <v>0</v>
      </c>
      <c r="AA90" s="2">
        <v>52286166</v>
      </c>
      <c r="AB90" s="2">
        <f t="shared" si="66"/>
        <v>3427.48</v>
      </c>
      <c r="AC90" s="2">
        <f>ROUND((ES90),6)</f>
        <v>3427.48</v>
      </c>
      <c r="AD90" s="2">
        <f>ROUND((((ET90)-(EU90))+AE90),6)</f>
        <v>0</v>
      </c>
      <c r="AE90" s="2">
        <f t="shared" si="85"/>
        <v>0</v>
      </c>
      <c r="AF90" s="2">
        <f t="shared" si="85"/>
        <v>0</v>
      </c>
      <c r="AG90" s="2">
        <f t="shared" si="68"/>
        <v>0</v>
      </c>
      <c r="AH90" s="2">
        <f t="shared" si="86"/>
        <v>0</v>
      </c>
      <c r="AI90" s="2">
        <f t="shared" si="86"/>
        <v>0</v>
      </c>
      <c r="AJ90" s="2">
        <f t="shared" si="70"/>
        <v>0</v>
      </c>
      <c r="AK90" s="2">
        <v>3427.48</v>
      </c>
      <c r="AL90" s="2">
        <v>3427.48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70</v>
      </c>
      <c r="AU90" s="2">
        <v>10</v>
      </c>
      <c r="AV90" s="2">
        <v>1</v>
      </c>
      <c r="AW90" s="2">
        <v>1</v>
      </c>
      <c r="AZ90" s="2">
        <v>1</v>
      </c>
      <c r="BA90" s="2">
        <v>1</v>
      </c>
      <c r="BB90" s="2">
        <v>1</v>
      </c>
      <c r="BC90" s="2">
        <v>1</v>
      </c>
      <c r="BD90" s="2" t="s">
        <v>30</v>
      </c>
      <c r="BE90" s="2" t="s">
        <v>30</v>
      </c>
      <c r="BF90" s="2" t="s">
        <v>30</v>
      </c>
      <c r="BG90" s="2" t="s">
        <v>30</v>
      </c>
      <c r="BH90" s="2">
        <v>3</v>
      </c>
      <c r="BI90" s="2">
        <v>4</v>
      </c>
      <c r="BJ90" s="2" t="s">
        <v>288</v>
      </c>
      <c r="BM90" s="2">
        <v>0</v>
      </c>
      <c r="BN90" s="2">
        <v>0</v>
      </c>
      <c r="BO90" s="2" t="s">
        <v>30</v>
      </c>
      <c r="BP90" s="2">
        <v>0</v>
      </c>
      <c r="BQ90" s="2">
        <v>1</v>
      </c>
      <c r="BR90" s="2">
        <v>1</v>
      </c>
      <c r="BS90" s="2">
        <v>1</v>
      </c>
      <c r="BT90" s="2">
        <v>1</v>
      </c>
      <c r="BU90" s="2">
        <v>1</v>
      </c>
      <c r="BV90" s="2">
        <v>1</v>
      </c>
      <c r="BW90" s="2">
        <v>1</v>
      </c>
      <c r="BX90" s="2">
        <v>1</v>
      </c>
      <c r="BY90" s="2" t="s">
        <v>30</v>
      </c>
      <c r="BZ90" s="2">
        <v>70</v>
      </c>
      <c r="CA90" s="2">
        <v>10</v>
      </c>
      <c r="CB90" s="2" t="s">
        <v>30</v>
      </c>
      <c r="CE90" s="2">
        <v>0</v>
      </c>
      <c r="CF90" s="2">
        <v>0</v>
      </c>
      <c r="CG90" s="2">
        <v>0</v>
      </c>
      <c r="CM90" s="2">
        <v>0</v>
      </c>
      <c r="CN90" s="2" t="s">
        <v>30</v>
      </c>
      <c r="CO90" s="2">
        <v>0</v>
      </c>
      <c r="CP90" s="2">
        <f t="shared" si="71"/>
        <v>-682.75</v>
      </c>
      <c r="CQ90" s="2">
        <f t="shared" si="72"/>
        <v>3427.48</v>
      </c>
      <c r="CR90" s="2">
        <f>((((ET90)*BB90-(EU90)*BS90)+AE90*BS90)*AV90)</f>
        <v>0</v>
      </c>
      <c r="CS90" s="2">
        <f t="shared" si="73"/>
        <v>0</v>
      </c>
      <c r="CT90" s="2">
        <f t="shared" si="74"/>
        <v>0</v>
      </c>
      <c r="CU90" s="2">
        <f t="shared" si="75"/>
        <v>0</v>
      </c>
      <c r="CV90" s="2">
        <f t="shared" si="76"/>
        <v>0</v>
      </c>
      <c r="CW90" s="2">
        <f t="shared" si="77"/>
        <v>0</v>
      </c>
      <c r="CX90" s="2">
        <f t="shared" si="77"/>
        <v>0</v>
      </c>
      <c r="CY90" s="2">
        <f t="shared" si="78"/>
        <v>0</v>
      </c>
      <c r="CZ90" s="2">
        <f t="shared" si="79"/>
        <v>0</v>
      </c>
      <c r="DC90" s="2" t="s">
        <v>30</v>
      </c>
      <c r="DD90" s="2" t="s">
        <v>30</v>
      </c>
      <c r="DE90" s="2" t="s">
        <v>30</v>
      </c>
      <c r="DF90" s="2" t="s">
        <v>30</v>
      </c>
      <c r="DG90" s="2" t="s">
        <v>30</v>
      </c>
      <c r="DH90" s="2" t="s">
        <v>30</v>
      </c>
      <c r="DI90" s="2" t="s">
        <v>30</v>
      </c>
      <c r="DJ90" s="2" t="s">
        <v>30</v>
      </c>
      <c r="DK90" s="2" t="s">
        <v>30</v>
      </c>
      <c r="DL90" s="2" t="s">
        <v>30</v>
      </c>
      <c r="DM90" s="2" t="s">
        <v>30</v>
      </c>
      <c r="DN90" s="2">
        <v>0</v>
      </c>
      <c r="DO90" s="2">
        <v>0</v>
      </c>
      <c r="DP90" s="2">
        <v>1</v>
      </c>
      <c r="DQ90" s="2">
        <v>1</v>
      </c>
      <c r="DU90" s="2">
        <v>1007</v>
      </c>
      <c r="DV90" s="2" t="s">
        <v>62</v>
      </c>
      <c r="DW90" s="2" t="s">
        <v>62</v>
      </c>
      <c r="DX90" s="2">
        <v>1</v>
      </c>
      <c r="DZ90" s="2" t="s">
        <v>30</v>
      </c>
      <c r="EA90" s="2" t="s">
        <v>30</v>
      </c>
      <c r="EB90" s="2" t="s">
        <v>30</v>
      </c>
      <c r="EC90" s="2" t="s">
        <v>30</v>
      </c>
      <c r="EE90" s="2">
        <v>49661954</v>
      </c>
      <c r="EF90" s="2">
        <v>1</v>
      </c>
      <c r="EG90" s="2" t="s">
        <v>180</v>
      </c>
      <c r="EH90" s="2">
        <v>0</v>
      </c>
      <c r="EI90" s="2" t="s">
        <v>30</v>
      </c>
      <c r="EJ90" s="2">
        <v>4</v>
      </c>
      <c r="EK90" s="2">
        <v>0</v>
      </c>
      <c r="EL90" s="2" t="s">
        <v>181</v>
      </c>
      <c r="EM90" s="2" t="s">
        <v>182</v>
      </c>
      <c r="EO90" s="2" t="s">
        <v>30</v>
      </c>
      <c r="EQ90" s="2">
        <v>0</v>
      </c>
      <c r="ER90" s="2">
        <v>3427.48</v>
      </c>
      <c r="ES90" s="2">
        <v>3427.48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FQ90" s="2">
        <v>0</v>
      </c>
      <c r="FR90" s="2">
        <f t="shared" si="80"/>
        <v>0</v>
      </c>
      <c r="FS90" s="2">
        <v>0</v>
      </c>
      <c r="FX90" s="2">
        <v>70</v>
      </c>
      <c r="FY90" s="2">
        <v>10</v>
      </c>
      <c r="GA90" s="2" t="s">
        <v>30</v>
      </c>
      <c r="GD90" s="2">
        <v>0</v>
      </c>
      <c r="GF90" s="2">
        <v>820745631</v>
      </c>
      <c r="GG90" s="2">
        <v>2</v>
      </c>
      <c r="GH90" s="2">
        <v>1</v>
      </c>
      <c r="GI90" s="2">
        <v>-2</v>
      </c>
      <c r="GJ90" s="2">
        <v>0</v>
      </c>
      <c r="GK90" s="2">
        <f>ROUND(R90*(R12)/100,2)</f>
        <v>0</v>
      </c>
      <c r="GL90" s="2">
        <f t="shared" si="81"/>
        <v>0</v>
      </c>
      <c r="GM90" s="2">
        <f>ROUND(O90+X90+Y90+GK90,2)+GX90</f>
        <v>-682.75</v>
      </c>
      <c r="GN90" s="2">
        <f>IF(OR(BI90=0,BI90=1),ROUND(O90+X90+Y90+GK90,2),0)</f>
        <v>0</v>
      </c>
      <c r="GO90" s="2">
        <f>IF(BI90=2,ROUND(O90+X90+Y90+GK90,2),0)</f>
        <v>0</v>
      </c>
      <c r="GP90" s="2">
        <f>IF(BI90=4,ROUND(O90+X90+Y90+GK90,2)+GX90,0)</f>
        <v>-682.75</v>
      </c>
      <c r="GR90" s="2">
        <v>0</v>
      </c>
      <c r="GS90" s="2">
        <v>3</v>
      </c>
      <c r="GT90" s="2">
        <v>0</v>
      </c>
      <c r="GU90" s="2" t="s">
        <v>30</v>
      </c>
      <c r="GV90" s="2">
        <f t="shared" si="82"/>
        <v>0</v>
      </c>
      <c r="GW90" s="2">
        <v>1</v>
      </c>
      <c r="GX90" s="2">
        <f t="shared" si="83"/>
        <v>0</v>
      </c>
      <c r="HA90" s="2">
        <v>0</v>
      </c>
      <c r="HB90" s="2">
        <v>0</v>
      </c>
      <c r="HC90" s="2">
        <f t="shared" si="84"/>
        <v>0</v>
      </c>
      <c r="HE90" s="2" t="s">
        <v>30</v>
      </c>
      <c r="HF90" s="2" t="s">
        <v>30</v>
      </c>
      <c r="HM90" s="2" t="s">
        <v>30</v>
      </c>
      <c r="HN90" s="2" t="s">
        <v>30</v>
      </c>
      <c r="HO90" s="2" t="s">
        <v>30</v>
      </c>
      <c r="HP90" s="2" t="s">
        <v>30</v>
      </c>
      <c r="HQ90" s="2" t="s">
        <v>30</v>
      </c>
      <c r="IK90" s="2">
        <v>0</v>
      </c>
    </row>
    <row r="91" spans="1:245" x14ac:dyDescent="0.25">
      <c r="A91" s="2">
        <v>17</v>
      </c>
      <c r="B91" s="2">
        <v>1</v>
      </c>
      <c r="C91" s="2">
        <f>ROW('SmtRes (3)'!A51)</f>
        <v>51</v>
      </c>
      <c r="D91" s="2">
        <f>ROW('EtalonRes (3)'!A49)</f>
        <v>49</v>
      </c>
      <c r="E91" s="2" t="s">
        <v>298</v>
      </c>
      <c r="F91" s="2" t="s">
        <v>299</v>
      </c>
      <c r="G91" s="2" t="s">
        <v>300</v>
      </c>
      <c r="H91" s="2" t="s">
        <v>66</v>
      </c>
      <c r="I91" s="2">
        <f>ROUND(1029/100,9)</f>
        <v>10.29</v>
      </c>
      <c r="J91" s="2">
        <v>0</v>
      </c>
      <c r="K91" s="2">
        <f>ROUND(1029/100,9)</f>
        <v>10.29</v>
      </c>
      <c r="O91" s="2">
        <f t="shared" si="56"/>
        <v>146973.41</v>
      </c>
      <c r="P91" s="2">
        <f t="shared" si="57"/>
        <v>144461.51999999999</v>
      </c>
      <c r="Q91" s="2">
        <f t="shared" si="58"/>
        <v>0</v>
      </c>
      <c r="R91" s="2">
        <f t="shared" si="59"/>
        <v>0</v>
      </c>
      <c r="S91" s="2">
        <f t="shared" si="60"/>
        <v>2511.89</v>
      </c>
      <c r="T91" s="2">
        <f t="shared" si="61"/>
        <v>0</v>
      </c>
      <c r="U91" s="2">
        <f t="shared" si="62"/>
        <v>11.833500000000001</v>
      </c>
      <c r="V91" s="2">
        <f t="shared" si="63"/>
        <v>0</v>
      </c>
      <c r="W91" s="2">
        <f t="shared" si="64"/>
        <v>0</v>
      </c>
      <c r="X91" s="2">
        <f t="shared" si="65"/>
        <v>1758.32</v>
      </c>
      <c r="Y91" s="2">
        <f t="shared" si="65"/>
        <v>251.19</v>
      </c>
      <c r="AA91" s="2">
        <v>52286166</v>
      </c>
      <c r="AB91" s="2">
        <f t="shared" si="66"/>
        <v>14283.13</v>
      </c>
      <c r="AC91" s="2">
        <f>ROUND((ES91),6)</f>
        <v>14039.02</v>
      </c>
      <c r="AD91" s="2">
        <f>ROUND((((ET91)-(EU91))+AE91),6)</f>
        <v>0</v>
      </c>
      <c r="AE91" s="2">
        <f t="shared" si="85"/>
        <v>0</v>
      </c>
      <c r="AF91" s="2">
        <f t="shared" si="85"/>
        <v>244.11</v>
      </c>
      <c r="AG91" s="2">
        <f t="shared" si="68"/>
        <v>0</v>
      </c>
      <c r="AH91" s="2">
        <f t="shared" si="86"/>
        <v>1.1499999999999999</v>
      </c>
      <c r="AI91" s="2">
        <f t="shared" si="86"/>
        <v>0</v>
      </c>
      <c r="AJ91" s="2">
        <f t="shared" si="70"/>
        <v>0</v>
      </c>
      <c r="AK91" s="2">
        <v>14283.13</v>
      </c>
      <c r="AL91" s="2">
        <v>14039.02</v>
      </c>
      <c r="AM91" s="2">
        <v>0</v>
      </c>
      <c r="AN91" s="2">
        <v>0</v>
      </c>
      <c r="AO91" s="2">
        <v>244.11</v>
      </c>
      <c r="AP91" s="2">
        <v>0</v>
      </c>
      <c r="AQ91" s="2">
        <v>1.1499999999999999</v>
      </c>
      <c r="AR91" s="2">
        <v>0</v>
      </c>
      <c r="AS91" s="2">
        <v>0</v>
      </c>
      <c r="AT91" s="2">
        <v>70</v>
      </c>
      <c r="AU91" s="2">
        <v>10</v>
      </c>
      <c r="AV91" s="2">
        <v>1</v>
      </c>
      <c r="AW91" s="2">
        <v>1</v>
      </c>
      <c r="AZ91" s="2">
        <v>1</v>
      </c>
      <c r="BA91" s="2">
        <v>1</v>
      </c>
      <c r="BB91" s="2">
        <v>1</v>
      </c>
      <c r="BC91" s="2">
        <v>1</v>
      </c>
      <c r="BD91" s="2" t="s">
        <v>30</v>
      </c>
      <c r="BE91" s="2" t="s">
        <v>30</v>
      </c>
      <c r="BF91" s="2" t="s">
        <v>30</v>
      </c>
      <c r="BG91" s="2" t="s">
        <v>30</v>
      </c>
      <c r="BH91" s="2">
        <v>0</v>
      </c>
      <c r="BI91" s="2">
        <v>4</v>
      </c>
      <c r="BJ91" s="2" t="s">
        <v>301</v>
      </c>
      <c r="BM91" s="2">
        <v>0</v>
      </c>
      <c r="BN91" s="2">
        <v>0</v>
      </c>
      <c r="BO91" s="2" t="s">
        <v>30</v>
      </c>
      <c r="BP91" s="2">
        <v>0</v>
      </c>
      <c r="BQ91" s="2">
        <v>1</v>
      </c>
      <c r="BR91" s="2">
        <v>0</v>
      </c>
      <c r="BS91" s="2">
        <v>1</v>
      </c>
      <c r="BT91" s="2">
        <v>1</v>
      </c>
      <c r="BU91" s="2">
        <v>1</v>
      </c>
      <c r="BV91" s="2">
        <v>1</v>
      </c>
      <c r="BW91" s="2">
        <v>1</v>
      </c>
      <c r="BX91" s="2">
        <v>1</v>
      </c>
      <c r="BY91" s="2" t="s">
        <v>30</v>
      </c>
      <c r="BZ91" s="2">
        <v>70</v>
      </c>
      <c r="CA91" s="2">
        <v>10</v>
      </c>
      <c r="CB91" s="2" t="s">
        <v>30</v>
      </c>
      <c r="CE91" s="2">
        <v>0</v>
      </c>
      <c r="CF91" s="2">
        <v>0</v>
      </c>
      <c r="CG91" s="2">
        <v>0</v>
      </c>
      <c r="CM91" s="2">
        <v>0</v>
      </c>
      <c r="CN91" s="2" t="s">
        <v>30</v>
      </c>
      <c r="CO91" s="2">
        <v>0</v>
      </c>
      <c r="CP91" s="2">
        <f t="shared" si="71"/>
        <v>146973.41</v>
      </c>
      <c r="CQ91" s="2">
        <f t="shared" si="72"/>
        <v>14039.02</v>
      </c>
      <c r="CR91" s="2">
        <f>((((ET91)*BB91-(EU91)*BS91)+AE91*BS91)*AV91)</f>
        <v>0</v>
      </c>
      <c r="CS91" s="2">
        <f t="shared" si="73"/>
        <v>0</v>
      </c>
      <c r="CT91" s="2">
        <f t="shared" si="74"/>
        <v>244.11</v>
      </c>
      <c r="CU91" s="2">
        <f t="shared" si="75"/>
        <v>0</v>
      </c>
      <c r="CV91" s="2">
        <f t="shared" si="76"/>
        <v>1.1499999999999999</v>
      </c>
      <c r="CW91" s="2">
        <f t="shared" si="77"/>
        <v>0</v>
      </c>
      <c r="CX91" s="2">
        <f t="shared" si="77"/>
        <v>0</v>
      </c>
      <c r="CY91" s="2">
        <f t="shared" si="78"/>
        <v>1758.3230000000001</v>
      </c>
      <c r="CZ91" s="2">
        <f t="shared" si="79"/>
        <v>251.18899999999999</v>
      </c>
      <c r="DC91" s="2" t="s">
        <v>30</v>
      </c>
      <c r="DD91" s="2" t="s">
        <v>30</v>
      </c>
      <c r="DE91" s="2" t="s">
        <v>30</v>
      </c>
      <c r="DF91" s="2" t="s">
        <v>30</v>
      </c>
      <c r="DG91" s="2" t="s">
        <v>30</v>
      </c>
      <c r="DH91" s="2" t="s">
        <v>30</v>
      </c>
      <c r="DI91" s="2" t="s">
        <v>30</v>
      </c>
      <c r="DJ91" s="2" t="s">
        <v>30</v>
      </c>
      <c r="DK91" s="2" t="s">
        <v>30</v>
      </c>
      <c r="DL91" s="2" t="s">
        <v>30</v>
      </c>
      <c r="DM91" s="2" t="s">
        <v>30</v>
      </c>
      <c r="DN91" s="2">
        <v>0</v>
      </c>
      <c r="DO91" s="2">
        <v>0</v>
      </c>
      <c r="DP91" s="2">
        <v>1</v>
      </c>
      <c r="DQ91" s="2">
        <v>1</v>
      </c>
      <c r="DU91" s="2">
        <v>1010</v>
      </c>
      <c r="DV91" s="2" t="s">
        <v>66</v>
      </c>
      <c r="DW91" s="2" t="s">
        <v>66</v>
      </c>
      <c r="DX91" s="2">
        <v>100</v>
      </c>
      <c r="DZ91" s="2" t="s">
        <v>30</v>
      </c>
      <c r="EA91" s="2" t="s">
        <v>30</v>
      </c>
      <c r="EB91" s="2" t="s">
        <v>30</v>
      </c>
      <c r="EC91" s="2" t="s">
        <v>30</v>
      </c>
      <c r="EE91" s="2">
        <v>49661954</v>
      </c>
      <c r="EF91" s="2">
        <v>1</v>
      </c>
      <c r="EG91" s="2" t="s">
        <v>180</v>
      </c>
      <c r="EH91" s="2">
        <v>0</v>
      </c>
      <c r="EI91" s="2" t="s">
        <v>30</v>
      </c>
      <c r="EJ91" s="2">
        <v>4</v>
      </c>
      <c r="EK91" s="2">
        <v>0</v>
      </c>
      <c r="EL91" s="2" t="s">
        <v>181</v>
      </c>
      <c r="EM91" s="2" t="s">
        <v>182</v>
      </c>
      <c r="EO91" s="2" t="s">
        <v>30</v>
      </c>
      <c r="EQ91" s="2">
        <v>0</v>
      </c>
      <c r="ER91" s="2">
        <v>14283.13</v>
      </c>
      <c r="ES91" s="2">
        <v>14039.02</v>
      </c>
      <c r="ET91" s="2">
        <v>0</v>
      </c>
      <c r="EU91" s="2">
        <v>0</v>
      </c>
      <c r="EV91" s="2">
        <v>244.11</v>
      </c>
      <c r="EW91" s="2">
        <v>1.1499999999999999</v>
      </c>
      <c r="EX91" s="2">
        <v>0</v>
      </c>
      <c r="EY91" s="2">
        <v>0</v>
      </c>
      <c r="FQ91" s="2">
        <v>0</v>
      </c>
      <c r="FR91" s="2">
        <f t="shared" si="80"/>
        <v>0</v>
      </c>
      <c r="FS91" s="2">
        <v>0</v>
      </c>
      <c r="FX91" s="2">
        <v>70</v>
      </c>
      <c r="FY91" s="2">
        <v>10</v>
      </c>
      <c r="GA91" s="2" t="s">
        <v>30</v>
      </c>
      <c r="GD91" s="2">
        <v>0</v>
      </c>
      <c r="GF91" s="2">
        <v>-171485880</v>
      </c>
      <c r="GG91" s="2">
        <v>2</v>
      </c>
      <c r="GH91" s="2">
        <v>1</v>
      </c>
      <c r="GI91" s="2">
        <v>-2</v>
      </c>
      <c r="GJ91" s="2">
        <v>0</v>
      </c>
      <c r="GK91" s="2">
        <f>ROUND(R91*(R12)/100,2)</f>
        <v>0</v>
      </c>
      <c r="GL91" s="2">
        <f t="shared" si="81"/>
        <v>0</v>
      </c>
      <c r="GM91" s="2">
        <f>ROUND(O91+X91+Y91+GK91,2)+GX91</f>
        <v>148982.92000000001</v>
      </c>
      <c r="GN91" s="2">
        <f>IF(OR(BI91=0,BI91=1),ROUND(O91+X91+Y91+GK91,2),0)</f>
        <v>0</v>
      </c>
      <c r="GO91" s="2">
        <f>IF(BI91=2,ROUND(O91+X91+Y91+GK91,2),0)</f>
        <v>0</v>
      </c>
      <c r="GP91" s="2">
        <f>IF(BI91=4,ROUND(O91+X91+Y91+GK91,2)+GX91,0)</f>
        <v>148982.92000000001</v>
      </c>
      <c r="GR91" s="2">
        <v>0</v>
      </c>
      <c r="GS91" s="2">
        <v>0</v>
      </c>
      <c r="GT91" s="2">
        <v>0</v>
      </c>
      <c r="GU91" s="2" t="s">
        <v>30</v>
      </c>
      <c r="GV91" s="2">
        <f t="shared" si="82"/>
        <v>0</v>
      </c>
      <c r="GW91" s="2">
        <v>1</v>
      </c>
      <c r="GX91" s="2">
        <f t="shared" si="83"/>
        <v>0</v>
      </c>
      <c r="HA91" s="2">
        <v>0</v>
      </c>
      <c r="HB91" s="2">
        <v>0</v>
      </c>
      <c r="HC91" s="2">
        <f t="shared" si="84"/>
        <v>0</v>
      </c>
      <c r="HE91" s="2" t="s">
        <v>30</v>
      </c>
      <c r="HF91" s="2" t="s">
        <v>30</v>
      </c>
      <c r="HM91" s="2" t="s">
        <v>30</v>
      </c>
      <c r="HN91" s="2" t="s">
        <v>30</v>
      </c>
      <c r="HO91" s="2" t="s">
        <v>30</v>
      </c>
      <c r="HP91" s="2" t="s">
        <v>30</v>
      </c>
      <c r="HQ91" s="2" t="s">
        <v>30</v>
      </c>
      <c r="IK91" s="2">
        <v>0</v>
      </c>
    </row>
    <row r="93" spans="1:245" ht="13" x14ac:dyDescent="0.3">
      <c r="A93" s="52">
        <v>51</v>
      </c>
      <c r="B93" s="52">
        <f>B80</f>
        <v>1</v>
      </c>
      <c r="C93" s="52">
        <f>A80</f>
        <v>4</v>
      </c>
      <c r="D93" s="52">
        <f>ROW(A80)</f>
        <v>80</v>
      </c>
      <c r="E93" s="52"/>
      <c r="F93" s="52" t="str">
        <f>IF(F80&lt;&gt;"",F80,"")</f>
        <v>Новый раздел</v>
      </c>
      <c r="G93" s="52" t="str">
        <f>IF(G80&lt;&gt;"",G80,"")</f>
        <v>Устройство бортового камня</v>
      </c>
      <c r="H93" s="52">
        <v>0</v>
      </c>
      <c r="I93" s="52"/>
      <c r="J93" s="52"/>
      <c r="K93" s="52"/>
      <c r="L93" s="52"/>
      <c r="M93" s="52"/>
      <c r="N93" s="52"/>
      <c r="O93" s="52">
        <f t="shared" ref="O93:T93" si="87">ROUND(AB93,2)</f>
        <v>1302084.8</v>
      </c>
      <c r="P93" s="52">
        <f t="shared" si="87"/>
        <v>732597.84</v>
      </c>
      <c r="Q93" s="52">
        <f t="shared" si="87"/>
        <v>408351.53</v>
      </c>
      <c r="R93" s="52">
        <f t="shared" si="87"/>
        <v>223881.52</v>
      </c>
      <c r="S93" s="52">
        <f t="shared" si="87"/>
        <v>161135.43</v>
      </c>
      <c r="T93" s="52">
        <f t="shared" si="87"/>
        <v>0</v>
      </c>
      <c r="U93" s="52">
        <f>AH93</f>
        <v>738.34990000000005</v>
      </c>
      <c r="V93" s="52">
        <f>AI93</f>
        <v>0</v>
      </c>
      <c r="W93" s="52">
        <f>ROUND(AJ93,2)</f>
        <v>0</v>
      </c>
      <c r="X93" s="52">
        <f>ROUND(AK93,2)</f>
        <v>112794.8</v>
      </c>
      <c r="Y93" s="52">
        <f>ROUND(AL93,2)</f>
        <v>16113.55</v>
      </c>
      <c r="Z93" s="52"/>
      <c r="AA93" s="52"/>
      <c r="AB93" s="52">
        <f>ROUND(SUMIF(AA84:AA91,"=52286166",O84:O91),2)</f>
        <v>1302084.8</v>
      </c>
      <c r="AC93" s="52">
        <f>ROUND(SUMIF(AA84:AA91,"=52286166",P84:P91),2)</f>
        <v>732597.84</v>
      </c>
      <c r="AD93" s="52">
        <f>ROUND(SUMIF(AA84:AA91,"=52286166",Q84:Q91),2)</f>
        <v>408351.53</v>
      </c>
      <c r="AE93" s="52">
        <f>ROUND(SUMIF(AA84:AA91,"=52286166",R84:R91),2)</f>
        <v>223881.52</v>
      </c>
      <c r="AF93" s="52">
        <f>ROUND(SUMIF(AA84:AA91,"=52286166",S84:S91),2)</f>
        <v>161135.43</v>
      </c>
      <c r="AG93" s="52">
        <f>ROUND(SUMIF(AA84:AA91,"=52286166",T84:T91),2)</f>
        <v>0</v>
      </c>
      <c r="AH93" s="52">
        <f>SUMIF(AA84:AA91,"=52286166",U84:U91)</f>
        <v>738.34990000000005</v>
      </c>
      <c r="AI93" s="52">
        <f>SUMIF(AA84:AA91,"=52286166",V84:V91)</f>
        <v>0</v>
      </c>
      <c r="AJ93" s="52">
        <f>ROUND(SUMIF(AA84:AA91,"=52286166",W84:W91),2)</f>
        <v>0</v>
      </c>
      <c r="AK93" s="52">
        <f>ROUND(SUMIF(AA84:AA91,"=52286166",X84:X91),2)</f>
        <v>112794.8</v>
      </c>
      <c r="AL93" s="52">
        <f>ROUND(SUMIF(AA84:AA91,"=52286166",Y84:Y91),2)</f>
        <v>16113.55</v>
      </c>
      <c r="AM93" s="52"/>
      <c r="AN93" s="52"/>
      <c r="AO93" s="52">
        <f t="shared" ref="AO93:BD93" si="88">ROUND(BX93,2)</f>
        <v>0</v>
      </c>
      <c r="AP93" s="52">
        <f t="shared" si="88"/>
        <v>0</v>
      </c>
      <c r="AQ93" s="52">
        <f t="shared" si="88"/>
        <v>0</v>
      </c>
      <c r="AR93" s="52">
        <f t="shared" si="88"/>
        <v>1516070.09</v>
      </c>
      <c r="AS93" s="52">
        <f t="shared" si="88"/>
        <v>0</v>
      </c>
      <c r="AT93" s="52">
        <f t="shared" si="88"/>
        <v>0</v>
      </c>
      <c r="AU93" s="52">
        <f t="shared" si="88"/>
        <v>1516070.09</v>
      </c>
      <c r="AV93" s="52">
        <f t="shared" si="88"/>
        <v>732597.84</v>
      </c>
      <c r="AW93" s="52">
        <f t="shared" si="88"/>
        <v>732597.84</v>
      </c>
      <c r="AX93" s="52">
        <f t="shared" si="88"/>
        <v>0</v>
      </c>
      <c r="AY93" s="52">
        <f t="shared" si="88"/>
        <v>732597.84</v>
      </c>
      <c r="AZ93" s="52">
        <f t="shared" si="88"/>
        <v>0</v>
      </c>
      <c r="BA93" s="52">
        <f t="shared" si="88"/>
        <v>0</v>
      </c>
      <c r="BB93" s="52">
        <f t="shared" si="88"/>
        <v>0</v>
      </c>
      <c r="BC93" s="52">
        <f t="shared" si="88"/>
        <v>0</v>
      </c>
      <c r="BD93" s="52">
        <f t="shared" si="88"/>
        <v>0</v>
      </c>
      <c r="BE93" s="52"/>
      <c r="BF93" s="52"/>
      <c r="BG93" s="52"/>
      <c r="BH93" s="52"/>
      <c r="BI93" s="52"/>
      <c r="BJ93" s="52"/>
      <c r="BK93" s="52"/>
      <c r="BL93" s="52"/>
      <c r="BM93" s="52"/>
      <c r="BN93" s="52"/>
      <c r="BO93" s="52"/>
      <c r="BP93" s="52"/>
      <c r="BQ93" s="52"/>
      <c r="BR93" s="52"/>
      <c r="BS93" s="52"/>
      <c r="BT93" s="52"/>
      <c r="BU93" s="52"/>
      <c r="BV93" s="52"/>
      <c r="BW93" s="52"/>
      <c r="BX93" s="52">
        <f>ROUND(SUMIF(AA84:AA91,"=52286166",FQ84:FQ91),2)</f>
        <v>0</v>
      </c>
      <c r="BY93" s="52">
        <f>ROUND(SUMIF(AA84:AA91,"=52286166",FR84:FR91),2)</f>
        <v>0</v>
      </c>
      <c r="BZ93" s="52">
        <f>ROUND(SUMIF(AA84:AA91,"=52286166",GL84:GL91),2)</f>
        <v>0</v>
      </c>
      <c r="CA93" s="52">
        <f>ROUND(SUMIF(AA84:AA91,"=52286166",GM84:GM91),2)</f>
        <v>1516070.09</v>
      </c>
      <c r="CB93" s="52">
        <f>ROUND(SUMIF(AA84:AA91,"=52286166",GN84:GN91),2)</f>
        <v>0</v>
      </c>
      <c r="CC93" s="52">
        <f>ROUND(SUMIF(AA84:AA91,"=52286166",GO84:GO91),2)</f>
        <v>0</v>
      </c>
      <c r="CD93" s="52">
        <f>ROUND(SUMIF(AA84:AA91,"=52286166",GP84:GP91),2)</f>
        <v>1516070.09</v>
      </c>
      <c r="CE93" s="52">
        <f>AC93-BX93</f>
        <v>732597.84</v>
      </c>
      <c r="CF93" s="52">
        <f>AC93-BY93</f>
        <v>732597.84</v>
      </c>
      <c r="CG93" s="52">
        <f>BX93-BZ93</f>
        <v>0</v>
      </c>
      <c r="CH93" s="52">
        <f>AC93-BX93-BY93+BZ93</f>
        <v>732597.84</v>
      </c>
      <c r="CI93" s="52">
        <f>BY93-BZ93</f>
        <v>0</v>
      </c>
      <c r="CJ93" s="52">
        <f>ROUND(SUMIF(AA84:AA91,"=52286166",GX84:GX91),2)</f>
        <v>0</v>
      </c>
      <c r="CK93" s="52">
        <f>ROUND(SUMIF(AA84:AA91,"=52286166",GY84:GY91),2)</f>
        <v>0</v>
      </c>
      <c r="CL93" s="52">
        <f>ROUND(SUMIF(AA84:AA91,"=52286166",GZ84:GZ91),2)</f>
        <v>0</v>
      </c>
      <c r="CM93" s="52">
        <f>ROUND(SUMIF(AA84:AA91,"=52286166",HD84:HD91),2)</f>
        <v>0</v>
      </c>
      <c r="CN93" s="52"/>
      <c r="CO93" s="52"/>
      <c r="CP93" s="52"/>
      <c r="CQ93" s="52"/>
      <c r="CR93" s="52"/>
      <c r="CS93" s="52"/>
      <c r="CT93" s="52"/>
      <c r="CU93" s="52"/>
      <c r="CV93" s="52"/>
      <c r="CW93" s="52"/>
      <c r="CX93" s="52"/>
      <c r="CY93" s="52"/>
      <c r="CZ93" s="52"/>
      <c r="DA93" s="52"/>
      <c r="DB93" s="52"/>
      <c r="DC93" s="52"/>
      <c r="DD93" s="52"/>
      <c r="DE93" s="52"/>
      <c r="DF93" s="52"/>
      <c r="DG93" s="53"/>
      <c r="DH93" s="53"/>
      <c r="DI93" s="53"/>
      <c r="DJ93" s="53"/>
      <c r="DK93" s="53"/>
      <c r="DL93" s="53"/>
      <c r="DM93" s="53"/>
      <c r="DN93" s="53"/>
      <c r="DO93" s="53"/>
      <c r="DP93" s="53"/>
      <c r="DQ93" s="53"/>
      <c r="DR93" s="53"/>
      <c r="DS93" s="53"/>
      <c r="DT93" s="53"/>
      <c r="DU93" s="53"/>
      <c r="DV93" s="53"/>
      <c r="DW93" s="53"/>
      <c r="DX93" s="53"/>
      <c r="DY93" s="53"/>
      <c r="DZ93" s="53"/>
      <c r="EA93" s="53"/>
      <c r="EB93" s="53"/>
      <c r="EC93" s="53"/>
      <c r="ED93" s="53"/>
      <c r="EE93" s="53"/>
      <c r="EF93" s="53"/>
      <c r="EG93" s="53"/>
      <c r="EH93" s="53"/>
      <c r="EI93" s="53"/>
      <c r="EJ93" s="53"/>
      <c r="EK93" s="53"/>
      <c r="EL93" s="53"/>
      <c r="EM93" s="53"/>
      <c r="EN93" s="53"/>
      <c r="EO93" s="53"/>
      <c r="EP93" s="53"/>
      <c r="EQ93" s="53"/>
      <c r="ER93" s="53"/>
      <c r="ES93" s="53"/>
      <c r="ET93" s="53"/>
      <c r="EU93" s="53"/>
      <c r="EV93" s="53"/>
      <c r="EW93" s="53"/>
      <c r="EX93" s="53"/>
      <c r="EY93" s="53"/>
      <c r="EZ93" s="53"/>
      <c r="FA93" s="53"/>
      <c r="FB93" s="53"/>
      <c r="FC93" s="53"/>
      <c r="FD93" s="53"/>
      <c r="FE93" s="53"/>
      <c r="FF93" s="53"/>
      <c r="FG93" s="53"/>
      <c r="FH93" s="53"/>
      <c r="FI93" s="53"/>
      <c r="FJ93" s="53"/>
      <c r="FK93" s="53"/>
      <c r="FL93" s="53"/>
      <c r="FM93" s="53"/>
      <c r="FN93" s="53"/>
      <c r="FO93" s="53"/>
      <c r="FP93" s="53"/>
      <c r="FQ93" s="53"/>
      <c r="FR93" s="53"/>
      <c r="FS93" s="53"/>
      <c r="FT93" s="53"/>
      <c r="FU93" s="53"/>
      <c r="FV93" s="53"/>
      <c r="FW93" s="53"/>
      <c r="FX93" s="53"/>
      <c r="FY93" s="53"/>
      <c r="FZ93" s="53"/>
      <c r="GA93" s="53"/>
      <c r="GB93" s="53"/>
      <c r="GC93" s="53"/>
      <c r="GD93" s="53"/>
      <c r="GE93" s="53"/>
      <c r="GF93" s="53"/>
      <c r="GG93" s="53"/>
      <c r="GH93" s="53"/>
      <c r="GI93" s="53"/>
      <c r="GJ93" s="53"/>
      <c r="GK93" s="53"/>
      <c r="GL93" s="53"/>
      <c r="GM93" s="53"/>
      <c r="GN93" s="53"/>
      <c r="GO93" s="53"/>
      <c r="GP93" s="53"/>
      <c r="GQ93" s="53"/>
      <c r="GR93" s="53"/>
      <c r="GS93" s="53"/>
      <c r="GT93" s="53"/>
      <c r="GU93" s="53"/>
      <c r="GV93" s="53"/>
      <c r="GW93" s="53"/>
      <c r="GX93" s="53">
        <v>0</v>
      </c>
    </row>
    <row r="95" spans="1:245" ht="13" x14ac:dyDescent="0.3">
      <c r="A95" s="54">
        <v>50</v>
      </c>
      <c r="B95" s="54">
        <v>0</v>
      </c>
      <c r="C95" s="54">
        <v>0</v>
      </c>
      <c r="D95" s="54">
        <v>1</v>
      </c>
      <c r="E95" s="54">
        <v>201</v>
      </c>
      <c r="F95" s="54">
        <f>ROUND('Source (3)'!O93,O95)</f>
        <v>1302084.8</v>
      </c>
      <c r="G95" s="54" t="s">
        <v>214</v>
      </c>
      <c r="H95" s="54" t="s">
        <v>215</v>
      </c>
      <c r="I95" s="54"/>
      <c r="J95" s="54"/>
      <c r="K95" s="54">
        <v>201</v>
      </c>
      <c r="L95" s="54">
        <v>1</v>
      </c>
      <c r="M95" s="54">
        <v>3</v>
      </c>
      <c r="N95" s="54" t="s">
        <v>30</v>
      </c>
      <c r="O95" s="54">
        <v>2</v>
      </c>
      <c r="P95" s="54"/>
      <c r="Q95" s="54"/>
      <c r="R95" s="54"/>
      <c r="S95" s="54"/>
      <c r="T95" s="54"/>
      <c r="U95" s="54"/>
      <c r="V95" s="54"/>
      <c r="W95" s="54">
        <v>1302084.8</v>
      </c>
      <c r="X95" s="54">
        <v>1</v>
      </c>
      <c r="Y95" s="54">
        <v>1302084.8</v>
      </c>
      <c r="Z95" s="54"/>
      <c r="AA95" s="54"/>
      <c r="AB95" s="54"/>
    </row>
    <row r="96" spans="1:245" ht="13" x14ac:dyDescent="0.3">
      <c r="A96" s="54">
        <v>50</v>
      </c>
      <c r="B96" s="54">
        <v>0</v>
      </c>
      <c r="C96" s="54">
        <v>0</v>
      </c>
      <c r="D96" s="54">
        <v>1</v>
      </c>
      <c r="E96" s="54">
        <v>202</v>
      </c>
      <c r="F96" s="54">
        <f>ROUND('Source (3)'!P93,O96)</f>
        <v>732597.84</v>
      </c>
      <c r="G96" s="54" t="s">
        <v>216</v>
      </c>
      <c r="H96" s="54" t="s">
        <v>217</v>
      </c>
      <c r="I96" s="54"/>
      <c r="J96" s="54"/>
      <c r="K96" s="54">
        <v>202</v>
      </c>
      <c r="L96" s="54">
        <v>2</v>
      </c>
      <c r="M96" s="54">
        <v>3</v>
      </c>
      <c r="N96" s="54" t="s">
        <v>30</v>
      </c>
      <c r="O96" s="54">
        <v>2</v>
      </c>
      <c r="P96" s="54"/>
      <c r="Q96" s="54"/>
      <c r="R96" s="54"/>
      <c r="S96" s="54"/>
      <c r="T96" s="54"/>
      <c r="U96" s="54"/>
      <c r="V96" s="54"/>
      <c r="W96" s="54">
        <v>732597.84</v>
      </c>
      <c r="X96" s="54">
        <v>1</v>
      </c>
      <c r="Y96" s="54">
        <v>732597.84</v>
      </c>
      <c r="Z96" s="54"/>
      <c r="AA96" s="54"/>
      <c r="AB96" s="54"/>
    </row>
    <row r="97" spans="1:28" ht="13" x14ac:dyDescent="0.3">
      <c r="A97" s="54">
        <v>50</v>
      </c>
      <c r="B97" s="54">
        <v>0</v>
      </c>
      <c r="C97" s="54">
        <v>0</v>
      </c>
      <c r="D97" s="54">
        <v>1</v>
      </c>
      <c r="E97" s="54">
        <v>222</v>
      </c>
      <c r="F97" s="54">
        <f>ROUND('Source (3)'!AO93,O97)</f>
        <v>0</v>
      </c>
      <c r="G97" s="54" t="s">
        <v>218</v>
      </c>
      <c r="H97" s="54" t="s">
        <v>219</v>
      </c>
      <c r="I97" s="54"/>
      <c r="J97" s="54"/>
      <c r="K97" s="54">
        <v>222</v>
      </c>
      <c r="L97" s="54">
        <v>3</v>
      </c>
      <c r="M97" s="54">
        <v>3</v>
      </c>
      <c r="N97" s="54" t="s">
        <v>30</v>
      </c>
      <c r="O97" s="54">
        <v>2</v>
      </c>
      <c r="P97" s="54"/>
      <c r="Q97" s="54"/>
      <c r="R97" s="54"/>
      <c r="S97" s="54"/>
      <c r="T97" s="54"/>
      <c r="U97" s="54"/>
      <c r="V97" s="54"/>
      <c r="W97" s="54">
        <v>0</v>
      </c>
      <c r="X97" s="54">
        <v>1</v>
      </c>
      <c r="Y97" s="54">
        <v>0</v>
      </c>
      <c r="Z97" s="54"/>
      <c r="AA97" s="54"/>
      <c r="AB97" s="54"/>
    </row>
    <row r="98" spans="1:28" ht="13" x14ac:dyDescent="0.3">
      <c r="A98" s="54">
        <v>50</v>
      </c>
      <c r="B98" s="54">
        <v>0</v>
      </c>
      <c r="C98" s="54">
        <v>0</v>
      </c>
      <c r="D98" s="54">
        <v>1</v>
      </c>
      <c r="E98" s="54">
        <v>225</v>
      </c>
      <c r="F98" s="54">
        <f>ROUND('Source (3)'!AV93,O98)</f>
        <v>732597.84</v>
      </c>
      <c r="G98" s="54" t="s">
        <v>220</v>
      </c>
      <c r="H98" s="54" t="s">
        <v>221</v>
      </c>
      <c r="I98" s="54"/>
      <c r="J98" s="54"/>
      <c r="K98" s="54">
        <v>225</v>
      </c>
      <c r="L98" s="54">
        <v>4</v>
      </c>
      <c r="M98" s="54">
        <v>3</v>
      </c>
      <c r="N98" s="54" t="s">
        <v>30</v>
      </c>
      <c r="O98" s="54">
        <v>2</v>
      </c>
      <c r="P98" s="54"/>
      <c r="Q98" s="54"/>
      <c r="R98" s="54"/>
      <c r="S98" s="54"/>
      <c r="T98" s="54"/>
      <c r="U98" s="54"/>
      <c r="V98" s="54"/>
      <c r="W98" s="54">
        <v>732597.84</v>
      </c>
      <c r="X98" s="54">
        <v>1</v>
      </c>
      <c r="Y98" s="54">
        <v>732597.84</v>
      </c>
      <c r="Z98" s="54"/>
      <c r="AA98" s="54"/>
      <c r="AB98" s="54"/>
    </row>
    <row r="99" spans="1:28" ht="13" x14ac:dyDescent="0.3">
      <c r="A99" s="54">
        <v>50</v>
      </c>
      <c r="B99" s="54">
        <v>0</v>
      </c>
      <c r="C99" s="54">
        <v>0</v>
      </c>
      <c r="D99" s="54">
        <v>1</v>
      </c>
      <c r="E99" s="54">
        <v>226</v>
      </c>
      <c r="F99" s="54">
        <f>ROUND('Source (3)'!AW93,O99)</f>
        <v>732597.84</v>
      </c>
      <c r="G99" s="54" t="s">
        <v>222</v>
      </c>
      <c r="H99" s="54" t="s">
        <v>223</v>
      </c>
      <c r="I99" s="54"/>
      <c r="J99" s="54"/>
      <c r="K99" s="54">
        <v>226</v>
      </c>
      <c r="L99" s="54">
        <v>5</v>
      </c>
      <c r="M99" s="54">
        <v>3</v>
      </c>
      <c r="N99" s="54" t="s">
        <v>30</v>
      </c>
      <c r="O99" s="54">
        <v>2</v>
      </c>
      <c r="P99" s="54"/>
      <c r="Q99" s="54"/>
      <c r="R99" s="54"/>
      <c r="S99" s="54"/>
      <c r="T99" s="54"/>
      <c r="U99" s="54"/>
      <c r="V99" s="54"/>
      <c r="W99" s="54">
        <v>732597.84</v>
      </c>
      <c r="X99" s="54">
        <v>1</v>
      </c>
      <c r="Y99" s="54">
        <v>732597.84</v>
      </c>
      <c r="Z99" s="54"/>
      <c r="AA99" s="54"/>
      <c r="AB99" s="54"/>
    </row>
    <row r="100" spans="1:28" ht="13" x14ac:dyDescent="0.3">
      <c r="A100" s="54">
        <v>50</v>
      </c>
      <c r="B100" s="54">
        <v>0</v>
      </c>
      <c r="C100" s="54">
        <v>0</v>
      </c>
      <c r="D100" s="54">
        <v>1</v>
      </c>
      <c r="E100" s="54">
        <v>227</v>
      </c>
      <c r="F100" s="54">
        <f>ROUND('Source (3)'!AX93,O100)</f>
        <v>0</v>
      </c>
      <c r="G100" s="54" t="s">
        <v>224</v>
      </c>
      <c r="H100" s="54" t="s">
        <v>225</v>
      </c>
      <c r="I100" s="54"/>
      <c r="J100" s="54"/>
      <c r="K100" s="54">
        <v>227</v>
      </c>
      <c r="L100" s="54">
        <v>6</v>
      </c>
      <c r="M100" s="54">
        <v>3</v>
      </c>
      <c r="N100" s="54" t="s">
        <v>30</v>
      </c>
      <c r="O100" s="54">
        <v>2</v>
      </c>
      <c r="P100" s="54"/>
      <c r="Q100" s="54"/>
      <c r="R100" s="54"/>
      <c r="S100" s="54"/>
      <c r="T100" s="54"/>
      <c r="U100" s="54"/>
      <c r="V100" s="54"/>
      <c r="W100" s="54">
        <v>0</v>
      </c>
      <c r="X100" s="54">
        <v>1</v>
      </c>
      <c r="Y100" s="54">
        <v>0</v>
      </c>
      <c r="Z100" s="54"/>
      <c r="AA100" s="54"/>
      <c r="AB100" s="54"/>
    </row>
    <row r="101" spans="1:28" ht="13" x14ac:dyDescent="0.3">
      <c r="A101" s="54">
        <v>50</v>
      </c>
      <c r="B101" s="54">
        <v>0</v>
      </c>
      <c r="C101" s="54">
        <v>0</v>
      </c>
      <c r="D101" s="54">
        <v>1</v>
      </c>
      <c r="E101" s="54">
        <v>228</v>
      </c>
      <c r="F101" s="54">
        <f>ROUND('Source (3)'!AY93,O101)</f>
        <v>732597.84</v>
      </c>
      <c r="G101" s="54" t="s">
        <v>226</v>
      </c>
      <c r="H101" s="54" t="s">
        <v>227</v>
      </c>
      <c r="I101" s="54"/>
      <c r="J101" s="54"/>
      <c r="K101" s="54">
        <v>228</v>
      </c>
      <c r="L101" s="54">
        <v>7</v>
      </c>
      <c r="M101" s="54">
        <v>3</v>
      </c>
      <c r="N101" s="54" t="s">
        <v>30</v>
      </c>
      <c r="O101" s="54">
        <v>2</v>
      </c>
      <c r="P101" s="54"/>
      <c r="Q101" s="54"/>
      <c r="R101" s="54"/>
      <c r="S101" s="54"/>
      <c r="T101" s="54"/>
      <c r="U101" s="54"/>
      <c r="V101" s="54"/>
      <c r="W101" s="54">
        <v>732597.84</v>
      </c>
      <c r="X101" s="54">
        <v>1</v>
      </c>
      <c r="Y101" s="54">
        <v>732597.84</v>
      </c>
      <c r="Z101" s="54"/>
      <c r="AA101" s="54"/>
      <c r="AB101" s="54"/>
    </row>
    <row r="102" spans="1:28" ht="13" x14ac:dyDescent="0.3">
      <c r="A102" s="54">
        <v>50</v>
      </c>
      <c r="B102" s="54">
        <v>0</v>
      </c>
      <c r="C102" s="54">
        <v>0</v>
      </c>
      <c r="D102" s="54">
        <v>1</v>
      </c>
      <c r="E102" s="54">
        <v>216</v>
      </c>
      <c r="F102" s="54">
        <f>ROUND('Source (3)'!AP93,O102)</f>
        <v>0</v>
      </c>
      <c r="G102" s="54" t="s">
        <v>228</v>
      </c>
      <c r="H102" s="54" t="s">
        <v>229</v>
      </c>
      <c r="I102" s="54"/>
      <c r="J102" s="54"/>
      <c r="K102" s="54">
        <v>216</v>
      </c>
      <c r="L102" s="54">
        <v>8</v>
      </c>
      <c r="M102" s="54">
        <v>3</v>
      </c>
      <c r="N102" s="54" t="s">
        <v>30</v>
      </c>
      <c r="O102" s="54">
        <v>2</v>
      </c>
      <c r="P102" s="54"/>
      <c r="Q102" s="54"/>
      <c r="R102" s="54"/>
      <c r="S102" s="54"/>
      <c r="T102" s="54"/>
      <c r="U102" s="54"/>
      <c r="V102" s="54"/>
      <c r="W102" s="54">
        <v>0</v>
      </c>
      <c r="X102" s="54">
        <v>1</v>
      </c>
      <c r="Y102" s="54">
        <v>0</v>
      </c>
      <c r="Z102" s="54"/>
      <c r="AA102" s="54"/>
      <c r="AB102" s="54"/>
    </row>
    <row r="103" spans="1:28" ht="13" x14ac:dyDescent="0.3">
      <c r="A103" s="54">
        <v>50</v>
      </c>
      <c r="B103" s="54">
        <v>0</v>
      </c>
      <c r="C103" s="54">
        <v>0</v>
      </c>
      <c r="D103" s="54">
        <v>1</v>
      </c>
      <c r="E103" s="54">
        <v>223</v>
      </c>
      <c r="F103" s="54">
        <f>ROUND('Source (3)'!AQ93,O103)</f>
        <v>0</v>
      </c>
      <c r="G103" s="54" t="s">
        <v>230</v>
      </c>
      <c r="H103" s="54" t="s">
        <v>231</v>
      </c>
      <c r="I103" s="54"/>
      <c r="J103" s="54"/>
      <c r="K103" s="54">
        <v>223</v>
      </c>
      <c r="L103" s="54">
        <v>9</v>
      </c>
      <c r="M103" s="54">
        <v>3</v>
      </c>
      <c r="N103" s="54" t="s">
        <v>30</v>
      </c>
      <c r="O103" s="54">
        <v>2</v>
      </c>
      <c r="P103" s="54"/>
      <c r="Q103" s="54"/>
      <c r="R103" s="54"/>
      <c r="S103" s="54"/>
      <c r="T103" s="54"/>
      <c r="U103" s="54"/>
      <c r="V103" s="54"/>
      <c r="W103" s="54">
        <v>0</v>
      </c>
      <c r="X103" s="54">
        <v>1</v>
      </c>
      <c r="Y103" s="54">
        <v>0</v>
      </c>
      <c r="Z103" s="54"/>
      <c r="AA103" s="54"/>
      <c r="AB103" s="54"/>
    </row>
    <row r="104" spans="1:28" ht="13" x14ac:dyDescent="0.3">
      <c r="A104" s="54">
        <v>50</v>
      </c>
      <c r="B104" s="54">
        <v>0</v>
      </c>
      <c r="C104" s="54">
        <v>0</v>
      </c>
      <c r="D104" s="54">
        <v>1</v>
      </c>
      <c r="E104" s="54">
        <v>229</v>
      </c>
      <c r="F104" s="54">
        <f>ROUND('Source (3)'!AZ93,O104)</f>
        <v>0</v>
      </c>
      <c r="G104" s="54" t="s">
        <v>232</v>
      </c>
      <c r="H104" s="54" t="s">
        <v>233</v>
      </c>
      <c r="I104" s="54"/>
      <c r="J104" s="54"/>
      <c r="K104" s="54">
        <v>229</v>
      </c>
      <c r="L104" s="54">
        <v>10</v>
      </c>
      <c r="M104" s="54">
        <v>3</v>
      </c>
      <c r="N104" s="54" t="s">
        <v>30</v>
      </c>
      <c r="O104" s="54">
        <v>2</v>
      </c>
      <c r="P104" s="54"/>
      <c r="Q104" s="54"/>
      <c r="R104" s="54"/>
      <c r="S104" s="54"/>
      <c r="T104" s="54"/>
      <c r="U104" s="54"/>
      <c r="V104" s="54"/>
      <c r="W104" s="54">
        <v>0</v>
      </c>
      <c r="X104" s="54">
        <v>1</v>
      </c>
      <c r="Y104" s="54">
        <v>0</v>
      </c>
      <c r="Z104" s="54"/>
      <c r="AA104" s="54"/>
      <c r="AB104" s="54"/>
    </row>
    <row r="105" spans="1:28" ht="13" x14ac:dyDescent="0.3">
      <c r="A105" s="54">
        <v>50</v>
      </c>
      <c r="B105" s="54">
        <v>0</v>
      </c>
      <c r="C105" s="54">
        <v>0</v>
      </c>
      <c r="D105" s="54">
        <v>1</v>
      </c>
      <c r="E105" s="54">
        <v>203</v>
      </c>
      <c r="F105" s="54">
        <f>ROUND('Source (3)'!Q93,O105)</f>
        <v>408351.53</v>
      </c>
      <c r="G105" s="54" t="s">
        <v>234</v>
      </c>
      <c r="H105" s="54" t="s">
        <v>235</v>
      </c>
      <c r="I105" s="54"/>
      <c r="J105" s="54"/>
      <c r="K105" s="54">
        <v>203</v>
      </c>
      <c r="L105" s="54">
        <v>11</v>
      </c>
      <c r="M105" s="54">
        <v>3</v>
      </c>
      <c r="N105" s="54" t="s">
        <v>30</v>
      </c>
      <c r="O105" s="54">
        <v>2</v>
      </c>
      <c r="P105" s="54"/>
      <c r="Q105" s="54"/>
      <c r="R105" s="54"/>
      <c r="S105" s="54"/>
      <c r="T105" s="54"/>
      <c r="U105" s="54"/>
      <c r="V105" s="54"/>
      <c r="W105" s="54">
        <v>408351.53</v>
      </c>
      <c r="X105" s="54">
        <v>1</v>
      </c>
      <c r="Y105" s="54">
        <v>408351.53</v>
      </c>
      <c r="Z105" s="54"/>
      <c r="AA105" s="54"/>
      <c r="AB105" s="54"/>
    </row>
    <row r="106" spans="1:28" ht="13" x14ac:dyDescent="0.3">
      <c r="A106" s="54">
        <v>50</v>
      </c>
      <c r="B106" s="54">
        <v>0</v>
      </c>
      <c r="C106" s="54">
        <v>0</v>
      </c>
      <c r="D106" s="54">
        <v>1</v>
      </c>
      <c r="E106" s="54">
        <v>231</v>
      </c>
      <c r="F106" s="54">
        <f>ROUND('Source (3)'!BB93,O106)</f>
        <v>0</v>
      </c>
      <c r="G106" s="54" t="s">
        <v>236</v>
      </c>
      <c r="H106" s="54" t="s">
        <v>237</v>
      </c>
      <c r="I106" s="54"/>
      <c r="J106" s="54"/>
      <c r="K106" s="54">
        <v>231</v>
      </c>
      <c r="L106" s="54">
        <v>12</v>
      </c>
      <c r="M106" s="54">
        <v>3</v>
      </c>
      <c r="N106" s="54" t="s">
        <v>30</v>
      </c>
      <c r="O106" s="54">
        <v>2</v>
      </c>
      <c r="P106" s="54"/>
      <c r="Q106" s="54"/>
      <c r="R106" s="54"/>
      <c r="S106" s="54"/>
      <c r="T106" s="54"/>
      <c r="U106" s="54"/>
      <c r="V106" s="54"/>
      <c r="W106" s="54">
        <v>0</v>
      </c>
      <c r="X106" s="54">
        <v>1</v>
      </c>
      <c r="Y106" s="54">
        <v>0</v>
      </c>
      <c r="Z106" s="54"/>
      <c r="AA106" s="54"/>
      <c r="AB106" s="54"/>
    </row>
    <row r="107" spans="1:28" ht="13" x14ac:dyDescent="0.3">
      <c r="A107" s="54">
        <v>50</v>
      </c>
      <c r="B107" s="54">
        <v>0</v>
      </c>
      <c r="C107" s="54">
        <v>0</v>
      </c>
      <c r="D107" s="54">
        <v>1</v>
      </c>
      <c r="E107" s="54">
        <v>204</v>
      </c>
      <c r="F107" s="54">
        <f>ROUND('Source (3)'!R93,O107)</f>
        <v>223881.52</v>
      </c>
      <c r="G107" s="54" t="s">
        <v>238</v>
      </c>
      <c r="H107" s="54" t="s">
        <v>239</v>
      </c>
      <c r="I107" s="54"/>
      <c r="J107" s="54"/>
      <c r="K107" s="54">
        <v>204</v>
      </c>
      <c r="L107" s="54">
        <v>13</v>
      </c>
      <c r="M107" s="54">
        <v>3</v>
      </c>
      <c r="N107" s="54" t="s">
        <v>30</v>
      </c>
      <c r="O107" s="54">
        <v>2</v>
      </c>
      <c r="P107" s="54"/>
      <c r="Q107" s="54"/>
      <c r="R107" s="54"/>
      <c r="S107" s="54"/>
      <c r="T107" s="54"/>
      <c r="U107" s="54"/>
      <c r="V107" s="54"/>
      <c r="W107" s="54">
        <v>223881.52</v>
      </c>
      <c r="X107" s="54">
        <v>1</v>
      </c>
      <c r="Y107" s="54">
        <v>223881.52</v>
      </c>
      <c r="Z107" s="54"/>
      <c r="AA107" s="54"/>
      <c r="AB107" s="54"/>
    </row>
    <row r="108" spans="1:28" ht="13" x14ac:dyDescent="0.3">
      <c r="A108" s="54">
        <v>50</v>
      </c>
      <c r="B108" s="54">
        <v>0</v>
      </c>
      <c r="C108" s="54">
        <v>0</v>
      </c>
      <c r="D108" s="54">
        <v>1</v>
      </c>
      <c r="E108" s="54">
        <v>205</v>
      </c>
      <c r="F108" s="54">
        <f>ROUND('Source (3)'!S93,O108)</f>
        <v>161135.43</v>
      </c>
      <c r="G108" s="54" t="s">
        <v>240</v>
      </c>
      <c r="H108" s="54" t="s">
        <v>241</v>
      </c>
      <c r="I108" s="54"/>
      <c r="J108" s="54"/>
      <c r="K108" s="54">
        <v>205</v>
      </c>
      <c r="L108" s="54">
        <v>14</v>
      </c>
      <c r="M108" s="54">
        <v>3</v>
      </c>
      <c r="N108" s="54" t="s">
        <v>30</v>
      </c>
      <c r="O108" s="54">
        <v>2</v>
      </c>
      <c r="P108" s="54"/>
      <c r="Q108" s="54"/>
      <c r="R108" s="54"/>
      <c r="S108" s="54"/>
      <c r="T108" s="54"/>
      <c r="U108" s="54"/>
      <c r="V108" s="54"/>
      <c r="W108" s="54">
        <v>161135.43</v>
      </c>
      <c r="X108" s="54">
        <v>1</v>
      </c>
      <c r="Y108" s="54">
        <v>161135.43</v>
      </c>
      <c r="Z108" s="54"/>
      <c r="AA108" s="54"/>
      <c r="AB108" s="54"/>
    </row>
    <row r="109" spans="1:28" ht="13" x14ac:dyDescent="0.3">
      <c r="A109" s="54">
        <v>50</v>
      </c>
      <c r="B109" s="54">
        <v>0</v>
      </c>
      <c r="C109" s="54">
        <v>0</v>
      </c>
      <c r="D109" s="54">
        <v>1</v>
      </c>
      <c r="E109" s="54">
        <v>232</v>
      </c>
      <c r="F109" s="54">
        <f>ROUND('Source (3)'!BC93,O109)</f>
        <v>0</v>
      </c>
      <c r="G109" s="54" t="s">
        <v>242</v>
      </c>
      <c r="H109" s="54" t="s">
        <v>243</v>
      </c>
      <c r="I109" s="54"/>
      <c r="J109" s="54"/>
      <c r="K109" s="54">
        <v>232</v>
      </c>
      <c r="L109" s="54">
        <v>15</v>
      </c>
      <c r="M109" s="54">
        <v>3</v>
      </c>
      <c r="N109" s="54" t="s">
        <v>30</v>
      </c>
      <c r="O109" s="54">
        <v>2</v>
      </c>
      <c r="P109" s="54"/>
      <c r="Q109" s="54"/>
      <c r="R109" s="54"/>
      <c r="S109" s="54"/>
      <c r="T109" s="54"/>
      <c r="U109" s="54"/>
      <c r="V109" s="54"/>
      <c r="W109" s="54">
        <v>0</v>
      </c>
      <c r="X109" s="54">
        <v>1</v>
      </c>
      <c r="Y109" s="54">
        <v>0</v>
      </c>
      <c r="Z109" s="54"/>
      <c r="AA109" s="54"/>
      <c r="AB109" s="54"/>
    </row>
    <row r="110" spans="1:28" ht="13" x14ac:dyDescent="0.3">
      <c r="A110" s="54">
        <v>50</v>
      </c>
      <c r="B110" s="54">
        <v>0</v>
      </c>
      <c r="C110" s="54">
        <v>0</v>
      </c>
      <c r="D110" s="54">
        <v>1</v>
      </c>
      <c r="E110" s="54">
        <v>214</v>
      </c>
      <c r="F110" s="54">
        <f>ROUND('Source (3)'!AS93,O110)</f>
        <v>0</v>
      </c>
      <c r="G110" s="54" t="s">
        <v>244</v>
      </c>
      <c r="H110" s="54" t="s">
        <v>245</v>
      </c>
      <c r="I110" s="54"/>
      <c r="J110" s="54"/>
      <c r="K110" s="54">
        <v>214</v>
      </c>
      <c r="L110" s="54">
        <v>16</v>
      </c>
      <c r="M110" s="54">
        <v>3</v>
      </c>
      <c r="N110" s="54" t="s">
        <v>30</v>
      </c>
      <c r="O110" s="54">
        <v>2</v>
      </c>
      <c r="P110" s="54"/>
      <c r="Q110" s="54"/>
      <c r="R110" s="54"/>
      <c r="S110" s="54"/>
      <c r="T110" s="54"/>
      <c r="U110" s="54"/>
      <c r="V110" s="54"/>
      <c r="W110" s="54">
        <v>0</v>
      </c>
      <c r="X110" s="54">
        <v>1</v>
      </c>
      <c r="Y110" s="54">
        <v>0</v>
      </c>
      <c r="Z110" s="54"/>
      <c r="AA110" s="54"/>
      <c r="AB110" s="54"/>
    </row>
    <row r="111" spans="1:28" ht="13" x14ac:dyDescent="0.3">
      <c r="A111" s="54">
        <v>50</v>
      </c>
      <c r="B111" s="54">
        <v>0</v>
      </c>
      <c r="C111" s="54">
        <v>0</v>
      </c>
      <c r="D111" s="54">
        <v>1</v>
      </c>
      <c r="E111" s="54">
        <v>215</v>
      </c>
      <c r="F111" s="54">
        <f>ROUND('Source (3)'!AT93,O111)</f>
        <v>0</v>
      </c>
      <c r="G111" s="54" t="s">
        <v>246</v>
      </c>
      <c r="H111" s="54" t="s">
        <v>247</v>
      </c>
      <c r="I111" s="54"/>
      <c r="J111" s="54"/>
      <c r="K111" s="54">
        <v>215</v>
      </c>
      <c r="L111" s="54">
        <v>17</v>
      </c>
      <c r="M111" s="54">
        <v>3</v>
      </c>
      <c r="N111" s="54" t="s">
        <v>30</v>
      </c>
      <c r="O111" s="54">
        <v>2</v>
      </c>
      <c r="P111" s="54"/>
      <c r="Q111" s="54"/>
      <c r="R111" s="54"/>
      <c r="S111" s="54"/>
      <c r="T111" s="54"/>
      <c r="U111" s="54"/>
      <c r="V111" s="54"/>
      <c r="W111" s="54">
        <v>0</v>
      </c>
      <c r="X111" s="54">
        <v>1</v>
      </c>
      <c r="Y111" s="54">
        <v>0</v>
      </c>
      <c r="Z111" s="54"/>
      <c r="AA111" s="54"/>
      <c r="AB111" s="54"/>
    </row>
    <row r="112" spans="1:28" ht="13" x14ac:dyDescent="0.3">
      <c r="A112" s="54">
        <v>50</v>
      </c>
      <c r="B112" s="54">
        <v>0</v>
      </c>
      <c r="C112" s="54">
        <v>0</v>
      </c>
      <c r="D112" s="54">
        <v>1</v>
      </c>
      <c r="E112" s="54">
        <v>217</v>
      </c>
      <c r="F112" s="54">
        <f>ROUND('Source (3)'!AU93,O112)</f>
        <v>1516070.09</v>
      </c>
      <c r="G112" s="54" t="s">
        <v>248</v>
      </c>
      <c r="H112" s="54" t="s">
        <v>249</v>
      </c>
      <c r="I112" s="54"/>
      <c r="J112" s="54"/>
      <c r="K112" s="54">
        <v>217</v>
      </c>
      <c r="L112" s="54">
        <v>18</v>
      </c>
      <c r="M112" s="54">
        <v>3</v>
      </c>
      <c r="N112" s="54" t="s">
        <v>30</v>
      </c>
      <c r="O112" s="54">
        <v>2</v>
      </c>
      <c r="P112" s="54"/>
      <c r="Q112" s="54"/>
      <c r="R112" s="54"/>
      <c r="S112" s="54"/>
      <c r="T112" s="54"/>
      <c r="U112" s="54"/>
      <c r="V112" s="54"/>
      <c r="W112" s="54">
        <v>1516070.09</v>
      </c>
      <c r="X112" s="54">
        <v>1</v>
      </c>
      <c r="Y112" s="54">
        <v>1516070.09</v>
      </c>
      <c r="Z112" s="54"/>
      <c r="AA112" s="54"/>
      <c r="AB112" s="54"/>
    </row>
    <row r="113" spans="1:28" ht="13" x14ac:dyDescent="0.3">
      <c r="A113" s="54">
        <v>50</v>
      </c>
      <c r="B113" s="54">
        <v>0</v>
      </c>
      <c r="C113" s="54">
        <v>0</v>
      </c>
      <c r="D113" s="54">
        <v>1</v>
      </c>
      <c r="E113" s="54">
        <v>230</v>
      </c>
      <c r="F113" s="54">
        <f>ROUND('Source (3)'!BA93,O113)</f>
        <v>0</v>
      </c>
      <c r="G113" s="54" t="s">
        <v>250</v>
      </c>
      <c r="H113" s="54" t="s">
        <v>251</v>
      </c>
      <c r="I113" s="54"/>
      <c r="J113" s="54"/>
      <c r="K113" s="54">
        <v>230</v>
      </c>
      <c r="L113" s="54">
        <v>19</v>
      </c>
      <c r="M113" s="54">
        <v>3</v>
      </c>
      <c r="N113" s="54" t="s">
        <v>30</v>
      </c>
      <c r="O113" s="54">
        <v>2</v>
      </c>
      <c r="P113" s="54"/>
      <c r="Q113" s="54"/>
      <c r="R113" s="54"/>
      <c r="S113" s="54"/>
      <c r="T113" s="54"/>
      <c r="U113" s="54"/>
      <c r="V113" s="54"/>
      <c r="W113" s="54">
        <v>0</v>
      </c>
      <c r="X113" s="54">
        <v>1</v>
      </c>
      <c r="Y113" s="54">
        <v>0</v>
      </c>
      <c r="Z113" s="54"/>
      <c r="AA113" s="54"/>
      <c r="AB113" s="54"/>
    </row>
    <row r="114" spans="1:28" ht="13" x14ac:dyDescent="0.3">
      <c r="A114" s="54">
        <v>50</v>
      </c>
      <c r="B114" s="54">
        <v>0</v>
      </c>
      <c r="C114" s="54">
        <v>0</v>
      </c>
      <c r="D114" s="54">
        <v>1</v>
      </c>
      <c r="E114" s="54">
        <v>206</v>
      </c>
      <c r="F114" s="54">
        <f>ROUND('Source (3)'!T93,O114)</f>
        <v>0</v>
      </c>
      <c r="G114" s="54" t="s">
        <v>252</v>
      </c>
      <c r="H114" s="54" t="s">
        <v>253</v>
      </c>
      <c r="I114" s="54"/>
      <c r="J114" s="54"/>
      <c r="K114" s="54">
        <v>206</v>
      </c>
      <c r="L114" s="54">
        <v>20</v>
      </c>
      <c r="M114" s="54">
        <v>3</v>
      </c>
      <c r="N114" s="54" t="s">
        <v>30</v>
      </c>
      <c r="O114" s="54">
        <v>2</v>
      </c>
      <c r="P114" s="54"/>
      <c r="Q114" s="54"/>
      <c r="R114" s="54"/>
      <c r="S114" s="54"/>
      <c r="T114" s="54"/>
      <c r="U114" s="54"/>
      <c r="V114" s="54"/>
      <c r="W114" s="54">
        <v>0</v>
      </c>
      <c r="X114" s="54">
        <v>1</v>
      </c>
      <c r="Y114" s="54">
        <v>0</v>
      </c>
      <c r="Z114" s="54"/>
      <c r="AA114" s="54"/>
      <c r="AB114" s="54"/>
    </row>
    <row r="115" spans="1:28" ht="13" x14ac:dyDescent="0.3">
      <c r="A115" s="54">
        <v>50</v>
      </c>
      <c r="B115" s="54">
        <v>0</v>
      </c>
      <c r="C115" s="54">
        <v>0</v>
      </c>
      <c r="D115" s="54">
        <v>1</v>
      </c>
      <c r="E115" s="54">
        <v>207</v>
      </c>
      <c r="F115" s="54">
        <f>'Source (3)'!U93</f>
        <v>738.34990000000005</v>
      </c>
      <c r="G115" s="54" t="s">
        <v>254</v>
      </c>
      <c r="H115" s="54" t="s">
        <v>255</v>
      </c>
      <c r="I115" s="54"/>
      <c r="J115" s="54"/>
      <c r="K115" s="54">
        <v>207</v>
      </c>
      <c r="L115" s="54">
        <v>21</v>
      </c>
      <c r="M115" s="54">
        <v>3</v>
      </c>
      <c r="N115" s="54" t="s">
        <v>30</v>
      </c>
      <c r="O115" s="54">
        <v>-1</v>
      </c>
      <c r="P115" s="54"/>
      <c r="Q115" s="54"/>
      <c r="R115" s="54"/>
      <c r="S115" s="54"/>
      <c r="T115" s="54"/>
      <c r="U115" s="54"/>
      <c r="V115" s="54"/>
      <c r="W115" s="54">
        <v>738.34990000000005</v>
      </c>
      <c r="X115" s="54">
        <v>1</v>
      </c>
      <c r="Y115" s="54">
        <v>738.34990000000005</v>
      </c>
      <c r="Z115" s="54"/>
      <c r="AA115" s="54"/>
      <c r="AB115" s="54"/>
    </row>
    <row r="116" spans="1:28" ht="13" x14ac:dyDescent="0.3">
      <c r="A116" s="54">
        <v>50</v>
      </c>
      <c r="B116" s="54">
        <v>0</v>
      </c>
      <c r="C116" s="54">
        <v>0</v>
      </c>
      <c r="D116" s="54">
        <v>1</v>
      </c>
      <c r="E116" s="54">
        <v>208</v>
      </c>
      <c r="F116" s="54">
        <f>'Source (3)'!V93</f>
        <v>0</v>
      </c>
      <c r="G116" s="54" t="s">
        <v>256</v>
      </c>
      <c r="H116" s="54" t="s">
        <v>257</v>
      </c>
      <c r="I116" s="54"/>
      <c r="J116" s="54"/>
      <c r="K116" s="54">
        <v>208</v>
      </c>
      <c r="L116" s="54">
        <v>22</v>
      </c>
      <c r="M116" s="54">
        <v>3</v>
      </c>
      <c r="N116" s="54" t="s">
        <v>30</v>
      </c>
      <c r="O116" s="54">
        <v>-1</v>
      </c>
      <c r="P116" s="54"/>
      <c r="Q116" s="54"/>
      <c r="R116" s="54"/>
      <c r="S116" s="54"/>
      <c r="T116" s="54"/>
      <c r="U116" s="54"/>
      <c r="V116" s="54"/>
      <c r="W116" s="54">
        <v>0</v>
      </c>
      <c r="X116" s="54">
        <v>1</v>
      </c>
      <c r="Y116" s="54">
        <v>0</v>
      </c>
      <c r="Z116" s="54"/>
      <c r="AA116" s="54"/>
      <c r="AB116" s="54"/>
    </row>
    <row r="117" spans="1:28" ht="13" x14ac:dyDescent="0.3">
      <c r="A117" s="54">
        <v>50</v>
      </c>
      <c r="B117" s="54">
        <v>0</v>
      </c>
      <c r="C117" s="54">
        <v>0</v>
      </c>
      <c r="D117" s="54">
        <v>1</v>
      </c>
      <c r="E117" s="54">
        <v>209</v>
      </c>
      <c r="F117" s="54">
        <f>ROUND('Source (3)'!W93,O117)</f>
        <v>0</v>
      </c>
      <c r="G117" s="54" t="s">
        <v>258</v>
      </c>
      <c r="H117" s="54" t="s">
        <v>259</v>
      </c>
      <c r="I117" s="54"/>
      <c r="J117" s="54"/>
      <c r="K117" s="54">
        <v>209</v>
      </c>
      <c r="L117" s="54">
        <v>23</v>
      </c>
      <c r="M117" s="54">
        <v>3</v>
      </c>
      <c r="N117" s="54" t="s">
        <v>30</v>
      </c>
      <c r="O117" s="54">
        <v>2</v>
      </c>
      <c r="P117" s="54"/>
      <c r="Q117" s="54"/>
      <c r="R117" s="54"/>
      <c r="S117" s="54"/>
      <c r="T117" s="54"/>
      <c r="U117" s="54"/>
      <c r="V117" s="54"/>
      <c r="W117" s="54">
        <v>0</v>
      </c>
      <c r="X117" s="54">
        <v>1</v>
      </c>
      <c r="Y117" s="54">
        <v>0</v>
      </c>
      <c r="Z117" s="54"/>
      <c r="AA117" s="54"/>
      <c r="AB117" s="54"/>
    </row>
    <row r="118" spans="1:28" ht="13" x14ac:dyDescent="0.3">
      <c r="A118" s="54">
        <v>50</v>
      </c>
      <c r="B118" s="54">
        <v>0</v>
      </c>
      <c r="C118" s="54">
        <v>0</v>
      </c>
      <c r="D118" s="54">
        <v>1</v>
      </c>
      <c r="E118" s="54">
        <v>233</v>
      </c>
      <c r="F118" s="54">
        <f>ROUND('Source (3)'!BD93,O118)</f>
        <v>0</v>
      </c>
      <c r="G118" s="54" t="s">
        <v>260</v>
      </c>
      <c r="H118" s="54" t="s">
        <v>261</v>
      </c>
      <c r="I118" s="54"/>
      <c r="J118" s="54"/>
      <c r="K118" s="54">
        <v>233</v>
      </c>
      <c r="L118" s="54">
        <v>24</v>
      </c>
      <c r="M118" s="54">
        <v>3</v>
      </c>
      <c r="N118" s="54" t="s">
        <v>30</v>
      </c>
      <c r="O118" s="54">
        <v>2</v>
      </c>
      <c r="P118" s="54"/>
      <c r="Q118" s="54"/>
      <c r="R118" s="54"/>
      <c r="S118" s="54"/>
      <c r="T118" s="54"/>
      <c r="U118" s="54"/>
      <c r="V118" s="54"/>
      <c r="W118" s="54">
        <v>0</v>
      </c>
      <c r="X118" s="54">
        <v>1</v>
      </c>
      <c r="Y118" s="54">
        <v>0</v>
      </c>
      <c r="Z118" s="54"/>
      <c r="AA118" s="54"/>
      <c r="AB118" s="54"/>
    </row>
    <row r="119" spans="1:28" ht="13" x14ac:dyDescent="0.3">
      <c r="A119" s="54">
        <v>50</v>
      </c>
      <c r="B119" s="54">
        <v>0</v>
      </c>
      <c r="C119" s="54">
        <v>0</v>
      </c>
      <c r="D119" s="54">
        <v>1</v>
      </c>
      <c r="E119" s="54">
        <v>210</v>
      </c>
      <c r="F119" s="54">
        <f>ROUND('Source (3)'!X93,O119)</f>
        <v>112794.8</v>
      </c>
      <c r="G119" s="54" t="s">
        <v>262</v>
      </c>
      <c r="H119" s="54" t="s">
        <v>263</v>
      </c>
      <c r="I119" s="54"/>
      <c r="J119" s="54"/>
      <c r="K119" s="54">
        <v>210</v>
      </c>
      <c r="L119" s="54">
        <v>25</v>
      </c>
      <c r="M119" s="54">
        <v>3</v>
      </c>
      <c r="N119" s="54" t="s">
        <v>30</v>
      </c>
      <c r="O119" s="54">
        <v>2</v>
      </c>
      <c r="P119" s="54"/>
      <c r="Q119" s="54"/>
      <c r="R119" s="54"/>
      <c r="S119" s="54"/>
      <c r="T119" s="54"/>
      <c r="U119" s="54"/>
      <c r="V119" s="54"/>
      <c r="W119" s="54">
        <v>112794.8</v>
      </c>
      <c r="X119" s="54">
        <v>1</v>
      </c>
      <c r="Y119" s="54">
        <v>112794.8</v>
      </c>
      <c r="Z119" s="54"/>
      <c r="AA119" s="54"/>
      <c r="AB119" s="54"/>
    </row>
    <row r="120" spans="1:28" ht="13" x14ac:dyDescent="0.3">
      <c r="A120" s="54">
        <v>50</v>
      </c>
      <c r="B120" s="54">
        <v>0</v>
      </c>
      <c r="C120" s="54">
        <v>0</v>
      </c>
      <c r="D120" s="54">
        <v>1</v>
      </c>
      <c r="E120" s="54">
        <v>211</v>
      </c>
      <c r="F120" s="54">
        <f>ROUND('Source (3)'!Y93,O120)</f>
        <v>16113.55</v>
      </c>
      <c r="G120" s="54" t="s">
        <v>264</v>
      </c>
      <c r="H120" s="54" t="s">
        <v>265</v>
      </c>
      <c r="I120" s="54"/>
      <c r="J120" s="54"/>
      <c r="K120" s="54">
        <v>211</v>
      </c>
      <c r="L120" s="54">
        <v>26</v>
      </c>
      <c r="M120" s="54">
        <v>3</v>
      </c>
      <c r="N120" s="54" t="s">
        <v>30</v>
      </c>
      <c r="O120" s="54">
        <v>2</v>
      </c>
      <c r="P120" s="54"/>
      <c r="Q120" s="54"/>
      <c r="R120" s="54"/>
      <c r="S120" s="54"/>
      <c r="T120" s="54"/>
      <c r="U120" s="54"/>
      <c r="V120" s="54"/>
      <c r="W120" s="54">
        <v>16113.55</v>
      </c>
      <c r="X120" s="54">
        <v>1</v>
      </c>
      <c r="Y120" s="54">
        <v>16113.55</v>
      </c>
      <c r="Z120" s="54"/>
      <c r="AA120" s="54"/>
      <c r="AB120" s="54"/>
    </row>
    <row r="121" spans="1:28" ht="13" x14ac:dyDescent="0.3">
      <c r="A121" s="54">
        <v>50</v>
      </c>
      <c r="B121" s="54">
        <v>0</v>
      </c>
      <c r="C121" s="54">
        <v>0</v>
      </c>
      <c r="D121" s="54">
        <v>1</v>
      </c>
      <c r="E121" s="54">
        <v>224</v>
      </c>
      <c r="F121" s="54">
        <f>ROUND('Source (3)'!AR93,O121)</f>
        <v>1516070.09</v>
      </c>
      <c r="G121" s="54" t="s">
        <v>266</v>
      </c>
      <c r="H121" s="54" t="s">
        <v>267</v>
      </c>
      <c r="I121" s="54"/>
      <c r="J121" s="54"/>
      <c r="K121" s="54">
        <v>224</v>
      </c>
      <c r="L121" s="54">
        <v>27</v>
      </c>
      <c r="M121" s="54">
        <v>3</v>
      </c>
      <c r="N121" s="54" t="s">
        <v>30</v>
      </c>
      <c r="O121" s="54">
        <v>2</v>
      </c>
      <c r="P121" s="54"/>
      <c r="Q121" s="54"/>
      <c r="R121" s="54"/>
      <c r="S121" s="54"/>
      <c r="T121" s="54"/>
      <c r="U121" s="54"/>
      <c r="V121" s="54"/>
      <c r="W121" s="54">
        <v>1516070.09</v>
      </c>
      <c r="X121" s="54">
        <v>1</v>
      </c>
      <c r="Y121" s="54">
        <v>1516070.09</v>
      </c>
      <c r="Z121" s="54"/>
      <c r="AA121" s="54"/>
      <c r="AB121" s="54"/>
    </row>
    <row r="122" spans="1:28" ht="13" x14ac:dyDescent="0.3">
      <c r="A122" s="54">
        <v>50</v>
      </c>
      <c r="B122" s="54">
        <v>1</v>
      </c>
      <c r="C122" s="54">
        <v>0</v>
      </c>
      <c r="D122" s="54">
        <v>2</v>
      </c>
      <c r="E122" s="54">
        <v>0</v>
      </c>
      <c r="F122" s="54">
        <f>ROUND(F121,O122)</f>
        <v>1516070.09</v>
      </c>
      <c r="G122" s="54" t="s">
        <v>268</v>
      </c>
      <c r="H122" s="54" t="s">
        <v>269</v>
      </c>
      <c r="I122" s="54"/>
      <c r="J122" s="54"/>
      <c r="K122" s="54">
        <v>212</v>
      </c>
      <c r="L122" s="54">
        <v>28</v>
      </c>
      <c r="M122" s="54">
        <v>0</v>
      </c>
      <c r="N122" s="54" t="s">
        <v>30</v>
      </c>
      <c r="O122" s="54">
        <v>2</v>
      </c>
      <c r="P122" s="54"/>
      <c r="Q122" s="54"/>
      <c r="R122" s="54"/>
      <c r="S122" s="54"/>
      <c r="T122" s="54"/>
      <c r="U122" s="54"/>
      <c r="V122" s="54"/>
      <c r="W122" s="54">
        <v>1516070.09</v>
      </c>
      <c r="X122" s="54">
        <v>1</v>
      </c>
      <c r="Y122" s="54">
        <v>1516070.09</v>
      </c>
      <c r="Z122" s="54"/>
      <c r="AA122" s="54"/>
      <c r="AB122" s="54"/>
    </row>
    <row r="123" spans="1:28" ht="13" x14ac:dyDescent="0.3">
      <c r="A123" s="54">
        <v>50</v>
      </c>
      <c r="B123" s="54">
        <v>1</v>
      </c>
      <c r="C123" s="54">
        <v>0</v>
      </c>
      <c r="D123" s="54">
        <v>2</v>
      </c>
      <c r="E123" s="54">
        <v>0</v>
      </c>
      <c r="F123" s="54">
        <f>ROUND(F121-F108-F107,O123)</f>
        <v>1131053.1399999999</v>
      </c>
      <c r="G123" s="54" t="s">
        <v>270</v>
      </c>
      <c r="H123" s="54" t="s">
        <v>271</v>
      </c>
      <c r="I123" s="54"/>
      <c r="J123" s="54"/>
      <c r="K123" s="54">
        <v>212</v>
      </c>
      <c r="L123" s="54">
        <v>29</v>
      </c>
      <c r="M123" s="54">
        <v>0</v>
      </c>
      <c r="N123" s="54" t="s">
        <v>30</v>
      </c>
      <c r="O123" s="54">
        <v>2</v>
      </c>
      <c r="P123" s="54"/>
      <c r="Q123" s="54"/>
      <c r="R123" s="54"/>
      <c r="S123" s="54"/>
      <c r="T123" s="54"/>
      <c r="U123" s="54"/>
      <c r="V123" s="54"/>
      <c r="W123" s="54">
        <v>1131053.1399999999</v>
      </c>
      <c r="X123" s="54">
        <v>1</v>
      </c>
      <c r="Y123" s="54">
        <v>1131053.1399999999</v>
      </c>
      <c r="Z123" s="54"/>
      <c r="AA123" s="54"/>
      <c r="AB123" s="54"/>
    </row>
    <row r="124" spans="1:28" ht="13" x14ac:dyDescent="0.3">
      <c r="A124" s="54">
        <v>50</v>
      </c>
      <c r="B124" s="54">
        <v>1</v>
      </c>
      <c r="C124" s="54">
        <v>0</v>
      </c>
      <c r="D124" s="54">
        <v>2</v>
      </c>
      <c r="E124" s="54">
        <v>0</v>
      </c>
      <c r="F124" s="54">
        <f>ROUND(F120,O124)</f>
        <v>16113.55</v>
      </c>
      <c r="G124" s="54" t="s">
        <v>25</v>
      </c>
      <c r="H124" s="54" t="s">
        <v>25</v>
      </c>
      <c r="I124" s="54"/>
      <c r="J124" s="54"/>
      <c r="K124" s="54">
        <v>212</v>
      </c>
      <c r="L124" s="54">
        <v>30</v>
      </c>
      <c r="M124" s="54">
        <v>0</v>
      </c>
      <c r="N124" s="54" t="s">
        <v>30</v>
      </c>
      <c r="O124" s="54">
        <v>2</v>
      </c>
      <c r="P124" s="54"/>
      <c r="Q124" s="54"/>
      <c r="R124" s="54"/>
      <c r="S124" s="54"/>
      <c r="T124" s="54"/>
      <c r="U124" s="54"/>
      <c r="V124" s="54"/>
      <c r="W124" s="54">
        <v>16113.55</v>
      </c>
      <c r="X124" s="54">
        <v>1</v>
      </c>
      <c r="Y124" s="54">
        <v>16113.55</v>
      </c>
      <c r="Z124" s="54"/>
      <c r="AA124" s="54"/>
      <c r="AB124" s="54"/>
    </row>
    <row r="125" spans="1:28" ht="13" x14ac:dyDescent="0.3">
      <c r="A125" s="54">
        <v>50</v>
      </c>
      <c r="B125" s="54">
        <v>1</v>
      </c>
      <c r="C125" s="54">
        <v>0</v>
      </c>
      <c r="D125" s="54">
        <v>2</v>
      </c>
      <c r="E125" s="54">
        <v>0</v>
      </c>
      <c r="F125" s="54">
        <f>ROUND(F130*0.3,O125)</f>
        <v>67164.460000000006</v>
      </c>
      <c r="G125" s="54" t="s">
        <v>272</v>
      </c>
      <c r="H125" s="54" t="s">
        <v>272</v>
      </c>
      <c r="I125" s="54"/>
      <c r="J125" s="54"/>
      <c r="K125" s="54">
        <v>212</v>
      </c>
      <c r="L125" s="54">
        <v>31</v>
      </c>
      <c r="M125" s="54">
        <v>0</v>
      </c>
      <c r="N125" s="54" t="s">
        <v>30</v>
      </c>
      <c r="O125" s="54">
        <v>2</v>
      </c>
      <c r="P125" s="54"/>
      <c r="Q125" s="54"/>
      <c r="R125" s="54"/>
      <c r="S125" s="54"/>
      <c r="T125" s="54"/>
      <c r="U125" s="54"/>
      <c r="V125" s="54"/>
      <c r="W125" s="54">
        <v>67164.460000000006</v>
      </c>
      <c r="X125" s="54">
        <v>1</v>
      </c>
      <c r="Y125" s="54">
        <v>67164.460000000006</v>
      </c>
      <c r="Z125" s="54"/>
      <c r="AA125" s="54"/>
      <c r="AB125" s="54"/>
    </row>
    <row r="126" spans="1:28" ht="13" x14ac:dyDescent="0.3">
      <c r="A126" s="54">
        <v>50</v>
      </c>
      <c r="B126" s="54">
        <v>1</v>
      </c>
      <c r="C126" s="54">
        <v>0</v>
      </c>
      <c r="D126" s="54">
        <v>2</v>
      </c>
      <c r="E126" s="54">
        <v>0</v>
      </c>
      <c r="F126" s="54">
        <f>ROUND(F123-F124-F125,O126)</f>
        <v>1047775.13</v>
      </c>
      <c r="G126" s="54" t="s">
        <v>273</v>
      </c>
      <c r="H126" s="54" t="s">
        <v>274</v>
      </c>
      <c r="I126" s="54"/>
      <c r="J126" s="54"/>
      <c r="K126" s="54">
        <v>212</v>
      </c>
      <c r="L126" s="54">
        <v>32</v>
      </c>
      <c r="M126" s="54">
        <v>0</v>
      </c>
      <c r="N126" s="54" t="s">
        <v>30</v>
      </c>
      <c r="O126" s="54">
        <v>2</v>
      </c>
      <c r="P126" s="54"/>
      <c r="Q126" s="54"/>
      <c r="R126" s="54"/>
      <c r="S126" s="54"/>
      <c r="T126" s="54"/>
      <c r="U126" s="54"/>
      <c r="V126" s="54"/>
      <c r="W126" s="54">
        <v>1047775.13</v>
      </c>
      <c r="X126" s="54">
        <v>1</v>
      </c>
      <c r="Y126" s="54">
        <v>1047775.13</v>
      </c>
      <c r="Z126" s="54"/>
      <c r="AA126" s="54"/>
      <c r="AB126" s="54"/>
    </row>
    <row r="127" spans="1:28" ht="13" x14ac:dyDescent="0.3">
      <c r="A127" s="54">
        <v>50</v>
      </c>
      <c r="B127" s="54">
        <v>1</v>
      </c>
      <c r="C127" s="54">
        <v>0</v>
      </c>
      <c r="D127" s="54">
        <v>2</v>
      </c>
      <c r="E127" s="54">
        <v>0</v>
      </c>
      <c r="F127" s="54">
        <f>ROUND(F126*0.2,O127)</f>
        <v>209555.03</v>
      </c>
      <c r="G127" s="54" t="s">
        <v>42</v>
      </c>
      <c r="H127" s="54" t="s">
        <v>42</v>
      </c>
      <c r="I127" s="54"/>
      <c r="J127" s="54"/>
      <c r="K127" s="54">
        <v>212</v>
      </c>
      <c r="L127" s="54">
        <v>33</v>
      </c>
      <c r="M127" s="54">
        <v>0</v>
      </c>
      <c r="N127" s="54" t="s">
        <v>30</v>
      </c>
      <c r="O127" s="54">
        <v>2</v>
      </c>
      <c r="P127" s="54"/>
      <c r="Q127" s="54"/>
      <c r="R127" s="54"/>
      <c r="S127" s="54"/>
      <c r="T127" s="54"/>
      <c r="U127" s="54"/>
      <c r="V127" s="54"/>
      <c r="W127" s="54">
        <v>209555.03</v>
      </c>
      <c r="X127" s="54">
        <v>1</v>
      </c>
      <c r="Y127" s="54">
        <v>209555.03</v>
      </c>
      <c r="Z127" s="54"/>
      <c r="AA127" s="54"/>
      <c r="AB127" s="54"/>
    </row>
    <row r="128" spans="1:28" ht="13" x14ac:dyDescent="0.3">
      <c r="A128" s="54">
        <v>50</v>
      </c>
      <c r="B128" s="54">
        <v>1</v>
      </c>
      <c r="C128" s="54">
        <v>0</v>
      </c>
      <c r="D128" s="54">
        <v>2</v>
      </c>
      <c r="E128" s="54">
        <v>0</v>
      </c>
      <c r="F128" s="54">
        <f>ROUND(F126+F127,O128)</f>
        <v>1257330.1599999999</v>
      </c>
      <c r="G128" s="54" t="s">
        <v>43</v>
      </c>
      <c r="H128" s="54" t="s">
        <v>275</v>
      </c>
      <c r="I128" s="54"/>
      <c r="J128" s="54"/>
      <c r="K128" s="54">
        <v>212</v>
      </c>
      <c r="L128" s="54">
        <v>34</v>
      </c>
      <c r="M128" s="54">
        <v>0</v>
      </c>
      <c r="N128" s="54" t="s">
        <v>30</v>
      </c>
      <c r="O128" s="54">
        <v>2</v>
      </c>
      <c r="P128" s="54"/>
      <c r="Q128" s="54"/>
      <c r="R128" s="54"/>
      <c r="S128" s="54"/>
      <c r="T128" s="54"/>
      <c r="U128" s="54"/>
      <c r="V128" s="54"/>
      <c r="W128" s="54">
        <v>1257330.1599999999</v>
      </c>
      <c r="X128" s="54">
        <v>1</v>
      </c>
      <c r="Y128" s="54">
        <v>1257330.1599999999</v>
      </c>
      <c r="Z128" s="54"/>
      <c r="AA128" s="54"/>
      <c r="AB128" s="54"/>
    </row>
    <row r="129" spans="1:245" ht="13" x14ac:dyDescent="0.3">
      <c r="A129" s="54">
        <v>50</v>
      </c>
      <c r="B129" s="54">
        <v>1</v>
      </c>
      <c r="C129" s="54">
        <v>0</v>
      </c>
      <c r="D129" s="54">
        <v>2</v>
      </c>
      <c r="E129" s="54">
        <v>0</v>
      </c>
      <c r="F129" s="54">
        <f>ROUND(F108,O129)</f>
        <v>161135.43</v>
      </c>
      <c r="G129" s="54" t="s">
        <v>276</v>
      </c>
      <c r="H129" s="54" t="s">
        <v>277</v>
      </c>
      <c r="I129" s="54"/>
      <c r="J129" s="54"/>
      <c r="K129" s="54">
        <v>212</v>
      </c>
      <c r="L129" s="54">
        <v>35</v>
      </c>
      <c r="M129" s="54">
        <v>0</v>
      </c>
      <c r="N129" s="54" t="s">
        <v>30</v>
      </c>
      <c r="O129" s="54">
        <v>2</v>
      </c>
      <c r="P129" s="54"/>
      <c r="Q129" s="54"/>
      <c r="R129" s="54"/>
      <c r="S129" s="54"/>
      <c r="T129" s="54"/>
      <c r="U129" s="54"/>
      <c r="V129" s="54"/>
      <c r="W129" s="54">
        <v>161135.43</v>
      </c>
      <c r="X129" s="54">
        <v>1</v>
      </c>
      <c r="Y129" s="54">
        <v>161135.43</v>
      </c>
      <c r="Z129" s="54"/>
      <c r="AA129" s="54"/>
      <c r="AB129" s="54"/>
    </row>
    <row r="130" spans="1:245" ht="13" x14ac:dyDescent="0.3">
      <c r="A130" s="54">
        <v>50</v>
      </c>
      <c r="B130" s="54">
        <v>1</v>
      </c>
      <c r="C130" s="54">
        <v>0</v>
      </c>
      <c r="D130" s="54">
        <v>2</v>
      </c>
      <c r="E130" s="54">
        <v>0</v>
      </c>
      <c r="F130" s="54">
        <f>ROUND(F107,O130)</f>
        <v>223881.52</v>
      </c>
      <c r="G130" s="54" t="s">
        <v>278</v>
      </c>
      <c r="H130" s="54" t="s">
        <v>279</v>
      </c>
      <c r="I130" s="54"/>
      <c r="J130" s="54"/>
      <c r="K130" s="54">
        <v>212</v>
      </c>
      <c r="L130" s="54">
        <v>36</v>
      </c>
      <c r="M130" s="54">
        <v>0</v>
      </c>
      <c r="N130" s="54" t="s">
        <v>30</v>
      </c>
      <c r="O130" s="54">
        <v>2</v>
      </c>
      <c r="P130" s="54"/>
      <c r="Q130" s="54"/>
      <c r="R130" s="54"/>
      <c r="S130" s="54"/>
      <c r="T130" s="54"/>
      <c r="U130" s="54"/>
      <c r="V130" s="54"/>
      <c r="W130" s="54">
        <v>223881.52</v>
      </c>
      <c r="X130" s="54">
        <v>1</v>
      </c>
      <c r="Y130" s="54">
        <v>223881.52</v>
      </c>
      <c r="Z130" s="54"/>
      <c r="AA130" s="54"/>
      <c r="AB130" s="54"/>
    </row>
    <row r="131" spans="1:245" ht="13" x14ac:dyDescent="0.3">
      <c r="A131" s="54">
        <v>50</v>
      </c>
      <c r="B131" s="54">
        <v>1</v>
      </c>
      <c r="C131" s="54">
        <v>0</v>
      </c>
      <c r="D131" s="54">
        <v>2</v>
      </c>
      <c r="E131" s="54">
        <v>0</v>
      </c>
      <c r="F131" s="54">
        <f>ROUND(F128+F129+F130,O131)</f>
        <v>1642347.11</v>
      </c>
      <c r="G131" s="54" t="s">
        <v>266</v>
      </c>
      <c r="H131" s="54" t="s">
        <v>280</v>
      </c>
      <c r="I131" s="54"/>
      <c r="J131" s="54"/>
      <c r="K131" s="54">
        <v>212</v>
      </c>
      <c r="L131" s="54">
        <v>37</v>
      </c>
      <c r="M131" s="54">
        <v>0</v>
      </c>
      <c r="N131" s="54" t="s">
        <v>30</v>
      </c>
      <c r="O131" s="54">
        <v>2</v>
      </c>
      <c r="P131" s="54"/>
      <c r="Q131" s="54"/>
      <c r="R131" s="54"/>
      <c r="S131" s="54"/>
      <c r="T131" s="54"/>
      <c r="U131" s="54"/>
      <c r="V131" s="54"/>
      <c r="W131" s="54">
        <v>1642347.11</v>
      </c>
      <c r="X131" s="54">
        <v>1</v>
      </c>
      <c r="Y131" s="54">
        <v>1642347.11</v>
      </c>
      <c r="Z131" s="54"/>
      <c r="AA131" s="54"/>
      <c r="AB131" s="54"/>
    </row>
    <row r="133" spans="1:245" ht="13" x14ac:dyDescent="0.3">
      <c r="A133" s="51">
        <v>4</v>
      </c>
      <c r="B133" s="51">
        <v>1</v>
      </c>
      <c r="C133" s="51"/>
      <c r="D133" s="51">
        <f>ROW(A140)</f>
        <v>140</v>
      </c>
      <c r="E133" s="51"/>
      <c r="F133" s="51" t="s">
        <v>174</v>
      </c>
      <c r="G133" s="51" t="s">
        <v>302</v>
      </c>
      <c r="H133" s="51" t="s">
        <v>30</v>
      </c>
      <c r="I133" s="51">
        <v>0</v>
      </c>
      <c r="J133" s="51"/>
      <c r="K133" s="51">
        <v>-1</v>
      </c>
      <c r="L133" s="51"/>
      <c r="M133" s="51" t="s">
        <v>30</v>
      </c>
      <c r="N133" s="51"/>
      <c r="O133" s="51"/>
      <c r="P133" s="51"/>
      <c r="Q133" s="51"/>
      <c r="R133" s="51"/>
      <c r="S133" s="51">
        <v>0</v>
      </c>
      <c r="T133" s="51"/>
      <c r="U133" s="51" t="s">
        <v>30</v>
      </c>
      <c r="V133" s="51">
        <v>0</v>
      </c>
      <c r="W133" s="51"/>
      <c r="X133" s="51"/>
      <c r="Y133" s="51"/>
      <c r="Z133" s="51"/>
      <c r="AA133" s="51"/>
      <c r="AB133" s="51" t="s">
        <v>30</v>
      </c>
      <c r="AC133" s="51" t="s">
        <v>30</v>
      </c>
      <c r="AD133" s="51" t="s">
        <v>30</v>
      </c>
      <c r="AE133" s="51" t="s">
        <v>30</v>
      </c>
      <c r="AF133" s="51" t="s">
        <v>30</v>
      </c>
      <c r="AG133" s="51" t="s">
        <v>30</v>
      </c>
      <c r="AH133" s="51"/>
      <c r="AI133" s="51"/>
      <c r="AJ133" s="51"/>
      <c r="AK133" s="51"/>
      <c r="AL133" s="51"/>
      <c r="AM133" s="51"/>
      <c r="AN133" s="51"/>
      <c r="AO133" s="51"/>
      <c r="AP133" s="51" t="s">
        <v>30</v>
      </c>
      <c r="AQ133" s="51" t="s">
        <v>30</v>
      </c>
      <c r="AR133" s="51" t="s">
        <v>30</v>
      </c>
      <c r="AS133" s="51"/>
      <c r="AT133" s="51"/>
      <c r="AU133" s="51"/>
      <c r="AV133" s="51"/>
      <c r="AW133" s="51"/>
      <c r="AX133" s="51"/>
      <c r="AY133" s="51"/>
      <c r="AZ133" s="51" t="s">
        <v>30</v>
      </c>
      <c r="BA133" s="51"/>
      <c r="BB133" s="51" t="s">
        <v>30</v>
      </c>
      <c r="BC133" s="51" t="s">
        <v>30</v>
      </c>
      <c r="BD133" s="51" t="s">
        <v>30</v>
      </c>
      <c r="BE133" s="51" t="s">
        <v>30</v>
      </c>
      <c r="BF133" s="51" t="s">
        <v>30</v>
      </c>
      <c r="BG133" s="51" t="s">
        <v>30</v>
      </c>
      <c r="BH133" s="51" t="s">
        <v>30</v>
      </c>
      <c r="BI133" s="51" t="s">
        <v>30</v>
      </c>
      <c r="BJ133" s="51" t="s">
        <v>30</v>
      </c>
      <c r="BK133" s="51" t="s">
        <v>30</v>
      </c>
      <c r="BL133" s="51" t="s">
        <v>30</v>
      </c>
      <c r="BM133" s="51" t="s">
        <v>30</v>
      </c>
      <c r="BN133" s="51" t="s">
        <v>30</v>
      </c>
      <c r="BO133" s="51" t="s">
        <v>30</v>
      </c>
      <c r="BP133" s="51" t="s">
        <v>30</v>
      </c>
      <c r="BQ133" s="51"/>
      <c r="BR133" s="51"/>
      <c r="BS133" s="51"/>
      <c r="BT133" s="51"/>
      <c r="BU133" s="51"/>
      <c r="BV133" s="51"/>
      <c r="BW133" s="51"/>
      <c r="BX133" s="51">
        <v>0</v>
      </c>
      <c r="BY133" s="51"/>
      <c r="BZ133" s="51"/>
      <c r="CA133" s="51"/>
      <c r="CB133" s="51"/>
      <c r="CC133" s="51"/>
      <c r="CD133" s="51"/>
      <c r="CE133" s="51"/>
      <c r="CF133" s="51"/>
      <c r="CG133" s="51"/>
      <c r="CH133" s="51"/>
      <c r="CI133" s="51"/>
      <c r="CJ133" s="51">
        <v>0</v>
      </c>
    </row>
    <row r="135" spans="1:245" ht="13" x14ac:dyDescent="0.3">
      <c r="A135" s="52">
        <v>52</v>
      </c>
      <c r="B135" s="52">
        <f t="shared" ref="B135:G135" si="89">B140</f>
        <v>1</v>
      </c>
      <c r="C135" s="52">
        <f t="shared" si="89"/>
        <v>4</v>
      </c>
      <c r="D135" s="52">
        <f t="shared" si="89"/>
        <v>133</v>
      </c>
      <c r="E135" s="52">
        <f t="shared" si="89"/>
        <v>0</v>
      </c>
      <c r="F135" s="52" t="str">
        <f t="shared" si="89"/>
        <v>Новый раздел</v>
      </c>
      <c r="G135" s="52" t="str">
        <f t="shared" si="89"/>
        <v>Устройство малых архитектурных форм</v>
      </c>
      <c r="H135" s="52"/>
      <c r="I135" s="52"/>
      <c r="J135" s="52"/>
      <c r="K135" s="52"/>
      <c r="L135" s="52"/>
      <c r="M135" s="52"/>
      <c r="N135" s="52"/>
      <c r="O135" s="52">
        <f t="shared" ref="O135:BZ135" si="90">O140</f>
        <v>0</v>
      </c>
      <c r="P135" s="52">
        <f t="shared" si="90"/>
        <v>0</v>
      </c>
      <c r="Q135" s="52">
        <f t="shared" si="90"/>
        <v>0</v>
      </c>
      <c r="R135" s="52">
        <f t="shared" si="90"/>
        <v>0</v>
      </c>
      <c r="S135" s="52">
        <f t="shared" si="90"/>
        <v>0</v>
      </c>
      <c r="T135" s="52">
        <f t="shared" si="90"/>
        <v>0</v>
      </c>
      <c r="U135" s="52">
        <f t="shared" si="90"/>
        <v>0</v>
      </c>
      <c r="V135" s="52">
        <f t="shared" si="90"/>
        <v>0</v>
      </c>
      <c r="W135" s="52">
        <f t="shared" si="90"/>
        <v>0</v>
      </c>
      <c r="X135" s="52">
        <f t="shared" si="90"/>
        <v>0</v>
      </c>
      <c r="Y135" s="52">
        <f t="shared" si="90"/>
        <v>0</v>
      </c>
      <c r="Z135" s="52">
        <f t="shared" si="90"/>
        <v>0</v>
      </c>
      <c r="AA135" s="52">
        <f t="shared" si="90"/>
        <v>0</v>
      </c>
      <c r="AB135" s="52">
        <f t="shared" si="90"/>
        <v>0</v>
      </c>
      <c r="AC135" s="52">
        <f t="shared" si="90"/>
        <v>0</v>
      </c>
      <c r="AD135" s="52">
        <f t="shared" si="90"/>
        <v>0</v>
      </c>
      <c r="AE135" s="52">
        <f t="shared" si="90"/>
        <v>0</v>
      </c>
      <c r="AF135" s="52">
        <f t="shared" si="90"/>
        <v>0</v>
      </c>
      <c r="AG135" s="52">
        <f t="shared" si="90"/>
        <v>0</v>
      </c>
      <c r="AH135" s="52">
        <f t="shared" si="90"/>
        <v>0</v>
      </c>
      <c r="AI135" s="52">
        <f t="shared" si="90"/>
        <v>0</v>
      </c>
      <c r="AJ135" s="52">
        <f t="shared" si="90"/>
        <v>0</v>
      </c>
      <c r="AK135" s="52">
        <f t="shared" si="90"/>
        <v>0</v>
      </c>
      <c r="AL135" s="52">
        <f t="shared" si="90"/>
        <v>0</v>
      </c>
      <c r="AM135" s="52">
        <f t="shared" si="90"/>
        <v>0</v>
      </c>
      <c r="AN135" s="52">
        <f t="shared" si="90"/>
        <v>0</v>
      </c>
      <c r="AO135" s="52">
        <f t="shared" si="90"/>
        <v>0</v>
      </c>
      <c r="AP135" s="52">
        <f t="shared" si="90"/>
        <v>0</v>
      </c>
      <c r="AQ135" s="52">
        <f t="shared" si="90"/>
        <v>0</v>
      </c>
      <c r="AR135" s="52">
        <f t="shared" si="90"/>
        <v>0</v>
      </c>
      <c r="AS135" s="52">
        <f t="shared" si="90"/>
        <v>0</v>
      </c>
      <c r="AT135" s="52">
        <f t="shared" si="90"/>
        <v>0</v>
      </c>
      <c r="AU135" s="52">
        <f t="shared" si="90"/>
        <v>0</v>
      </c>
      <c r="AV135" s="52">
        <f t="shared" si="90"/>
        <v>0</v>
      </c>
      <c r="AW135" s="52">
        <f t="shared" si="90"/>
        <v>0</v>
      </c>
      <c r="AX135" s="52">
        <f t="shared" si="90"/>
        <v>0</v>
      </c>
      <c r="AY135" s="52">
        <f t="shared" si="90"/>
        <v>0</v>
      </c>
      <c r="AZ135" s="52">
        <f t="shared" si="90"/>
        <v>0</v>
      </c>
      <c r="BA135" s="52">
        <f t="shared" si="90"/>
        <v>0</v>
      </c>
      <c r="BB135" s="52">
        <f t="shared" si="90"/>
        <v>0</v>
      </c>
      <c r="BC135" s="52">
        <f t="shared" si="90"/>
        <v>0</v>
      </c>
      <c r="BD135" s="52">
        <f t="shared" si="90"/>
        <v>0</v>
      </c>
      <c r="BE135" s="52">
        <f t="shared" si="90"/>
        <v>0</v>
      </c>
      <c r="BF135" s="52">
        <f t="shared" si="90"/>
        <v>0</v>
      </c>
      <c r="BG135" s="52">
        <f t="shared" si="90"/>
        <v>0</v>
      </c>
      <c r="BH135" s="52">
        <f t="shared" si="90"/>
        <v>0</v>
      </c>
      <c r="BI135" s="52">
        <f t="shared" si="90"/>
        <v>0</v>
      </c>
      <c r="BJ135" s="52">
        <f t="shared" si="90"/>
        <v>0</v>
      </c>
      <c r="BK135" s="52">
        <f t="shared" si="90"/>
        <v>0</v>
      </c>
      <c r="BL135" s="52">
        <f t="shared" si="90"/>
        <v>0</v>
      </c>
      <c r="BM135" s="52">
        <f t="shared" si="90"/>
        <v>0</v>
      </c>
      <c r="BN135" s="52">
        <f t="shared" si="90"/>
        <v>0</v>
      </c>
      <c r="BO135" s="52">
        <f t="shared" si="90"/>
        <v>0</v>
      </c>
      <c r="BP135" s="52">
        <f t="shared" si="90"/>
        <v>0</v>
      </c>
      <c r="BQ135" s="52">
        <f t="shared" si="90"/>
        <v>0</v>
      </c>
      <c r="BR135" s="52">
        <f t="shared" si="90"/>
        <v>0</v>
      </c>
      <c r="BS135" s="52">
        <f t="shared" si="90"/>
        <v>0</v>
      </c>
      <c r="BT135" s="52">
        <f t="shared" si="90"/>
        <v>0</v>
      </c>
      <c r="BU135" s="52">
        <f t="shared" si="90"/>
        <v>0</v>
      </c>
      <c r="BV135" s="52">
        <f t="shared" si="90"/>
        <v>0</v>
      </c>
      <c r="BW135" s="52">
        <f t="shared" si="90"/>
        <v>0</v>
      </c>
      <c r="BX135" s="52">
        <f t="shared" si="90"/>
        <v>0</v>
      </c>
      <c r="BY135" s="52">
        <f t="shared" si="90"/>
        <v>0</v>
      </c>
      <c r="BZ135" s="52">
        <f t="shared" si="90"/>
        <v>0</v>
      </c>
      <c r="CA135" s="52">
        <f t="shared" ref="CA135:EL135" si="91">CA140</f>
        <v>0</v>
      </c>
      <c r="CB135" s="52">
        <f t="shared" si="91"/>
        <v>0</v>
      </c>
      <c r="CC135" s="52">
        <f t="shared" si="91"/>
        <v>0</v>
      </c>
      <c r="CD135" s="52">
        <f t="shared" si="91"/>
        <v>0</v>
      </c>
      <c r="CE135" s="52">
        <f t="shared" si="91"/>
        <v>0</v>
      </c>
      <c r="CF135" s="52">
        <f t="shared" si="91"/>
        <v>0</v>
      </c>
      <c r="CG135" s="52">
        <f t="shared" si="91"/>
        <v>0</v>
      </c>
      <c r="CH135" s="52">
        <f t="shared" si="91"/>
        <v>0</v>
      </c>
      <c r="CI135" s="52">
        <f t="shared" si="91"/>
        <v>0</v>
      </c>
      <c r="CJ135" s="52">
        <f t="shared" si="91"/>
        <v>0</v>
      </c>
      <c r="CK135" s="52">
        <f t="shared" si="91"/>
        <v>0</v>
      </c>
      <c r="CL135" s="52">
        <f t="shared" si="91"/>
        <v>0</v>
      </c>
      <c r="CM135" s="52">
        <f t="shared" si="91"/>
        <v>0</v>
      </c>
      <c r="CN135" s="52">
        <f t="shared" si="91"/>
        <v>0</v>
      </c>
      <c r="CO135" s="52">
        <f t="shared" si="91"/>
        <v>0</v>
      </c>
      <c r="CP135" s="52">
        <f t="shared" si="91"/>
        <v>0</v>
      </c>
      <c r="CQ135" s="52">
        <f t="shared" si="91"/>
        <v>0</v>
      </c>
      <c r="CR135" s="52">
        <f t="shared" si="91"/>
        <v>0</v>
      </c>
      <c r="CS135" s="52">
        <f t="shared" si="91"/>
        <v>0</v>
      </c>
      <c r="CT135" s="52">
        <f t="shared" si="91"/>
        <v>0</v>
      </c>
      <c r="CU135" s="52">
        <f t="shared" si="91"/>
        <v>0</v>
      </c>
      <c r="CV135" s="52">
        <f t="shared" si="91"/>
        <v>0</v>
      </c>
      <c r="CW135" s="52">
        <f t="shared" si="91"/>
        <v>0</v>
      </c>
      <c r="CX135" s="52">
        <f t="shared" si="91"/>
        <v>0</v>
      </c>
      <c r="CY135" s="52">
        <f t="shared" si="91"/>
        <v>0</v>
      </c>
      <c r="CZ135" s="52">
        <f t="shared" si="91"/>
        <v>0</v>
      </c>
      <c r="DA135" s="52">
        <f t="shared" si="91"/>
        <v>0</v>
      </c>
      <c r="DB135" s="52">
        <f t="shared" si="91"/>
        <v>0</v>
      </c>
      <c r="DC135" s="52">
        <f t="shared" si="91"/>
        <v>0</v>
      </c>
      <c r="DD135" s="52">
        <f t="shared" si="91"/>
        <v>0</v>
      </c>
      <c r="DE135" s="52">
        <f t="shared" si="91"/>
        <v>0</v>
      </c>
      <c r="DF135" s="52">
        <f t="shared" si="91"/>
        <v>0</v>
      </c>
      <c r="DG135" s="53">
        <f t="shared" si="91"/>
        <v>0</v>
      </c>
      <c r="DH135" s="53">
        <f t="shared" si="91"/>
        <v>0</v>
      </c>
      <c r="DI135" s="53">
        <f t="shared" si="91"/>
        <v>0</v>
      </c>
      <c r="DJ135" s="53">
        <f t="shared" si="91"/>
        <v>0</v>
      </c>
      <c r="DK135" s="53">
        <f t="shared" si="91"/>
        <v>0</v>
      </c>
      <c r="DL135" s="53">
        <f t="shared" si="91"/>
        <v>0</v>
      </c>
      <c r="DM135" s="53">
        <f t="shared" si="91"/>
        <v>0</v>
      </c>
      <c r="DN135" s="53">
        <f t="shared" si="91"/>
        <v>0</v>
      </c>
      <c r="DO135" s="53">
        <f t="shared" si="91"/>
        <v>0</v>
      </c>
      <c r="DP135" s="53">
        <f t="shared" si="91"/>
        <v>0</v>
      </c>
      <c r="DQ135" s="53">
        <f t="shared" si="91"/>
        <v>0</v>
      </c>
      <c r="DR135" s="53">
        <f t="shared" si="91"/>
        <v>0</v>
      </c>
      <c r="DS135" s="53">
        <f t="shared" si="91"/>
        <v>0</v>
      </c>
      <c r="DT135" s="53">
        <f t="shared" si="91"/>
        <v>0</v>
      </c>
      <c r="DU135" s="53">
        <f t="shared" si="91"/>
        <v>0</v>
      </c>
      <c r="DV135" s="53">
        <f t="shared" si="91"/>
        <v>0</v>
      </c>
      <c r="DW135" s="53">
        <f t="shared" si="91"/>
        <v>0</v>
      </c>
      <c r="DX135" s="53">
        <f t="shared" si="91"/>
        <v>0</v>
      </c>
      <c r="DY135" s="53">
        <f t="shared" si="91"/>
        <v>0</v>
      </c>
      <c r="DZ135" s="53">
        <f t="shared" si="91"/>
        <v>0</v>
      </c>
      <c r="EA135" s="53">
        <f t="shared" si="91"/>
        <v>0</v>
      </c>
      <c r="EB135" s="53">
        <f t="shared" si="91"/>
        <v>0</v>
      </c>
      <c r="EC135" s="53">
        <f t="shared" si="91"/>
        <v>0</v>
      </c>
      <c r="ED135" s="53">
        <f t="shared" si="91"/>
        <v>0</v>
      </c>
      <c r="EE135" s="53">
        <f t="shared" si="91"/>
        <v>0</v>
      </c>
      <c r="EF135" s="53">
        <f t="shared" si="91"/>
        <v>0</v>
      </c>
      <c r="EG135" s="53">
        <f t="shared" si="91"/>
        <v>0</v>
      </c>
      <c r="EH135" s="53">
        <f t="shared" si="91"/>
        <v>0</v>
      </c>
      <c r="EI135" s="53">
        <f t="shared" si="91"/>
        <v>0</v>
      </c>
      <c r="EJ135" s="53">
        <f t="shared" si="91"/>
        <v>0</v>
      </c>
      <c r="EK135" s="53">
        <f t="shared" si="91"/>
        <v>0</v>
      </c>
      <c r="EL135" s="53">
        <f t="shared" si="91"/>
        <v>0</v>
      </c>
      <c r="EM135" s="53">
        <f t="shared" ref="EM135:GX135" si="92">EM140</f>
        <v>0</v>
      </c>
      <c r="EN135" s="53">
        <f t="shared" si="92"/>
        <v>0</v>
      </c>
      <c r="EO135" s="53">
        <f t="shared" si="92"/>
        <v>0</v>
      </c>
      <c r="EP135" s="53">
        <f t="shared" si="92"/>
        <v>0</v>
      </c>
      <c r="EQ135" s="53">
        <f t="shared" si="92"/>
        <v>0</v>
      </c>
      <c r="ER135" s="53">
        <f t="shared" si="92"/>
        <v>0</v>
      </c>
      <c r="ES135" s="53">
        <f t="shared" si="92"/>
        <v>0</v>
      </c>
      <c r="ET135" s="53">
        <f t="shared" si="92"/>
        <v>0</v>
      </c>
      <c r="EU135" s="53">
        <f t="shared" si="92"/>
        <v>0</v>
      </c>
      <c r="EV135" s="53">
        <f t="shared" si="92"/>
        <v>0</v>
      </c>
      <c r="EW135" s="53">
        <f t="shared" si="92"/>
        <v>0</v>
      </c>
      <c r="EX135" s="53">
        <f t="shared" si="92"/>
        <v>0</v>
      </c>
      <c r="EY135" s="53">
        <f t="shared" si="92"/>
        <v>0</v>
      </c>
      <c r="EZ135" s="53">
        <f t="shared" si="92"/>
        <v>0</v>
      </c>
      <c r="FA135" s="53">
        <f t="shared" si="92"/>
        <v>0</v>
      </c>
      <c r="FB135" s="53">
        <f t="shared" si="92"/>
        <v>0</v>
      </c>
      <c r="FC135" s="53">
        <f t="shared" si="92"/>
        <v>0</v>
      </c>
      <c r="FD135" s="53">
        <f t="shared" si="92"/>
        <v>0</v>
      </c>
      <c r="FE135" s="53">
        <f t="shared" si="92"/>
        <v>0</v>
      </c>
      <c r="FF135" s="53">
        <f t="shared" si="92"/>
        <v>0</v>
      </c>
      <c r="FG135" s="53">
        <f t="shared" si="92"/>
        <v>0</v>
      </c>
      <c r="FH135" s="53">
        <f t="shared" si="92"/>
        <v>0</v>
      </c>
      <c r="FI135" s="53">
        <f t="shared" si="92"/>
        <v>0</v>
      </c>
      <c r="FJ135" s="53">
        <f t="shared" si="92"/>
        <v>0</v>
      </c>
      <c r="FK135" s="53">
        <f t="shared" si="92"/>
        <v>0</v>
      </c>
      <c r="FL135" s="53">
        <f t="shared" si="92"/>
        <v>0</v>
      </c>
      <c r="FM135" s="53">
        <f t="shared" si="92"/>
        <v>0</v>
      </c>
      <c r="FN135" s="53">
        <f t="shared" si="92"/>
        <v>0</v>
      </c>
      <c r="FO135" s="53">
        <f t="shared" si="92"/>
        <v>0</v>
      </c>
      <c r="FP135" s="53">
        <f t="shared" si="92"/>
        <v>0</v>
      </c>
      <c r="FQ135" s="53">
        <f t="shared" si="92"/>
        <v>0</v>
      </c>
      <c r="FR135" s="53">
        <f t="shared" si="92"/>
        <v>0</v>
      </c>
      <c r="FS135" s="53">
        <f t="shared" si="92"/>
        <v>0</v>
      </c>
      <c r="FT135" s="53">
        <f t="shared" si="92"/>
        <v>0</v>
      </c>
      <c r="FU135" s="53">
        <f t="shared" si="92"/>
        <v>0</v>
      </c>
      <c r="FV135" s="53">
        <f t="shared" si="92"/>
        <v>0</v>
      </c>
      <c r="FW135" s="53">
        <f t="shared" si="92"/>
        <v>0</v>
      </c>
      <c r="FX135" s="53">
        <f t="shared" si="92"/>
        <v>0</v>
      </c>
      <c r="FY135" s="53">
        <f t="shared" si="92"/>
        <v>0</v>
      </c>
      <c r="FZ135" s="53">
        <f t="shared" si="92"/>
        <v>0</v>
      </c>
      <c r="GA135" s="53">
        <f t="shared" si="92"/>
        <v>0</v>
      </c>
      <c r="GB135" s="53">
        <f t="shared" si="92"/>
        <v>0</v>
      </c>
      <c r="GC135" s="53">
        <f t="shared" si="92"/>
        <v>0</v>
      </c>
      <c r="GD135" s="53">
        <f t="shared" si="92"/>
        <v>0</v>
      </c>
      <c r="GE135" s="53">
        <f t="shared" si="92"/>
        <v>0</v>
      </c>
      <c r="GF135" s="53">
        <f t="shared" si="92"/>
        <v>0</v>
      </c>
      <c r="GG135" s="53">
        <f t="shared" si="92"/>
        <v>0</v>
      </c>
      <c r="GH135" s="53">
        <f t="shared" si="92"/>
        <v>0</v>
      </c>
      <c r="GI135" s="53">
        <f t="shared" si="92"/>
        <v>0</v>
      </c>
      <c r="GJ135" s="53">
        <f t="shared" si="92"/>
        <v>0</v>
      </c>
      <c r="GK135" s="53">
        <f t="shared" si="92"/>
        <v>0</v>
      </c>
      <c r="GL135" s="53">
        <f t="shared" si="92"/>
        <v>0</v>
      </c>
      <c r="GM135" s="53">
        <f t="shared" si="92"/>
        <v>0</v>
      </c>
      <c r="GN135" s="53">
        <f t="shared" si="92"/>
        <v>0</v>
      </c>
      <c r="GO135" s="53">
        <f t="shared" si="92"/>
        <v>0</v>
      </c>
      <c r="GP135" s="53">
        <f t="shared" si="92"/>
        <v>0</v>
      </c>
      <c r="GQ135" s="53">
        <f t="shared" si="92"/>
        <v>0</v>
      </c>
      <c r="GR135" s="53">
        <f t="shared" si="92"/>
        <v>0</v>
      </c>
      <c r="GS135" s="53">
        <f t="shared" si="92"/>
        <v>0</v>
      </c>
      <c r="GT135" s="53">
        <f t="shared" si="92"/>
        <v>0</v>
      </c>
      <c r="GU135" s="53">
        <f t="shared" si="92"/>
        <v>0</v>
      </c>
      <c r="GV135" s="53">
        <f t="shared" si="92"/>
        <v>0</v>
      </c>
      <c r="GW135" s="53">
        <f t="shared" si="92"/>
        <v>0</v>
      </c>
      <c r="GX135" s="53">
        <f t="shared" si="92"/>
        <v>0</v>
      </c>
    </row>
    <row r="137" spans="1:245" x14ac:dyDescent="0.25">
      <c r="A137" s="2">
        <v>17</v>
      </c>
      <c r="B137" s="2">
        <v>1</v>
      </c>
      <c r="E137" s="2" t="s">
        <v>303</v>
      </c>
      <c r="F137" s="2" t="s">
        <v>132</v>
      </c>
      <c r="G137" s="2" t="s">
        <v>133</v>
      </c>
      <c r="H137" s="2" t="s">
        <v>67</v>
      </c>
      <c r="I137" s="2">
        <v>0</v>
      </c>
      <c r="J137" s="2">
        <v>0</v>
      </c>
      <c r="K137" s="2">
        <v>5</v>
      </c>
      <c r="O137" s="2">
        <f>ROUND(CP137,2)</f>
        <v>0</v>
      </c>
      <c r="P137" s="2">
        <f>ROUND(CQ137*I137,2)</f>
        <v>0</v>
      </c>
      <c r="Q137" s="2">
        <f>ROUND(CR137*I137,2)</f>
        <v>0</v>
      </c>
      <c r="R137" s="2">
        <f>ROUND(CS137*I137,2)</f>
        <v>0</v>
      </c>
      <c r="S137" s="2">
        <f>ROUND(CT137*I137,2)</f>
        <v>0</v>
      </c>
      <c r="T137" s="2">
        <f>ROUND(CU137*I137,2)</f>
        <v>0</v>
      </c>
      <c r="U137" s="2">
        <f>CV137*I137</f>
        <v>0</v>
      </c>
      <c r="V137" s="2">
        <f>CW137*I137</f>
        <v>0</v>
      </c>
      <c r="W137" s="2">
        <f>ROUND(CX137*I137,2)</f>
        <v>0</v>
      </c>
      <c r="X137" s="2">
        <f>ROUND(CY137,2)</f>
        <v>0</v>
      </c>
      <c r="Y137" s="2">
        <f>ROUND(CZ137,2)</f>
        <v>0</v>
      </c>
      <c r="AA137" s="2">
        <v>52286166</v>
      </c>
      <c r="AB137" s="2">
        <f>ROUND((AC137+AD137+AF137),6)</f>
        <v>20600</v>
      </c>
      <c r="AC137" s="2">
        <f>ROUND((ES137),6)</f>
        <v>20600</v>
      </c>
      <c r="AD137" s="2">
        <f>ROUND((((ET137)-(EU137))+AE137),6)</f>
        <v>0</v>
      </c>
      <c r="AE137" s="2">
        <f>ROUND((EU137),6)</f>
        <v>0</v>
      </c>
      <c r="AF137" s="2">
        <f>ROUND((EV137),6)</f>
        <v>0</v>
      </c>
      <c r="AG137" s="2">
        <f>ROUND((AP137),6)</f>
        <v>0</v>
      </c>
      <c r="AH137" s="2">
        <f>(EW137)</f>
        <v>0</v>
      </c>
      <c r="AI137" s="2">
        <f>(EX137)</f>
        <v>0</v>
      </c>
      <c r="AJ137" s="2">
        <f>(AS137)</f>
        <v>0</v>
      </c>
      <c r="AK137" s="2">
        <v>20600</v>
      </c>
      <c r="AL137" s="2">
        <v>20600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70</v>
      </c>
      <c r="AU137" s="2">
        <v>10</v>
      </c>
      <c r="AV137" s="2">
        <v>1</v>
      </c>
      <c r="AW137" s="2">
        <v>1</v>
      </c>
      <c r="AZ137" s="2">
        <v>1</v>
      </c>
      <c r="BA137" s="2">
        <v>1</v>
      </c>
      <c r="BB137" s="2">
        <v>1</v>
      </c>
      <c r="BC137" s="2">
        <v>1</v>
      </c>
      <c r="BD137" s="2" t="s">
        <v>30</v>
      </c>
      <c r="BE137" s="2" t="s">
        <v>30</v>
      </c>
      <c r="BF137" s="2" t="s">
        <v>30</v>
      </c>
      <c r="BG137" s="2" t="s">
        <v>30</v>
      </c>
      <c r="BH137" s="2">
        <v>3</v>
      </c>
      <c r="BI137" s="2">
        <v>4</v>
      </c>
      <c r="BJ137" s="2" t="s">
        <v>304</v>
      </c>
      <c r="BM137" s="2">
        <v>0</v>
      </c>
      <c r="BN137" s="2">
        <v>0</v>
      </c>
      <c r="BO137" s="2" t="s">
        <v>30</v>
      </c>
      <c r="BP137" s="2">
        <v>0</v>
      </c>
      <c r="BQ137" s="2">
        <v>1</v>
      </c>
      <c r="BR137" s="2">
        <v>0</v>
      </c>
      <c r="BS137" s="2">
        <v>1</v>
      </c>
      <c r="BT137" s="2">
        <v>1</v>
      </c>
      <c r="BU137" s="2">
        <v>1</v>
      </c>
      <c r="BV137" s="2">
        <v>1</v>
      </c>
      <c r="BW137" s="2">
        <v>1</v>
      </c>
      <c r="BX137" s="2">
        <v>1</v>
      </c>
      <c r="BY137" s="2" t="s">
        <v>30</v>
      </c>
      <c r="BZ137" s="2">
        <v>70</v>
      </c>
      <c r="CA137" s="2">
        <v>10</v>
      </c>
      <c r="CB137" s="2" t="s">
        <v>30</v>
      </c>
      <c r="CE137" s="2">
        <v>0</v>
      </c>
      <c r="CF137" s="2">
        <v>0</v>
      </c>
      <c r="CG137" s="2">
        <v>0</v>
      </c>
      <c r="CM137" s="2">
        <v>0</v>
      </c>
      <c r="CN137" s="2" t="s">
        <v>30</v>
      </c>
      <c r="CO137" s="2">
        <v>0</v>
      </c>
      <c r="CP137" s="2">
        <f>(P137+Q137+S137)</f>
        <v>0</v>
      </c>
      <c r="CQ137" s="2">
        <f>(AC137*BC137*AW137)</f>
        <v>20600</v>
      </c>
      <c r="CR137" s="2">
        <f>((((ET137)*BB137-(EU137)*BS137)+AE137*BS137)*AV137)</f>
        <v>0</v>
      </c>
      <c r="CS137" s="2">
        <f>(AE137*BS137*AV137)</f>
        <v>0</v>
      </c>
      <c r="CT137" s="2">
        <f>(AF137*BA137*AV137)</f>
        <v>0</v>
      </c>
      <c r="CU137" s="2">
        <f>AG137</f>
        <v>0</v>
      </c>
      <c r="CV137" s="2">
        <f>(AH137*AV137)</f>
        <v>0</v>
      </c>
      <c r="CW137" s="2">
        <f>AI137</f>
        <v>0</v>
      </c>
      <c r="CX137" s="2">
        <f>AJ137</f>
        <v>0</v>
      </c>
      <c r="CY137" s="2">
        <f>((S137*BZ137)/100)</f>
        <v>0</v>
      </c>
      <c r="CZ137" s="2">
        <f>((S137*CA137)/100)</f>
        <v>0</v>
      </c>
      <c r="DC137" s="2" t="s">
        <v>30</v>
      </c>
      <c r="DD137" s="2" t="s">
        <v>30</v>
      </c>
      <c r="DE137" s="2" t="s">
        <v>30</v>
      </c>
      <c r="DF137" s="2" t="s">
        <v>30</v>
      </c>
      <c r="DG137" s="2" t="s">
        <v>30</v>
      </c>
      <c r="DH137" s="2" t="s">
        <v>30</v>
      </c>
      <c r="DI137" s="2" t="s">
        <v>30</v>
      </c>
      <c r="DJ137" s="2" t="s">
        <v>30</v>
      </c>
      <c r="DK137" s="2" t="s">
        <v>30</v>
      </c>
      <c r="DL137" s="2" t="s">
        <v>30</v>
      </c>
      <c r="DM137" s="2" t="s">
        <v>30</v>
      </c>
      <c r="DN137" s="2">
        <v>0</v>
      </c>
      <c r="DO137" s="2">
        <v>0</v>
      </c>
      <c r="DP137" s="2">
        <v>1</v>
      </c>
      <c r="DQ137" s="2">
        <v>1</v>
      </c>
      <c r="DU137" s="2">
        <v>1010</v>
      </c>
      <c r="DV137" s="2" t="s">
        <v>67</v>
      </c>
      <c r="DW137" s="2" t="s">
        <v>67</v>
      </c>
      <c r="DX137" s="2">
        <v>1</v>
      </c>
      <c r="DZ137" s="2" t="s">
        <v>30</v>
      </c>
      <c r="EA137" s="2" t="s">
        <v>30</v>
      </c>
      <c r="EB137" s="2" t="s">
        <v>30</v>
      </c>
      <c r="EC137" s="2" t="s">
        <v>30</v>
      </c>
      <c r="EE137" s="2">
        <v>49661954</v>
      </c>
      <c r="EF137" s="2">
        <v>1</v>
      </c>
      <c r="EG137" s="2" t="s">
        <v>180</v>
      </c>
      <c r="EH137" s="2">
        <v>0</v>
      </c>
      <c r="EI137" s="2" t="s">
        <v>30</v>
      </c>
      <c r="EJ137" s="2">
        <v>4</v>
      </c>
      <c r="EK137" s="2">
        <v>0</v>
      </c>
      <c r="EL137" s="2" t="s">
        <v>181</v>
      </c>
      <c r="EM137" s="2" t="s">
        <v>182</v>
      </c>
      <c r="EO137" s="2" t="s">
        <v>30</v>
      </c>
      <c r="EQ137" s="2">
        <v>0</v>
      </c>
      <c r="ER137" s="2">
        <v>20600</v>
      </c>
      <c r="ES137" s="2">
        <v>20600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FQ137" s="2">
        <v>0</v>
      </c>
      <c r="FR137" s="2">
        <f>ROUND(IF(AND(BH137=3,BI137=3),P137,0),2)</f>
        <v>0</v>
      </c>
      <c r="FS137" s="2">
        <v>0</v>
      </c>
      <c r="FX137" s="2">
        <v>70</v>
      </c>
      <c r="FY137" s="2">
        <v>10</v>
      </c>
      <c r="GA137" s="2" t="s">
        <v>30</v>
      </c>
      <c r="GD137" s="2">
        <v>0</v>
      </c>
      <c r="GF137" s="2">
        <v>762208768</v>
      </c>
      <c r="GG137" s="2">
        <v>2</v>
      </c>
      <c r="GH137" s="2">
        <v>1</v>
      </c>
      <c r="GI137" s="2">
        <v>-2</v>
      </c>
      <c r="GJ137" s="2">
        <v>0</v>
      </c>
      <c r="GK137" s="2">
        <f>ROUND(R137*(R12)/100,2)</f>
        <v>0</v>
      </c>
      <c r="GL137" s="2">
        <f>ROUND(IF(AND(BH137=3,BI137=3,FS137&lt;&gt;0),P137,0),2)</f>
        <v>0</v>
      </c>
      <c r="GM137" s="2">
        <f>ROUND(O137+X137+Y137+GK137,2)+GX137</f>
        <v>0</v>
      </c>
      <c r="GN137" s="2">
        <f>IF(OR(BI137=0,BI137=1),ROUND(O137+X137+Y137+GK137,2),0)</f>
        <v>0</v>
      </c>
      <c r="GO137" s="2">
        <f>IF(BI137=2,ROUND(O137+X137+Y137+GK137,2),0)</f>
        <v>0</v>
      </c>
      <c r="GP137" s="2">
        <f>IF(BI137=4,ROUND(O137+X137+Y137+GK137,2)+GX137,0)</f>
        <v>0</v>
      </c>
      <c r="GR137" s="2">
        <v>0</v>
      </c>
      <c r="GS137" s="2">
        <v>0</v>
      </c>
      <c r="GT137" s="2">
        <v>0</v>
      </c>
      <c r="GU137" s="2" t="s">
        <v>30</v>
      </c>
      <c r="GV137" s="2">
        <f>ROUND((GT137),6)</f>
        <v>0</v>
      </c>
      <c r="GW137" s="2">
        <v>1</v>
      </c>
      <c r="GX137" s="2">
        <f>ROUND(HC137*I137,2)</f>
        <v>0</v>
      </c>
      <c r="HA137" s="2">
        <v>0</v>
      </c>
      <c r="HB137" s="2">
        <v>0</v>
      </c>
      <c r="HC137" s="2">
        <f>GV137*GW137</f>
        <v>0</v>
      </c>
      <c r="HE137" s="2" t="s">
        <v>30</v>
      </c>
      <c r="HF137" s="2" t="s">
        <v>30</v>
      </c>
      <c r="HM137" s="2" t="s">
        <v>30</v>
      </c>
      <c r="HN137" s="2" t="s">
        <v>30</v>
      </c>
      <c r="HO137" s="2" t="s">
        <v>30</v>
      </c>
      <c r="HP137" s="2" t="s">
        <v>30</v>
      </c>
      <c r="HQ137" s="2" t="s">
        <v>30</v>
      </c>
      <c r="IK137" s="2">
        <v>0</v>
      </c>
    </row>
    <row r="138" spans="1:245" x14ac:dyDescent="0.25">
      <c r="A138" s="2">
        <v>17</v>
      </c>
      <c r="B138" s="2">
        <v>1</v>
      </c>
      <c r="E138" s="2" t="s">
        <v>305</v>
      </c>
      <c r="F138" s="2" t="s">
        <v>130</v>
      </c>
      <c r="G138" s="2" t="s">
        <v>131</v>
      </c>
      <c r="H138" s="2" t="s">
        <v>67</v>
      </c>
      <c r="I138" s="2">
        <v>0</v>
      </c>
      <c r="J138" s="2">
        <v>0</v>
      </c>
      <c r="K138" s="2">
        <v>4</v>
      </c>
      <c r="O138" s="2">
        <f>ROUND(CP138,2)</f>
        <v>0</v>
      </c>
      <c r="P138" s="2">
        <f>ROUND(CQ138*I138,2)</f>
        <v>0</v>
      </c>
      <c r="Q138" s="2">
        <f>ROUND(CR138*I138,2)</f>
        <v>0</v>
      </c>
      <c r="R138" s="2">
        <f>ROUND(CS138*I138,2)</f>
        <v>0</v>
      </c>
      <c r="S138" s="2">
        <f>ROUND(CT138*I138,2)</f>
        <v>0</v>
      </c>
      <c r="T138" s="2">
        <f>ROUND(CU138*I138,2)</f>
        <v>0</v>
      </c>
      <c r="U138" s="2">
        <f>CV138*I138</f>
        <v>0</v>
      </c>
      <c r="V138" s="2">
        <f>CW138*I138</f>
        <v>0</v>
      </c>
      <c r="W138" s="2">
        <f>ROUND(CX138*I138,2)</f>
        <v>0</v>
      </c>
      <c r="X138" s="2">
        <f>ROUND(CY138,2)</f>
        <v>0</v>
      </c>
      <c r="Y138" s="2">
        <f>ROUND(CZ138,2)</f>
        <v>0</v>
      </c>
      <c r="AA138" s="2">
        <v>52286166</v>
      </c>
      <c r="AB138" s="2">
        <f>ROUND((AC138+AD138+AF138),6)</f>
        <v>2812.5</v>
      </c>
      <c r="AC138" s="2">
        <f>ROUND((ES138),6)</f>
        <v>2812.5</v>
      </c>
      <c r="AD138" s="2">
        <f>ROUND((((ET138)-(EU138))+AE138),6)</f>
        <v>0</v>
      </c>
      <c r="AE138" s="2">
        <f>ROUND((EU138),6)</f>
        <v>0</v>
      </c>
      <c r="AF138" s="2">
        <f>ROUND((EV138),6)</f>
        <v>0</v>
      </c>
      <c r="AG138" s="2">
        <f>ROUND((AP138),6)</f>
        <v>0</v>
      </c>
      <c r="AH138" s="2">
        <f>(EW138)</f>
        <v>0</v>
      </c>
      <c r="AI138" s="2">
        <f>(EX138)</f>
        <v>0</v>
      </c>
      <c r="AJ138" s="2">
        <f>(AS138)</f>
        <v>0</v>
      </c>
      <c r="AK138" s="2">
        <v>2812.5</v>
      </c>
      <c r="AL138" s="2">
        <v>2812.5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70</v>
      </c>
      <c r="AU138" s="2">
        <v>10</v>
      </c>
      <c r="AV138" s="2">
        <v>1</v>
      </c>
      <c r="AW138" s="2">
        <v>1</v>
      </c>
      <c r="AZ138" s="2">
        <v>1</v>
      </c>
      <c r="BA138" s="2">
        <v>1</v>
      </c>
      <c r="BB138" s="2">
        <v>1</v>
      </c>
      <c r="BC138" s="2">
        <v>1</v>
      </c>
      <c r="BD138" s="2" t="s">
        <v>30</v>
      </c>
      <c r="BE138" s="2" t="s">
        <v>30</v>
      </c>
      <c r="BF138" s="2" t="s">
        <v>30</v>
      </c>
      <c r="BG138" s="2" t="s">
        <v>30</v>
      </c>
      <c r="BH138" s="2">
        <v>3</v>
      </c>
      <c r="BI138" s="2">
        <v>4</v>
      </c>
      <c r="BJ138" s="2" t="s">
        <v>306</v>
      </c>
      <c r="BM138" s="2">
        <v>0</v>
      </c>
      <c r="BN138" s="2">
        <v>0</v>
      </c>
      <c r="BO138" s="2" t="s">
        <v>30</v>
      </c>
      <c r="BP138" s="2">
        <v>0</v>
      </c>
      <c r="BQ138" s="2">
        <v>1</v>
      </c>
      <c r="BR138" s="2">
        <v>0</v>
      </c>
      <c r="BS138" s="2">
        <v>1</v>
      </c>
      <c r="BT138" s="2">
        <v>1</v>
      </c>
      <c r="BU138" s="2">
        <v>1</v>
      </c>
      <c r="BV138" s="2">
        <v>1</v>
      </c>
      <c r="BW138" s="2">
        <v>1</v>
      </c>
      <c r="BX138" s="2">
        <v>1</v>
      </c>
      <c r="BY138" s="2" t="s">
        <v>30</v>
      </c>
      <c r="BZ138" s="2">
        <v>70</v>
      </c>
      <c r="CA138" s="2">
        <v>10</v>
      </c>
      <c r="CB138" s="2" t="s">
        <v>30</v>
      </c>
      <c r="CE138" s="2">
        <v>0</v>
      </c>
      <c r="CF138" s="2">
        <v>0</v>
      </c>
      <c r="CG138" s="2">
        <v>0</v>
      </c>
      <c r="CM138" s="2">
        <v>0</v>
      </c>
      <c r="CN138" s="2" t="s">
        <v>30</v>
      </c>
      <c r="CO138" s="2">
        <v>0</v>
      </c>
      <c r="CP138" s="2">
        <f>(P138+Q138+S138)</f>
        <v>0</v>
      </c>
      <c r="CQ138" s="2">
        <f>(AC138*BC138*AW138)</f>
        <v>2812.5</v>
      </c>
      <c r="CR138" s="2">
        <f>((((ET138)*BB138-(EU138)*BS138)+AE138*BS138)*AV138)</f>
        <v>0</v>
      </c>
      <c r="CS138" s="2">
        <f>(AE138*BS138*AV138)</f>
        <v>0</v>
      </c>
      <c r="CT138" s="2">
        <f>(AF138*BA138*AV138)</f>
        <v>0</v>
      </c>
      <c r="CU138" s="2">
        <f>AG138</f>
        <v>0</v>
      </c>
      <c r="CV138" s="2">
        <f>(AH138*AV138)</f>
        <v>0</v>
      </c>
      <c r="CW138" s="2">
        <f>AI138</f>
        <v>0</v>
      </c>
      <c r="CX138" s="2">
        <f>AJ138</f>
        <v>0</v>
      </c>
      <c r="CY138" s="2">
        <f>((S138*BZ138)/100)</f>
        <v>0</v>
      </c>
      <c r="CZ138" s="2">
        <f>((S138*CA138)/100)</f>
        <v>0</v>
      </c>
      <c r="DC138" s="2" t="s">
        <v>30</v>
      </c>
      <c r="DD138" s="2" t="s">
        <v>30</v>
      </c>
      <c r="DE138" s="2" t="s">
        <v>30</v>
      </c>
      <c r="DF138" s="2" t="s">
        <v>30</v>
      </c>
      <c r="DG138" s="2" t="s">
        <v>30</v>
      </c>
      <c r="DH138" s="2" t="s">
        <v>30</v>
      </c>
      <c r="DI138" s="2" t="s">
        <v>30</v>
      </c>
      <c r="DJ138" s="2" t="s">
        <v>30</v>
      </c>
      <c r="DK138" s="2" t="s">
        <v>30</v>
      </c>
      <c r="DL138" s="2" t="s">
        <v>30</v>
      </c>
      <c r="DM138" s="2" t="s">
        <v>30</v>
      </c>
      <c r="DN138" s="2">
        <v>0</v>
      </c>
      <c r="DO138" s="2">
        <v>0</v>
      </c>
      <c r="DP138" s="2">
        <v>1</v>
      </c>
      <c r="DQ138" s="2">
        <v>1</v>
      </c>
      <c r="DU138" s="2">
        <v>1010</v>
      </c>
      <c r="DV138" s="2" t="s">
        <v>67</v>
      </c>
      <c r="DW138" s="2" t="s">
        <v>67</v>
      </c>
      <c r="DX138" s="2">
        <v>1</v>
      </c>
      <c r="DZ138" s="2" t="s">
        <v>30</v>
      </c>
      <c r="EA138" s="2" t="s">
        <v>30</v>
      </c>
      <c r="EB138" s="2" t="s">
        <v>30</v>
      </c>
      <c r="EC138" s="2" t="s">
        <v>30</v>
      </c>
      <c r="EE138" s="2">
        <v>49661954</v>
      </c>
      <c r="EF138" s="2">
        <v>1</v>
      </c>
      <c r="EG138" s="2" t="s">
        <v>180</v>
      </c>
      <c r="EH138" s="2">
        <v>0</v>
      </c>
      <c r="EI138" s="2" t="s">
        <v>30</v>
      </c>
      <c r="EJ138" s="2">
        <v>4</v>
      </c>
      <c r="EK138" s="2">
        <v>0</v>
      </c>
      <c r="EL138" s="2" t="s">
        <v>181</v>
      </c>
      <c r="EM138" s="2" t="s">
        <v>182</v>
      </c>
      <c r="EO138" s="2" t="s">
        <v>30</v>
      </c>
      <c r="EQ138" s="2">
        <v>0</v>
      </c>
      <c r="ER138" s="2">
        <v>2812.5</v>
      </c>
      <c r="ES138" s="2">
        <v>2812.5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FQ138" s="2">
        <v>0</v>
      </c>
      <c r="FR138" s="2">
        <f>ROUND(IF(AND(BH138=3,BI138=3),P138,0),2)</f>
        <v>0</v>
      </c>
      <c r="FS138" s="2">
        <v>0</v>
      </c>
      <c r="FX138" s="2">
        <v>70</v>
      </c>
      <c r="FY138" s="2">
        <v>10</v>
      </c>
      <c r="GA138" s="2" t="s">
        <v>30</v>
      </c>
      <c r="GD138" s="2">
        <v>0</v>
      </c>
      <c r="GF138" s="2">
        <v>1267118734</v>
      </c>
      <c r="GG138" s="2">
        <v>2</v>
      </c>
      <c r="GH138" s="2">
        <v>1</v>
      </c>
      <c r="GI138" s="2">
        <v>-2</v>
      </c>
      <c r="GJ138" s="2">
        <v>0</v>
      </c>
      <c r="GK138" s="2">
        <f>ROUND(R138*(R12)/100,2)</f>
        <v>0</v>
      </c>
      <c r="GL138" s="2">
        <f>ROUND(IF(AND(BH138=3,BI138=3,FS138&lt;&gt;0),P138,0),2)</f>
        <v>0</v>
      </c>
      <c r="GM138" s="2">
        <f>ROUND(O138+X138+Y138+GK138,2)+GX138</f>
        <v>0</v>
      </c>
      <c r="GN138" s="2">
        <f>IF(OR(BI138=0,BI138=1),ROUND(O138+X138+Y138+GK138,2),0)</f>
        <v>0</v>
      </c>
      <c r="GO138" s="2">
        <f>IF(BI138=2,ROUND(O138+X138+Y138+GK138,2),0)</f>
        <v>0</v>
      </c>
      <c r="GP138" s="2">
        <f>IF(BI138=4,ROUND(O138+X138+Y138+GK138,2)+GX138,0)</f>
        <v>0</v>
      </c>
      <c r="GR138" s="2">
        <v>0</v>
      </c>
      <c r="GS138" s="2">
        <v>0</v>
      </c>
      <c r="GT138" s="2">
        <v>0</v>
      </c>
      <c r="GU138" s="2" t="s">
        <v>30</v>
      </c>
      <c r="GV138" s="2">
        <f>ROUND((GT138),6)</f>
        <v>0</v>
      </c>
      <c r="GW138" s="2">
        <v>1</v>
      </c>
      <c r="GX138" s="2">
        <f>ROUND(HC138*I138,2)</f>
        <v>0</v>
      </c>
      <c r="HA138" s="2">
        <v>0</v>
      </c>
      <c r="HB138" s="2">
        <v>0</v>
      </c>
      <c r="HC138" s="2">
        <f>GV138*GW138</f>
        <v>0</v>
      </c>
      <c r="HE138" s="2" t="s">
        <v>30</v>
      </c>
      <c r="HF138" s="2" t="s">
        <v>30</v>
      </c>
      <c r="HM138" s="2" t="s">
        <v>30</v>
      </c>
      <c r="HN138" s="2" t="s">
        <v>30</v>
      </c>
      <c r="HO138" s="2" t="s">
        <v>30</v>
      </c>
      <c r="HP138" s="2" t="s">
        <v>30</v>
      </c>
      <c r="HQ138" s="2" t="s">
        <v>30</v>
      </c>
      <c r="IK138" s="2">
        <v>0</v>
      </c>
    </row>
    <row r="140" spans="1:245" ht="13" x14ac:dyDescent="0.3">
      <c r="A140" s="52">
        <v>51</v>
      </c>
      <c r="B140" s="52">
        <f>B133</f>
        <v>1</v>
      </c>
      <c r="C140" s="52">
        <f>A133</f>
        <v>4</v>
      </c>
      <c r="D140" s="52">
        <f>ROW(A133)</f>
        <v>133</v>
      </c>
      <c r="E140" s="52"/>
      <c r="F140" s="52" t="str">
        <f>IF(F133&lt;&gt;"",F133,"")</f>
        <v>Новый раздел</v>
      </c>
      <c r="G140" s="52" t="str">
        <f>IF(G133&lt;&gt;"",G133,"")</f>
        <v>Устройство малых архитектурных форм</v>
      </c>
      <c r="H140" s="52">
        <v>0</v>
      </c>
      <c r="I140" s="52"/>
      <c r="J140" s="52"/>
      <c r="K140" s="52"/>
      <c r="L140" s="52"/>
      <c r="M140" s="52"/>
      <c r="N140" s="52"/>
      <c r="O140" s="52">
        <f t="shared" ref="O140:T140" si="93">ROUND(AB140,2)</f>
        <v>0</v>
      </c>
      <c r="P140" s="52">
        <f t="shared" si="93"/>
        <v>0</v>
      </c>
      <c r="Q140" s="52">
        <f t="shared" si="93"/>
        <v>0</v>
      </c>
      <c r="R140" s="52">
        <f t="shared" si="93"/>
        <v>0</v>
      </c>
      <c r="S140" s="52">
        <f t="shared" si="93"/>
        <v>0</v>
      </c>
      <c r="T140" s="52">
        <f t="shared" si="93"/>
        <v>0</v>
      </c>
      <c r="U140" s="52">
        <f>AH140</f>
        <v>0</v>
      </c>
      <c r="V140" s="52">
        <f>AI140</f>
        <v>0</v>
      </c>
      <c r="W140" s="52">
        <f>ROUND(AJ140,2)</f>
        <v>0</v>
      </c>
      <c r="X140" s="52">
        <f>ROUND(AK140,2)</f>
        <v>0</v>
      </c>
      <c r="Y140" s="52">
        <f>ROUND(AL140,2)</f>
        <v>0</v>
      </c>
      <c r="Z140" s="52"/>
      <c r="AA140" s="52"/>
      <c r="AB140" s="52">
        <f>ROUND(SUMIF(AA137:AA138,"=52286166",O137:O138),2)</f>
        <v>0</v>
      </c>
      <c r="AC140" s="52">
        <f>ROUND(SUMIF(AA137:AA138,"=52286166",P137:P138),2)</f>
        <v>0</v>
      </c>
      <c r="AD140" s="52">
        <f>ROUND(SUMIF(AA137:AA138,"=52286166",Q137:Q138),2)</f>
        <v>0</v>
      </c>
      <c r="AE140" s="52">
        <f>ROUND(SUMIF(AA137:AA138,"=52286166",R137:R138),2)</f>
        <v>0</v>
      </c>
      <c r="AF140" s="52">
        <f>ROUND(SUMIF(AA137:AA138,"=52286166",S137:S138),2)</f>
        <v>0</v>
      </c>
      <c r="AG140" s="52">
        <f>ROUND(SUMIF(AA137:AA138,"=52286166",T137:T138),2)</f>
        <v>0</v>
      </c>
      <c r="AH140" s="52">
        <f>SUMIF(AA137:AA138,"=52286166",U137:U138)</f>
        <v>0</v>
      </c>
      <c r="AI140" s="52">
        <f>SUMIF(AA137:AA138,"=52286166",V137:V138)</f>
        <v>0</v>
      </c>
      <c r="AJ140" s="52">
        <f>ROUND(SUMIF(AA137:AA138,"=52286166",W137:W138),2)</f>
        <v>0</v>
      </c>
      <c r="AK140" s="52">
        <f>ROUND(SUMIF(AA137:AA138,"=52286166",X137:X138),2)</f>
        <v>0</v>
      </c>
      <c r="AL140" s="52">
        <f>ROUND(SUMIF(AA137:AA138,"=52286166",Y137:Y138),2)</f>
        <v>0</v>
      </c>
      <c r="AM140" s="52"/>
      <c r="AN140" s="52"/>
      <c r="AO140" s="52">
        <f t="shared" ref="AO140:BD140" si="94">ROUND(BX140,2)</f>
        <v>0</v>
      </c>
      <c r="AP140" s="52">
        <f t="shared" si="94"/>
        <v>0</v>
      </c>
      <c r="AQ140" s="52">
        <f t="shared" si="94"/>
        <v>0</v>
      </c>
      <c r="AR140" s="52">
        <f t="shared" si="94"/>
        <v>0</v>
      </c>
      <c r="AS140" s="52">
        <f t="shared" si="94"/>
        <v>0</v>
      </c>
      <c r="AT140" s="52">
        <f t="shared" si="94"/>
        <v>0</v>
      </c>
      <c r="AU140" s="52">
        <f t="shared" si="94"/>
        <v>0</v>
      </c>
      <c r="AV140" s="52">
        <f t="shared" si="94"/>
        <v>0</v>
      </c>
      <c r="AW140" s="52">
        <f t="shared" si="94"/>
        <v>0</v>
      </c>
      <c r="AX140" s="52">
        <f t="shared" si="94"/>
        <v>0</v>
      </c>
      <c r="AY140" s="52">
        <f t="shared" si="94"/>
        <v>0</v>
      </c>
      <c r="AZ140" s="52">
        <f t="shared" si="94"/>
        <v>0</v>
      </c>
      <c r="BA140" s="52">
        <f t="shared" si="94"/>
        <v>0</v>
      </c>
      <c r="BB140" s="52">
        <f t="shared" si="94"/>
        <v>0</v>
      </c>
      <c r="BC140" s="52">
        <f t="shared" si="94"/>
        <v>0</v>
      </c>
      <c r="BD140" s="52">
        <f t="shared" si="94"/>
        <v>0</v>
      </c>
      <c r="BE140" s="52"/>
      <c r="BF140" s="52"/>
      <c r="BG140" s="52"/>
      <c r="BH140" s="52"/>
      <c r="BI140" s="52"/>
      <c r="BJ140" s="52"/>
      <c r="BK140" s="52"/>
      <c r="BL140" s="52"/>
      <c r="BM140" s="52"/>
      <c r="BN140" s="52"/>
      <c r="BO140" s="52"/>
      <c r="BP140" s="52"/>
      <c r="BQ140" s="52"/>
      <c r="BR140" s="52"/>
      <c r="BS140" s="52"/>
      <c r="BT140" s="52"/>
      <c r="BU140" s="52"/>
      <c r="BV140" s="52"/>
      <c r="BW140" s="52"/>
      <c r="BX140" s="52">
        <f>ROUND(SUMIF(AA137:AA138,"=52286166",FQ137:FQ138),2)</f>
        <v>0</v>
      </c>
      <c r="BY140" s="52">
        <f>ROUND(SUMIF(AA137:AA138,"=52286166",FR137:FR138),2)</f>
        <v>0</v>
      </c>
      <c r="BZ140" s="52">
        <f>ROUND(SUMIF(AA137:AA138,"=52286166",GL137:GL138),2)</f>
        <v>0</v>
      </c>
      <c r="CA140" s="52">
        <f>ROUND(SUMIF(AA137:AA138,"=52286166",GM137:GM138),2)</f>
        <v>0</v>
      </c>
      <c r="CB140" s="52">
        <f>ROUND(SUMIF(AA137:AA138,"=52286166",GN137:GN138),2)</f>
        <v>0</v>
      </c>
      <c r="CC140" s="52">
        <f>ROUND(SUMIF(AA137:AA138,"=52286166",GO137:GO138),2)</f>
        <v>0</v>
      </c>
      <c r="CD140" s="52">
        <f>ROUND(SUMIF(AA137:AA138,"=52286166",GP137:GP138),2)</f>
        <v>0</v>
      </c>
      <c r="CE140" s="52">
        <f>AC140-BX140</f>
        <v>0</v>
      </c>
      <c r="CF140" s="52">
        <f>AC140-BY140</f>
        <v>0</v>
      </c>
      <c r="CG140" s="52">
        <f>BX140-BZ140</f>
        <v>0</v>
      </c>
      <c r="CH140" s="52">
        <f>AC140-BX140-BY140+BZ140</f>
        <v>0</v>
      </c>
      <c r="CI140" s="52">
        <f>BY140-BZ140</f>
        <v>0</v>
      </c>
      <c r="CJ140" s="52">
        <f>ROUND(SUMIF(AA137:AA138,"=52286166",GX137:GX138),2)</f>
        <v>0</v>
      </c>
      <c r="CK140" s="52">
        <f>ROUND(SUMIF(AA137:AA138,"=52286166",GY137:GY138),2)</f>
        <v>0</v>
      </c>
      <c r="CL140" s="52">
        <f>ROUND(SUMIF(AA137:AA138,"=52286166",GZ137:GZ138),2)</f>
        <v>0</v>
      </c>
      <c r="CM140" s="52">
        <f>ROUND(SUMIF(AA137:AA138,"=52286166",HD137:HD138),2)</f>
        <v>0</v>
      </c>
      <c r="CN140" s="52"/>
      <c r="CO140" s="52"/>
      <c r="CP140" s="52"/>
      <c r="CQ140" s="52"/>
      <c r="CR140" s="52"/>
      <c r="CS140" s="52"/>
      <c r="CT140" s="52"/>
      <c r="CU140" s="52"/>
      <c r="CV140" s="52"/>
      <c r="CW140" s="52"/>
      <c r="CX140" s="52"/>
      <c r="CY140" s="52"/>
      <c r="CZ140" s="52"/>
      <c r="DA140" s="52"/>
      <c r="DB140" s="52"/>
      <c r="DC140" s="52"/>
      <c r="DD140" s="52"/>
      <c r="DE140" s="52"/>
      <c r="DF140" s="52"/>
      <c r="DG140" s="53"/>
      <c r="DH140" s="53"/>
      <c r="DI140" s="53"/>
      <c r="DJ140" s="53"/>
      <c r="DK140" s="53"/>
      <c r="DL140" s="53"/>
      <c r="DM140" s="53"/>
      <c r="DN140" s="53"/>
      <c r="DO140" s="53"/>
      <c r="DP140" s="53"/>
      <c r="DQ140" s="53"/>
      <c r="DR140" s="53"/>
      <c r="DS140" s="53"/>
      <c r="DT140" s="53"/>
      <c r="DU140" s="53"/>
      <c r="DV140" s="53"/>
      <c r="DW140" s="53"/>
      <c r="DX140" s="53"/>
      <c r="DY140" s="53"/>
      <c r="DZ140" s="53"/>
      <c r="EA140" s="53"/>
      <c r="EB140" s="53"/>
      <c r="EC140" s="53"/>
      <c r="ED140" s="53"/>
      <c r="EE140" s="53"/>
      <c r="EF140" s="53"/>
      <c r="EG140" s="53"/>
      <c r="EH140" s="53"/>
      <c r="EI140" s="53"/>
      <c r="EJ140" s="53"/>
      <c r="EK140" s="53"/>
      <c r="EL140" s="53"/>
      <c r="EM140" s="53"/>
      <c r="EN140" s="53"/>
      <c r="EO140" s="53"/>
      <c r="EP140" s="53"/>
      <c r="EQ140" s="53"/>
      <c r="ER140" s="53"/>
      <c r="ES140" s="53"/>
      <c r="ET140" s="53"/>
      <c r="EU140" s="53"/>
      <c r="EV140" s="53"/>
      <c r="EW140" s="53"/>
      <c r="EX140" s="53"/>
      <c r="EY140" s="53"/>
      <c r="EZ140" s="53"/>
      <c r="FA140" s="53"/>
      <c r="FB140" s="53"/>
      <c r="FC140" s="53"/>
      <c r="FD140" s="53"/>
      <c r="FE140" s="53"/>
      <c r="FF140" s="53"/>
      <c r="FG140" s="53"/>
      <c r="FH140" s="53"/>
      <c r="FI140" s="53"/>
      <c r="FJ140" s="53"/>
      <c r="FK140" s="53"/>
      <c r="FL140" s="53"/>
      <c r="FM140" s="53"/>
      <c r="FN140" s="53"/>
      <c r="FO140" s="53"/>
      <c r="FP140" s="53"/>
      <c r="FQ140" s="53"/>
      <c r="FR140" s="53"/>
      <c r="FS140" s="53"/>
      <c r="FT140" s="53"/>
      <c r="FU140" s="53"/>
      <c r="FV140" s="53"/>
      <c r="FW140" s="53"/>
      <c r="FX140" s="53"/>
      <c r="FY140" s="53"/>
      <c r="FZ140" s="53"/>
      <c r="GA140" s="53"/>
      <c r="GB140" s="53"/>
      <c r="GC140" s="53"/>
      <c r="GD140" s="53"/>
      <c r="GE140" s="53"/>
      <c r="GF140" s="53"/>
      <c r="GG140" s="53"/>
      <c r="GH140" s="53"/>
      <c r="GI140" s="53"/>
      <c r="GJ140" s="53"/>
      <c r="GK140" s="53"/>
      <c r="GL140" s="53"/>
      <c r="GM140" s="53"/>
      <c r="GN140" s="53"/>
      <c r="GO140" s="53"/>
      <c r="GP140" s="53"/>
      <c r="GQ140" s="53"/>
      <c r="GR140" s="53"/>
      <c r="GS140" s="53"/>
      <c r="GT140" s="53"/>
      <c r="GU140" s="53"/>
      <c r="GV140" s="53"/>
      <c r="GW140" s="53"/>
      <c r="GX140" s="53">
        <v>0</v>
      </c>
    </row>
    <row r="142" spans="1:245" ht="13" x14ac:dyDescent="0.3">
      <c r="A142" s="54">
        <v>50</v>
      </c>
      <c r="B142" s="54">
        <v>0</v>
      </c>
      <c r="C142" s="54">
        <v>0</v>
      </c>
      <c r="D142" s="54">
        <v>1</v>
      </c>
      <c r="E142" s="54">
        <v>201</v>
      </c>
      <c r="F142" s="54">
        <f>ROUND('Source (3)'!O140,O142)</f>
        <v>0</v>
      </c>
      <c r="G142" s="54" t="s">
        <v>214</v>
      </c>
      <c r="H142" s="54" t="s">
        <v>215</v>
      </c>
      <c r="I142" s="54"/>
      <c r="J142" s="54"/>
      <c r="K142" s="54">
        <v>201</v>
      </c>
      <c r="L142" s="54">
        <v>1</v>
      </c>
      <c r="M142" s="54">
        <v>3</v>
      </c>
      <c r="N142" s="54" t="s">
        <v>30</v>
      </c>
      <c r="O142" s="54">
        <v>2</v>
      </c>
      <c r="P142" s="54"/>
      <c r="Q142" s="54"/>
      <c r="R142" s="54"/>
      <c r="S142" s="54"/>
      <c r="T142" s="54"/>
      <c r="U142" s="54"/>
      <c r="V142" s="54"/>
      <c r="W142" s="54">
        <v>114250</v>
      </c>
      <c r="X142" s="54">
        <v>1</v>
      </c>
      <c r="Y142" s="54">
        <v>114250</v>
      </c>
      <c r="Z142" s="54"/>
      <c r="AA142" s="54"/>
      <c r="AB142" s="54"/>
    </row>
    <row r="143" spans="1:245" ht="13" x14ac:dyDescent="0.3">
      <c r="A143" s="54">
        <v>50</v>
      </c>
      <c r="B143" s="54">
        <v>0</v>
      </c>
      <c r="C143" s="54">
        <v>0</v>
      </c>
      <c r="D143" s="54">
        <v>1</v>
      </c>
      <c r="E143" s="54">
        <v>202</v>
      </c>
      <c r="F143" s="54">
        <f>ROUND('Source (3)'!P140,O143)</f>
        <v>0</v>
      </c>
      <c r="G143" s="54" t="s">
        <v>216</v>
      </c>
      <c r="H143" s="54" t="s">
        <v>217</v>
      </c>
      <c r="I143" s="54"/>
      <c r="J143" s="54"/>
      <c r="K143" s="54">
        <v>202</v>
      </c>
      <c r="L143" s="54">
        <v>2</v>
      </c>
      <c r="M143" s="54">
        <v>3</v>
      </c>
      <c r="N143" s="54" t="s">
        <v>30</v>
      </c>
      <c r="O143" s="54">
        <v>2</v>
      </c>
      <c r="P143" s="54"/>
      <c r="Q143" s="54"/>
      <c r="R143" s="54"/>
      <c r="S143" s="54"/>
      <c r="T143" s="54"/>
      <c r="U143" s="54"/>
      <c r="V143" s="54"/>
      <c r="W143" s="54">
        <v>114250</v>
      </c>
      <c r="X143" s="54">
        <v>1</v>
      </c>
      <c r="Y143" s="54">
        <v>114250</v>
      </c>
      <c r="Z143" s="54"/>
      <c r="AA143" s="54"/>
      <c r="AB143" s="54"/>
    </row>
    <row r="144" spans="1:245" ht="13" x14ac:dyDescent="0.3">
      <c r="A144" s="54">
        <v>50</v>
      </c>
      <c r="B144" s="54">
        <v>0</v>
      </c>
      <c r="C144" s="54">
        <v>0</v>
      </c>
      <c r="D144" s="54">
        <v>1</v>
      </c>
      <c r="E144" s="54">
        <v>222</v>
      </c>
      <c r="F144" s="54">
        <f>ROUND('Source (3)'!AO140,O144)</f>
        <v>0</v>
      </c>
      <c r="G144" s="54" t="s">
        <v>218</v>
      </c>
      <c r="H144" s="54" t="s">
        <v>219</v>
      </c>
      <c r="I144" s="54"/>
      <c r="J144" s="54"/>
      <c r="K144" s="54">
        <v>222</v>
      </c>
      <c r="L144" s="54">
        <v>3</v>
      </c>
      <c r="M144" s="54">
        <v>3</v>
      </c>
      <c r="N144" s="54" t="s">
        <v>30</v>
      </c>
      <c r="O144" s="54">
        <v>2</v>
      </c>
      <c r="P144" s="54"/>
      <c r="Q144" s="54"/>
      <c r="R144" s="54"/>
      <c r="S144" s="54"/>
      <c r="T144" s="54"/>
      <c r="U144" s="54"/>
      <c r="V144" s="54"/>
      <c r="W144" s="54">
        <v>0</v>
      </c>
      <c r="X144" s="54">
        <v>1</v>
      </c>
      <c r="Y144" s="54">
        <v>0</v>
      </c>
      <c r="Z144" s="54"/>
      <c r="AA144" s="54"/>
      <c r="AB144" s="54"/>
    </row>
    <row r="145" spans="1:28" ht="13" x14ac:dyDescent="0.3">
      <c r="A145" s="54">
        <v>50</v>
      </c>
      <c r="B145" s="54">
        <v>0</v>
      </c>
      <c r="C145" s="54">
        <v>0</v>
      </c>
      <c r="D145" s="54">
        <v>1</v>
      </c>
      <c r="E145" s="54">
        <v>225</v>
      </c>
      <c r="F145" s="54">
        <f>ROUND('Source (3)'!AV140,O145)</f>
        <v>0</v>
      </c>
      <c r="G145" s="54" t="s">
        <v>220</v>
      </c>
      <c r="H145" s="54" t="s">
        <v>221</v>
      </c>
      <c r="I145" s="54"/>
      <c r="J145" s="54"/>
      <c r="K145" s="54">
        <v>225</v>
      </c>
      <c r="L145" s="54">
        <v>4</v>
      </c>
      <c r="M145" s="54">
        <v>3</v>
      </c>
      <c r="N145" s="54" t="s">
        <v>30</v>
      </c>
      <c r="O145" s="54">
        <v>2</v>
      </c>
      <c r="P145" s="54"/>
      <c r="Q145" s="54"/>
      <c r="R145" s="54"/>
      <c r="S145" s="54"/>
      <c r="T145" s="54"/>
      <c r="U145" s="54"/>
      <c r="V145" s="54"/>
      <c r="W145" s="54">
        <v>114250</v>
      </c>
      <c r="X145" s="54">
        <v>1</v>
      </c>
      <c r="Y145" s="54">
        <v>114250</v>
      </c>
      <c r="Z145" s="54"/>
      <c r="AA145" s="54"/>
      <c r="AB145" s="54"/>
    </row>
    <row r="146" spans="1:28" ht="13" x14ac:dyDescent="0.3">
      <c r="A146" s="54">
        <v>50</v>
      </c>
      <c r="B146" s="54">
        <v>0</v>
      </c>
      <c r="C146" s="54">
        <v>0</v>
      </c>
      <c r="D146" s="54">
        <v>1</v>
      </c>
      <c r="E146" s="54">
        <v>226</v>
      </c>
      <c r="F146" s="54">
        <f>ROUND('Source (3)'!AW140,O146)</f>
        <v>0</v>
      </c>
      <c r="G146" s="54" t="s">
        <v>222</v>
      </c>
      <c r="H146" s="54" t="s">
        <v>223</v>
      </c>
      <c r="I146" s="54"/>
      <c r="J146" s="54"/>
      <c r="K146" s="54">
        <v>226</v>
      </c>
      <c r="L146" s="54">
        <v>5</v>
      </c>
      <c r="M146" s="54">
        <v>3</v>
      </c>
      <c r="N146" s="54" t="s">
        <v>30</v>
      </c>
      <c r="O146" s="54">
        <v>2</v>
      </c>
      <c r="P146" s="54"/>
      <c r="Q146" s="54"/>
      <c r="R146" s="54"/>
      <c r="S146" s="54"/>
      <c r="T146" s="54"/>
      <c r="U146" s="54"/>
      <c r="V146" s="54"/>
      <c r="W146" s="54">
        <v>114250</v>
      </c>
      <c r="X146" s="54">
        <v>1</v>
      </c>
      <c r="Y146" s="54">
        <v>114250</v>
      </c>
      <c r="Z146" s="54"/>
      <c r="AA146" s="54"/>
      <c r="AB146" s="54"/>
    </row>
    <row r="147" spans="1:28" ht="13" x14ac:dyDescent="0.3">
      <c r="A147" s="54">
        <v>50</v>
      </c>
      <c r="B147" s="54">
        <v>0</v>
      </c>
      <c r="C147" s="54">
        <v>0</v>
      </c>
      <c r="D147" s="54">
        <v>1</v>
      </c>
      <c r="E147" s="54">
        <v>227</v>
      </c>
      <c r="F147" s="54">
        <f>ROUND('Source (3)'!AX140,O147)</f>
        <v>0</v>
      </c>
      <c r="G147" s="54" t="s">
        <v>224</v>
      </c>
      <c r="H147" s="54" t="s">
        <v>225</v>
      </c>
      <c r="I147" s="54"/>
      <c r="J147" s="54"/>
      <c r="K147" s="54">
        <v>227</v>
      </c>
      <c r="L147" s="54">
        <v>6</v>
      </c>
      <c r="M147" s="54">
        <v>3</v>
      </c>
      <c r="N147" s="54" t="s">
        <v>30</v>
      </c>
      <c r="O147" s="54">
        <v>2</v>
      </c>
      <c r="P147" s="54"/>
      <c r="Q147" s="54"/>
      <c r="R147" s="54"/>
      <c r="S147" s="54"/>
      <c r="T147" s="54"/>
      <c r="U147" s="54"/>
      <c r="V147" s="54"/>
      <c r="W147" s="54">
        <v>0</v>
      </c>
      <c r="X147" s="54">
        <v>1</v>
      </c>
      <c r="Y147" s="54">
        <v>0</v>
      </c>
      <c r="Z147" s="54"/>
      <c r="AA147" s="54"/>
      <c r="AB147" s="54"/>
    </row>
    <row r="148" spans="1:28" ht="13" x14ac:dyDescent="0.3">
      <c r="A148" s="54">
        <v>50</v>
      </c>
      <c r="B148" s="54">
        <v>0</v>
      </c>
      <c r="C148" s="54">
        <v>0</v>
      </c>
      <c r="D148" s="54">
        <v>1</v>
      </c>
      <c r="E148" s="54">
        <v>228</v>
      </c>
      <c r="F148" s="54">
        <f>ROUND('Source (3)'!AY140,O148)</f>
        <v>0</v>
      </c>
      <c r="G148" s="54" t="s">
        <v>226</v>
      </c>
      <c r="H148" s="54" t="s">
        <v>227</v>
      </c>
      <c r="I148" s="54"/>
      <c r="J148" s="54"/>
      <c r="K148" s="54">
        <v>228</v>
      </c>
      <c r="L148" s="54">
        <v>7</v>
      </c>
      <c r="M148" s="54">
        <v>3</v>
      </c>
      <c r="N148" s="54" t="s">
        <v>30</v>
      </c>
      <c r="O148" s="54">
        <v>2</v>
      </c>
      <c r="P148" s="54"/>
      <c r="Q148" s="54"/>
      <c r="R148" s="54"/>
      <c r="S148" s="54"/>
      <c r="T148" s="54"/>
      <c r="U148" s="54"/>
      <c r="V148" s="54"/>
      <c r="W148" s="54">
        <v>114250</v>
      </c>
      <c r="X148" s="54">
        <v>1</v>
      </c>
      <c r="Y148" s="54">
        <v>114250</v>
      </c>
      <c r="Z148" s="54"/>
      <c r="AA148" s="54"/>
      <c r="AB148" s="54"/>
    </row>
    <row r="149" spans="1:28" ht="13" x14ac:dyDescent="0.3">
      <c r="A149" s="54">
        <v>50</v>
      </c>
      <c r="B149" s="54">
        <v>0</v>
      </c>
      <c r="C149" s="54">
        <v>0</v>
      </c>
      <c r="D149" s="54">
        <v>1</v>
      </c>
      <c r="E149" s="54">
        <v>216</v>
      </c>
      <c r="F149" s="54">
        <f>ROUND('Source (3)'!AP140,O149)</f>
        <v>0</v>
      </c>
      <c r="G149" s="54" t="s">
        <v>228</v>
      </c>
      <c r="H149" s="54" t="s">
        <v>229</v>
      </c>
      <c r="I149" s="54"/>
      <c r="J149" s="54"/>
      <c r="K149" s="54">
        <v>216</v>
      </c>
      <c r="L149" s="54">
        <v>8</v>
      </c>
      <c r="M149" s="54">
        <v>3</v>
      </c>
      <c r="N149" s="54" t="s">
        <v>30</v>
      </c>
      <c r="O149" s="54">
        <v>2</v>
      </c>
      <c r="P149" s="54"/>
      <c r="Q149" s="54"/>
      <c r="R149" s="54"/>
      <c r="S149" s="54"/>
      <c r="T149" s="54"/>
      <c r="U149" s="54"/>
      <c r="V149" s="54"/>
      <c r="W149" s="54">
        <v>0</v>
      </c>
      <c r="X149" s="54">
        <v>1</v>
      </c>
      <c r="Y149" s="54">
        <v>0</v>
      </c>
      <c r="Z149" s="54"/>
      <c r="AA149" s="54"/>
      <c r="AB149" s="54"/>
    </row>
    <row r="150" spans="1:28" ht="13" x14ac:dyDescent="0.3">
      <c r="A150" s="54">
        <v>50</v>
      </c>
      <c r="B150" s="54">
        <v>0</v>
      </c>
      <c r="C150" s="54">
        <v>0</v>
      </c>
      <c r="D150" s="54">
        <v>1</v>
      </c>
      <c r="E150" s="54">
        <v>223</v>
      </c>
      <c r="F150" s="54">
        <f>ROUND('Source (3)'!AQ140,O150)</f>
        <v>0</v>
      </c>
      <c r="G150" s="54" t="s">
        <v>230</v>
      </c>
      <c r="H150" s="54" t="s">
        <v>231</v>
      </c>
      <c r="I150" s="54"/>
      <c r="J150" s="54"/>
      <c r="K150" s="54">
        <v>223</v>
      </c>
      <c r="L150" s="54">
        <v>9</v>
      </c>
      <c r="M150" s="54">
        <v>3</v>
      </c>
      <c r="N150" s="54" t="s">
        <v>30</v>
      </c>
      <c r="O150" s="54">
        <v>2</v>
      </c>
      <c r="P150" s="54"/>
      <c r="Q150" s="54"/>
      <c r="R150" s="54"/>
      <c r="S150" s="54"/>
      <c r="T150" s="54"/>
      <c r="U150" s="54"/>
      <c r="V150" s="54"/>
      <c r="W150" s="54">
        <v>0</v>
      </c>
      <c r="X150" s="54">
        <v>1</v>
      </c>
      <c r="Y150" s="54">
        <v>0</v>
      </c>
      <c r="Z150" s="54"/>
      <c r="AA150" s="54"/>
      <c r="AB150" s="54"/>
    </row>
    <row r="151" spans="1:28" ht="13" x14ac:dyDescent="0.3">
      <c r="A151" s="54">
        <v>50</v>
      </c>
      <c r="B151" s="54">
        <v>0</v>
      </c>
      <c r="C151" s="54">
        <v>0</v>
      </c>
      <c r="D151" s="54">
        <v>1</v>
      </c>
      <c r="E151" s="54">
        <v>229</v>
      </c>
      <c r="F151" s="54">
        <f>ROUND('Source (3)'!AZ140,O151)</f>
        <v>0</v>
      </c>
      <c r="G151" s="54" t="s">
        <v>232</v>
      </c>
      <c r="H151" s="54" t="s">
        <v>233</v>
      </c>
      <c r="I151" s="54"/>
      <c r="J151" s="54"/>
      <c r="K151" s="54">
        <v>229</v>
      </c>
      <c r="L151" s="54">
        <v>10</v>
      </c>
      <c r="M151" s="54">
        <v>3</v>
      </c>
      <c r="N151" s="54" t="s">
        <v>30</v>
      </c>
      <c r="O151" s="54">
        <v>2</v>
      </c>
      <c r="P151" s="54"/>
      <c r="Q151" s="54"/>
      <c r="R151" s="54"/>
      <c r="S151" s="54"/>
      <c r="T151" s="54"/>
      <c r="U151" s="54"/>
      <c r="V151" s="54"/>
      <c r="W151" s="54">
        <v>0</v>
      </c>
      <c r="X151" s="54">
        <v>1</v>
      </c>
      <c r="Y151" s="54">
        <v>0</v>
      </c>
      <c r="Z151" s="54"/>
      <c r="AA151" s="54"/>
      <c r="AB151" s="54"/>
    </row>
    <row r="152" spans="1:28" ht="13" x14ac:dyDescent="0.3">
      <c r="A152" s="54">
        <v>50</v>
      </c>
      <c r="B152" s="54">
        <v>0</v>
      </c>
      <c r="C152" s="54">
        <v>0</v>
      </c>
      <c r="D152" s="54">
        <v>1</v>
      </c>
      <c r="E152" s="54">
        <v>203</v>
      </c>
      <c r="F152" s="54">
        <f>ROUND('Source (3)'!Q140,O152)</f>
        <v>0</v>
      </c>
      <c r="G152" s="54" t="s">
        <v>234</v>
      </c>
      <c r="H152" s="54" t="s">
        <v>235</v>
      </c>
      <c r="I152" s="54"/>
      <c r="J152" s="54"/>
      <c r="K152" s="54">
        <v>203</v>
      </c>
      <c r="L152" s="54">
        <v>11</v>
      </c>
      <c r="M152" s="54">
        <v>3</v>
      </c>
      <c r="N152" s="54" t="s">
        <v>30</v>
      </c>
      <c r="O152" s="54">
        <v>2</v>
      </c>
      <c r="P152" s="54"/>
      <c r="Q152" s="54"/>
      <c r="R152" s="54"/>
      <c r="S152" s="54"/>
      <c r="T152" s="54"/>
      <c r="U152" s="54"/>
      <c r="V152" s="54"/>
      <c r="W152" s="54">
        <v>0</v>
      </c>
      <c r="X152" s="54">
        <v>1</v>
      </c>
      <c r="Y152" s="54">
        <v>0</v>
      </c>
      <c r="Z152" s="54"/>
      <c r="AA152" s="54"/>
      <c r="AB152" s="54"/>
    </row>
    <row r="153" spans="1:28" ht="13" x14ac:dyDescent="0.3">
      <c r="A153" s="54">
        <v>50</v>
      </c>
      <c r="B153" s="54">
        <v>0</v>
      </c>
      <c r="C153" s="54">
        <v>0</v>
      </c>
      <c r="D153" s="54">
        <v>1</v>
      </c>
      <c r="E153" s="54">
        <v>231</v>
      </c>
      <c r="F153" s="54">
        <f>ROUND('Source (3)'!BB140,O153)</f>
        <v>0</v>
      </c>
      <c r="G153" s="54" t="s">
        <v>236</v>
      </c>
      <c r="H153" s="54" t="s">
        <v>237</v>
      </c>
      <c r="I153" s="54"/>
      <c r="J153" s="54"/>
      <c r="K153" s="54">
        <v>231</v>
      </c>
      <c r="L153" s="54">
        <v>12</v>
      </c>
      <c r="M153" s="54">
        <v>3</v>
      </c>
      <c r="N153" s="54" t="s">
        <v>30</v>
      </c>
      <c r="O153" s="54">
        <v>2</v>
      </c>
      <c r="P153" s="54"/>
      <c r="Q153" s="54"/>
      <c r="R153" s="54"/>
      <c r="S153" s="54"/>
      <c r="T153" s="54"/>
      <c r="U153" s="54"/>
      <c r="V153" s="54"/>
      <c r="W153" s="54">
        <v>0</v>
      </c>
      <c r="X153" s="54">
        <v>1</v>
      </c>
      <c r="Y153" s="54">
        <v>0</v>
      </c>
      <c r="Z153" s="54"/>
      <c r="AA153" s="54"/>
      <c r="AB153" s="54"/>
    </row>
    <row r="154" spans="1:28" ht="13" x14ac:dyDescent="0.3">
      <c r="A154" s="54">
        <v>50</v>
      </c>
      <c r="B154" s="54">
        <v>0</v>
      </c>
      <c r="C154" s="54">
        <v>0</v>
      </c>
      <c r="D154" s="54">
        <v>1</v>
      </c>
      <c r="E154" s="54">
        <v>204</v>
      </c>
      <c r="F154" s="54">
        <f>ROUND('Source (3)'!R140,O154)</f>
        <v>0</v>
      </c>
      <c r="G154" s="54" t="s">
        <v>238</v>
      </c>
      <c r="H154" s="54" t="s">
        <v>239</v>
      </c>
      <c r="I154" s="54"/>
      <c r="J154" s="54"/>
      <c r="K154" s="54">
        <v>204</v>
      </c>
      <c r="L154" s="54">
        <v>13</v>
      </c>
      <c r="M154" s="54">
        <v>3</v>
      </c>
      <c r="N154" s="54" t="s">
        <v>30</v>
      </c>
      <c r="O154" s="54">
        <v>2</v>
      </c>
      <c r="P154" s="54"/>
      <c r="Q154" s="54"/>
      <c r="R154" s="54"/>
      <c r="S154" s="54"/>
      <c r="T154" s="54"/>
      <c r="U154" s="54"/>
      <c r="V154" s="54"/>
      <c r="W154" s="54">
        <v>0</v>
      </c>
      <c r="X154" s="54">
        <v>1</v>
      </c>
      <c r="Y154" s="54">
        <v>0</v>
      </c>
      <c r="Z154" s="54"/>
      <c r="AA154" s="54"/>
      <c r="AB154" s="54"/>
    </row>
    <row r="155" spans="1:28" ht="13" x14ac:dyDescent="0.3">
      <c r="A155" s="54">
        <v>50</v>
      </c>
      <c r="B155" s="54">
        <v>0</v>
      </c>
      <c r="C155" s="54">
        <v>0</v>
      </c>
      <c r="D155" s="54">
        <v>1</v>
      </c>
      <c r="E155" s="54">
        <v>205</v>
      </c>
      <c r="F155" s="54">
        <f>ROUND('Source (3)'!S140,O155)</f>
        <v>0</v>
      </c>
      <c r="G155" s="54" t="s">
        <v>240</v>
      </c>
      <c r="H155" s="54" t="s">
        <v>241</v>
      </c>
      <c r="I155" s="54"/>
      <c r="J155" s="54"/>
      <c r="K155" s="54">
        <v>205</v>
      </c>
      <c r="L155" s="54">
        <v>14</v>
      </c>
      <c r="M155" s="54">
        <v>3</v>
      </c>
      <c r="N155" s="54" t="s">
        <v>30</v>
      </c>
      <c r="O155" s="54">
        <v>2</v>
      </c>
      <c r="P155" s="54"/>
      <c r="Q155" s="54"/>
      <c r="R155" s="54"/>
      <c r="S155" s="54"/>
      <c r="T155" s="54"/>
      <c r="U155" s="54"/>
      <c r="V155" s="54"/>
      <c r="W155" s="54">
        <v>0</v>
      </c>
      <c r="X155" s="54">
        <v>1</v>
      </c>
      <c r="Y155" s="54">
        <v>0</v>
      </c>
      <c r="Z155" s="54"/>
      <c r="AA155" s="54"/>
      <c r="AB155" s="54"/>
    </row>
    <row r="156" spans="1:28" ht="13" x14ac:dyDescent="0.3">
      <c r="A156" s="54">
        <v>50</v>
      </c>
      <c r="B156" s="54">
        <v>0</v>
      </c>
      <c r="C156" s="54">
        <v>0</v>
      </c>
      <c r="D156" s="54">
        <v>1</v>
      </c>
      <c r="E156" s="54">
        <v>232</v>
      </c>
      <c r="F156" s="54">
        <f>ROUND('Source (3)'!BC140,O156)</f>
        <v>0</v>
      </c>
      <c r="G156" s="54" t="s">
        <v>242</v>
      </c>
      <c r="H156" s="54" t="s">
        <v>243</v>
      </c>
      <c r="I156" s="54"/>
      <c r="J156" s="54"/>
      <c r="K156" s="54">
        <v>232</v>
      </c>
      <c r="L156" s="54">
        <v>15</v>
      </c>
      <c r="M156" s="54">
        <v>3</v>
      </c>
      <c r="N156" s="54" t="s">
        <v>30</v>
      </c>
      <c r="O156" s="54">
        <v>2</v>
      </c>
      <c r="P156" s="54"/>
      <c r="Q156" s="54"/>
      <c r="R156" s="54"/>
      <c r="S156" s="54"/>
      <c r="T156" s="54"/>
      <c r="U156" s="54"/>
      <c r="V156" s="54"/>
      <c r="W156" s="54">
        <v>0</v>
      </c>
      <c r="X156" s="54">
        <v>1</v>
      </c>
      <c r="Y156" s="54">
        <v>0</v>
      </c>
      <c r="Z156" s="54"/>
      <c r="AA156" s="54"/>
      <c r="AB156" s="54"/>
    </row>
    <row r="157" spans="1:28" ht="13" x14ac:dyDescent="0.3">
      <c r="A157" s="54">
        <v>50</v>
      </c>
      <c r="B157" s="54">
        <v>0</v>
      </c>
      <c r="C157" s="54">
        <v>0</v>
      </c>
      <c r="D157" s="54">
        <v>1</v>
      </c>
      <c r="E157" s="54">
        <v>214</v>
      </c>
      <c r="F157" s="54">
        <f>ROUND('Source (3)'!AS140,O157)</f>
        <v>0</v>
      </c>
      <c r="G157" s="54" t="s">
        <v>244</v>
      </c>
      <c r="H157" s="54" t="s">
        <v>245</v>
      </c>
      <c r="I157" s="54"/>
      <c r="J157" s="54"/>
      <c r="K157" s="54">
        <v>214</v>
      </c>
      <c r="L157" s="54">
        <v>16</v>
      </c>
      <c r="M157" s="54">
        <v>3</v>
      </c>
      <c r="N157" s="54" t="s">
        <v>30</v>
      </c>
      <c r="O157" s="54">
        <v>2</v>
      </c>
      <c r="P157" s="54"/>
      <c r="Q157" s="54"/>
      <c r="R157" s="54"/>
      <c r="S157" s="54"/>
      <c r="T157" s="54"/>
      <c r="U157" s="54"/>
      <c r="V157" s="54"/>
      <c r="W157" s="54">
        <v>0</v>
      </c>
      <c r="X157" s="54">
        <v>1</v>
      </c>
      <c r="Y157" s="54">
        <v>0</v>
      </c>
      <c r="Z157" s="54"/>
      <c r="AA157" s="54"/>
      <c r="AB157" s="54"/>
    </row>
    <row r="158" spans="1:28" ht="13" x14ac:dyDescent="0.3">
      <c r="A158" s="54">
        <v>50</v>
      </c>
      <c r="B158" s="54">
        <v>0</v>
      </c>
      <c r="C158" s="54">
        <v>0</v>
      </c>
      <c r="D158" s="54">
        <v>1</v>
      </c>
      <c r="E158" s="54">
        <v>215</v>
      </c>
      <c r="F158" s="54">
        <f>ROUND('Source (3)'!AT140,O158)</f>
        <v>0</v>
      </c>
      <c r="G158" s="54" t="s">
        <v>246</v>
      </c>
      <c r="H158" s="54" t="s">
        <v>247</v>
      </c>
      <c r="I158" s="54"/>
      <c r="J158" s="54"/>
      <c r="K158" s="54">
        <v>215</v>
      </c>
      <c r="L158" s="54">
        <v>17</v>
      </c>
      <c r="M158" s="54">
        <v>3</v>
      </c>
      <c r="N158" s="54" t="s">
        <v>30</v>
      </c>
      <c r="O158" s="54">
        <v>2</v>
      </c>
      <c r="P158" s="54"/>
      <c r="Q158" s="54"/>
      <c r="R158" s="54"/>
      <c r="S158" s="54"/>
      <c r="T158" s="54"/>
      <c r="U158" s="54"/>
      <c r="V158" s="54"/>
      <c r="W158" s="54">
        <v>0</v>
      </c>
      <c r="X158" s="54">
        <v>1</v>
      </c>
      <c r="Y158" s="54">
        <v>0</v>
      </c>
      <c r="Z158" s="54"/>
      <c r="AA158" s="54"/>
      <c r="AB158" s="54"/>
    </row>
    <row r="159" spans="1:28" ht="13" x14ac:dyDescent="0.3">
      <c r="A159" s="54">
        <v>50</v>
      </c>
      <c r="B159" s="54">
        <v>0</v>
      </c>
      <c r="C159" s="54">
        <v>0</v>
      </c>
      <c r="D159" s="54">
        <v>1</v>
      </c>
      <c r="E159" s="54">
        <v>217</v>
      </c>
      <c r="F159" s="54">
        <f>ROUND('Source (3)'!AU140,O159)</f>
        <v>0</v>
      </c>
      <c r="G159" s="54" t="s">
        <v>248</v>
      </c>
      <c r="H159" s="54" t="s">
        <v>249</v>
      </c>
      <c r="I159" s="54"/>
      <c r="J159" s="54"/>
      <c r="K159" s="54">
        <v>217</v>
      </c>
      <c r="L159" s="54">
        <v>18</v>
      </c>
      <c r="M159" s="54">
        <v>3</v>
      </c>
      <c r="N159" s="54" t="s">
        <v>30</v>
      </c>
      <c r="O159" s="54">
        <v>2</v>
      </c>
      <c r="P159" s="54"/>
      <c r="Q159" s="54"/>
      <c r="R159" s="54"/>
      <c r="S159" s="54"/>
      <c r="T159" s="54"/>
      <c r="U159" s="54"/>
      <c r="V159" s="54"/>
      <c r="W159" s="54">
        <v>114250</v>
      </c>
      <c r="X159" s="54">
        <v>1</v>
      </c>
      <c r="Y159" s="54">
        <v>114250</v>
      </c>
      <c r="Z159" s="54"/>
      <c r="AA159" s="54"/>
      <c r="AB159" s="54"/>
    </row>
    <row r="160" spans="1:28" ht="13" x14ac:dyDescent="0.3">
      <c r="A160" s="54">
        <v>50</v>
      </c>
      <c r="B160" s="54">
        <v>0</v>
      </c>
      <c r="C160" s="54">
        <v>0</v>
      </c>
      <c r="D160" s="54">
        <v>1</v>
      </c>
      <c r="E160" s="54">
        <v>230</v>
      </c>
      <c r="F160" s="54">
        <f>ROUND('Source (3)'!BA140,O160)</f>
        <v>0</v>
      </c>
      <c r="G160" s="54" t="s">
        <v>250</v>
      </c>
      <c r="H160" s="54" t="s">
        <v>251</v>
      </c>
      <c r="I160" s="54"/>
      <c r="J160" s="54"/>
      <c r="K160" s="54">
        <v>230</v>
      </c>
      <c r="L160" s="54">
        <v>19</v>
      </c>
      <c r="M160" s="54">
        <v>3</v>
      </c>
      <c r="N160" s="54" t="s">
        <v>30</v>
      </c>
      <c r="O160" s="54">
        <v>2</v>
      </c>
      <c r="P160" s="54"/>
      <c r="Q160" s="54"/>
      <c r="R160" s="54"/>
      <c r="S160" s="54"/>
      <c r="T160" s="54"/>
      <c r="U160" s="54"/>
      <c r="V160" s="54"/>
      <c r="W160" s="54">
        <v>0</v>
      </c>
      <c r="X160" s="54">
        <v>1</v>
      </c>
      <c r="Y160" s="54">
        <v>0</v>
      </c>
      <c r="Z160" s="54"/>
      <c r="AA160" s="54"/>
      <c r="AB160" s="54"/>
    </row>
    <row r="161" spans="1:28" ht="13" x14ac:dyDescent="0.3">
      <c r="A161" s="54">
        <v>50</v>
      </c>
      <c r="B161" s="54">
        <v>0</v>
      </c>
      <c r="C161" s="54">
        <v>0</v>
      </c>
      <c r="D161" s="54">
        <v>1</v>
      </c>
      <c r="E161" s="54">
        <v>206</v>
      </c>
      <c r="F161" s="54">
        <f>ROUND('Source (3)'!T140,O161)</f>
        <v>0</v>
      </c>
      <c r="G161" s="54" t="s">
        <v>252</v>
      </c>
      <c r="H161" s="54" t="s">
        <v>253</v>
      </c>
      <c r="I161" s="54"/>
      <c r="J161" s="54"/>
      <c r="K161" s="54">
        <v>206</v>
      </c>
      <c r="L161" s="54">
        <v>20</v>
      </c>
      <c r="M161" s="54">
        <v>3</v>
      </c>
      <c r="N161" s="54" t="s">
        <v>30</v>
      </c>
      <c r="O161" s="54">
        <v>2</v>
      </c>
      <c r="P161" s="54"/>
      <c r="Q161" s="54"/>
      <c r="R161" s="54"/>
      <c r="S161" s="54"/>
      <c r="T161" s="54"/>
      <c r="U161" s="54"/>
      <c r="V161" s="54"/>
      <c r="W161" s="54">
        <v>0</v>
      </c>
      <c r="X161" s="54">
        <v>1</v>
      </c>
      <c r="Y161" s="54">
        <v>0</v>
      </c>
      <c r="Z161" s="54"/>
      <c r="AA161" s="54"/>
      <c r="AB161" s="54"/>
    </row>
    <row r="162" spans="1:28" ht="13" x14ac:dyDescent="0.3">
      <c r="A162" s="54">
        <v>50</v>
      </c>
      <c r="B162" s="54">
        <v>0</v>
      </c>
      <c r="C162" s="54">
        <v>0</v>
      </c>
      <c r="D162" s="54">
        <v>1</v>
      </c>
      <c r="E162" s="54">
        <v>207</v>
      </c>
      <c r="F162" s="54">
        <f>'Source (3)'!U140</f>
        <v>0</v>
      </c>
      <c r="G162" s="54" t="s">
        <v>254</v>
      </c>
      <c r="H162" s="54" t="s">
        <v>255</v>
      </c>
      <c r="I162" s="54"/>
      <c r="J162" s="54"/>
      <c r="K162" s="54">
        <v>207</v>
      </c>
      <c r="L162" s="54">
        <v>21</v>
      </c>
      <c r="M162" s="54">
        <v>3</v>
      </c>
      <c r="N162" s="54" t="s">
        <v>30</v>
      </c>
      <c r="O162" s="54">
        <v>-1</v>
      </c>
      <c r="P162" s="54"/>
      <c r="Q162" s="54"/>
      <c r="R162" s="54"/>
      <c r="S162" s="54"/>
      <c r="T162" s="54"/>
      <c r="U162" s="54"/>
      <c r="V162" s="54"/>
      <c r="W162" s="54">
        <v>0</v>
      </c>
      <c r="X162" s="54">
        <v>1</v>
      </c>
      <c r="Y162" s="54">
        <v>0</v>
      </c>
      <c r="Z162" s="54"/>
      <c r="AA162" s="54"/>
      <c r="AB162" s="54"/>
    </row>
    <row r="163" spans="1:28" ht="13" x14ac:dyDescent="0.3">
      <c r="A163" s="54">
        <v>50</v>
      </c>
      <c r="B163" s="54">
        <v>0</v>
      </c>
      <c r="C163" s="54">
        <v>0</v>
      </c>
      <c r="D163" s="54">
        <v>1</v>
      </c>
      <c r="E163" s="54">
        <v>208</v>
      </c>
      <c r="F163" s="54">
        <f>'Source (3)'!V140</f>
        <v>0</v>
      </c>
      <c r="G163" s="54" t="s">
        <v>256</v>
      </c>
      <c r="H163" s="54" t="s">
        <v>257</v>
      </c>
      <c r="I163" s="54"/>
      <c r="J163" s="54"/>
      <c r="K163" s="54">
        <v>208</v>
      </c>
      <c r="L163" s="54">
        <v>22</v>
      </c>
      <c r="M163" s="54">
        <v>3</v>
      </c>
      <c r="N163" s="54" t="s">
        <v>30</v>
      </c>
      <c r="O163" s="54">
        <v>-1</v>
      </c>
      <c r="P163" s="54"/>
      <c r="Q163" s="54"/>
      <c r="R163" s="54"/>
      <c r="S163" s="54"/>
      <c r="T163" s="54"/>
      <c r="U163" s="54"/>
      <c r="V163" s="54"/>
      <c r="W163" s="54">
        <v>0</v>
      </c>
      <c r="X163" s="54">
        <v>1</v>
      </c>
      <c r="Y163" s="54">
        <v>0</v>
      </c>
      <c r="Z163" s="54"/>
      <c r="AA163" s="54"/>
      <c r="AB163" s="54"/>
    </row>
    <row r="164" spans="1:28" ht="13" x14ac:dyDescent="0.3">
      <c r="A164" s="54">
        <v>50</v>
      </c>
      <c r="B164" s="54">
        <v>0</v>
      </c>
      <c r="C164" s="54">
        <v>0</v>
      </c>
      <c r="D164" s="54">
        <v>1</v>
      </c>
      <c r="E164" s="54">
        <v>209</v>
      </c>
      <c r="F164" s="54">
        <f>ROUND('Source (3)'!W140,O164)</f>
        <v>0</v>
      </c>
      <c r="G164" s="54" t="s">
        <v>258</v>
      </c>
      <c r="H164" s="54" t="s">
        <v>259</v>
      </c>
      <c r="I164" s="54"/>
      <c r="J164" s="54"/>
      <c r="K164" s="54">
        <v>209</v>
      </c>
      <c r="L164" s="54">
        <v>23</v>
      </c>
      <c r="M164" s="54">
        <v>3</v>
      </c>
      <c r="N164" s="54" t="s">
        <v>30</v>
      </c>
      <c r="O164" s="54">
        <v>2</v>
      </c>
      <c r="P164" s="54"/>
      <c r="Q164" s="54"/>
      <c r="R164" s="54"/>
      <c r="S164" s="54"/>
      <c r="T164" s="54"/>
      <c r="U164" s="54"/>
      <c r="V164" s="54"/>
      <c r="W164" s="54">
        <v>0</v>
      </c>
      <c r="X164" s="54">
        <v>1</v>
      </c>
      <c r="Y164" s="54">
        <v>0</v>
      </c>
      <c r="Z164" s="54"/>
      <c r="AA164" s="54"/>
      <c r="AB164" s="54"/>
    </row>
    <row r="165" spans="1:28" ht="13" x14ac:dyDescent="0.3">
      <c r="A165" s="54">
        <v>50</v>
      </c>
      <c r="B165" s="54">
        <v>0</v>
      </c>
      <c r="C165" s="54">
        <v>0</v>
      </c>
      <c r="D165" s="54">
        <v>1</v>
      </c>
      <c r="E165" s="54">
        <v>233</v>
      </c>
      <c r="F165" s="54">
        <f>ROUND('Source (3)'!BD140,O165)</f>
        <v>0</v>
      </c>
      <c r="G165" s="54" t="s">
        <v>260</v>
      </c>
      <c r="H165" s="54" t="s">
        <v>261</v>
      </c>
      <c r="I165" s="54"/>
      <c r="J165" s="54"/>
      <c r="K165" s="54">
        <v>233</v>
      </c>
      <c r="L165" s="54">
        <v>24</v>
      </c>
      <c r="M165" s="54">
        <v>3</v>
      </c>
      <c r="N165" s="54" t="s">
        <v>30</v>
      </c>
      <c r="O165" s="54">
        <v>2</v>
      </c>
      <c r="P165" s="54"/>
      <c r="Q165" s="54"/>
      <c r="R165" s="54"/>
      <c r="S165" s="54"/>
      <c r="T165" s="54"/>
      <c r="U165" s="54"/>
      <c r="V165" s="54"/>
      <c r="W165" s="54">
        <v>0</v>
      </c>
      <c r="X165" s="54">
        <v>1</v>
      </c>
      <c r="Y165" s="54">
        <v>0</v>
      </c>
      <c r="Z165" s="54"/>
      <c r="AA165" s="54"/>
      <c r="AB165" s="54"/>
    </row>
    <row r="166" spans="1:28" ht="13" x14ac:dyDescent="0.3">
      <c r="A166" s="54">
        <v>50</v>
      </c>
      <c r="B166" s="54">
        <v>0</v>
      </c>
      <c r="C166" s="54">
        <v>0</v>
      </c>
      <c r="D166" s="54">
        <v>1</v>
      </c>
      <c r="E166" s="54">
        <v>210</v>
      </c>
      <c r="F166" s="54">
        <f>ROUND('Source (3)'!X140,O166)</f>
        <v>0</v>
      </c>
      <c r="G166" s="54" t="s">
        <v>262</v>
      </c>
      <c r="H166" s="54" t="s">
        <v>263</v>
      </c>
      <c r="I166" s="54"/>
      <c r="J166" s="54"/>
      <c r="K166" s="54">
        <v>210</v>
      </c>
      <c r="L166" s="54">
        <v>25</v>
      </c>
      <c r="M166" s="54">
        <v>3</v>
      </c>
      <c r="N166" s="54" t="s">
        <v>30</v>
      </c>
      <c r="O166" s="54">
        <v>2</v>
      </c>
      <c r="P166" s="54"/>
      <c r="Q166" s="54"/>
      <c r="R166" s="54"/>
      <c r="S166" s="54"/>
      <c r="T166" s="54"/>
      <c r="U166" s="54"/>
      <c r="V166" s="54"/>
      <c r="W166" s="54">
        <v>0</v>
      </c>
      <c r="X166" s="54">
        <v>1</v>
      </c>
      <c r="Y166" s="54">
        <v>0</v>
      </c>
      <c r="Z166" s="54"/>
      <c r="AA166" s="54"/>
      <c r="AB166" s="54"/>
    </row>
    <row r="167" spans="1:28" ht="13" x14ac:dyDescent="0.3">
      <c r="A167" s="54">
        <v>50</v>
      </c>
      <c r="B167" s="54">
        <v>0</v>
      </c>
      <c r="C167" s="54">
        <v>0</v>
      </c>
      <c r="D167" s="54">
        <v>1</v>
      </c>
      <c r="E167" s="54">
        <v>211</v>
      </c>
      <c r="F167" s="54">
        <f>ROUND('Source (3)'!Y140,O167)</f>
        <v>0</v>
      </c>
      <c r="G167" s="54" t="s">
        <v>264</v>
      </c>
      <c r="H167" s="54" t="s">
        <v>265</v>
      </c>
      <c r="I167" s="54"/>
      <c r="J167" s="54"/>
      <c r="K167" s="54">
        <v>211</v>
      </c>
      <c r="L167" s="54">
        <v>26</v>
      </c>
      <c r="M167" s="54">
        <v>3</v>
      </c>
      <c r="N167" s="54" t="s">
        <v>30</v>
      </c>
      <c r="O167" s="54">
        <v>2</v>
      </c>
      <c r="P167" s="54"/>
      <c r="Q167" s="54"/>
      <c r="R167" s="54"/>
      <c r="S167" s="54"/>
      <c r="T167" s="54"/>
      <c r="U167" s="54"/>
      <c r="V167" s="54"/>
      <c r="W167" s="54">
        <v>0</v>
      </c>
      <c r="X167" s="54">
        <v>1</v>
      </c>
      <c r="Y167" s="54">
        <v>0</v>
      </c>
      <c r="Z167" s="54"/>
      <c r="AA167" s="54"/>
      <c r="AB167" s="54"/>
    </row>
    <row r="168" spans="1:28" ht="13" x14ac:dyDescent="0.3">
      <c r="A168" s="54">
        <v>50</v>
      </c>
      <c r="B168" s="54">
        <v>0</v>
      </c>
      <c r="C168" s="54">
        <v>0</v>
      </c>
      <c r="D168" s="54">
        <v>1</v>
      </c>
      <c r="E168" s="54">
        <v>224</v>
      </c>
      <c r="F168" s="54">
        <f>ROUND('Source (3)'!AR140,O168)</f>
        <v>0</v>
      </c>
      <c r="G168" s="54" t="s">
        <v>266</v>
      </c>
      <c r="H168" s="54" t="s">
        <v>267</v>
      </c>
      <c r="I168" s="54"/>
      <c r="J168" s="54"/>
      <c r="K168" s="54">
        <v>224</v>
      </c>
      <c r="L168" s="54">
        <v>27</v>
      </c>
      <c r="M168" s="54">
        <v>3</v>
      </c>
      <c r="N168" s="54" t="s">
        <v>30</v>
      </c>
      <c r="O168" s="54">
        <v>2</v>
      </c>
      <c r="P168" s="54"/>
      <c r="Q168" s="54"/>
      <c r="R168" s="54"/>
      <c r="S168" s="54"/>
      <c r="T168" s="54"/>
      <c r="U168" s="54"/>
      <c r="V168" s="54"/>
      <c r="W168" s="54">
        <v>114250</v>
      </c>
      <c r="X168" s="54">
        <v>1</v>
      </c>
      <c r="Y168" s="54">
        <v>114250</v>
      </c>
      <c r="Z168" s="54"/>
      <c r="AA168" s="54"/>
      <c r="AB168" s="54"/>
    </row>
    <row r="169" spans="1:28" ht="13" x14ac:dyDescent="0.3">
      <c r="A169" s="54">
        <v>50</v>
      </c>
      <c r="B169" s="54">
        <v>1</v>
      </c>
      <c r="C169" s="54">
        <v>0</v>
      </c>
      <c r="D169" s="54">
        <v>2</v>
      </c>
      <c r="E169" s="54">
        <v>0</v>
      </c>
      <c r="F169" s="54">
        <f>ROUND(F168,O169)</f>
        <v>0</v>
      </c>
      <c r="G169" s="54" t="s">
        <v>268</v>
      </c>
      <c r="H169" s="54" t="s">
        <v>269</v>
      </c>
      <c r="I169" s="54"/>
      <c r="J169" s="54"/>
      <c r="K169" s="54">
        <v>212</v>
      </c>
      <c r="L169" s="54">
        <v>28</v>
      </c>
      <c r="M169" s="54">
        <v>0</v>
      </c>
      <c r="N169" s="54" t="s">
        <v>30</v>
      </c>
      <c r="O169" s="54">
        <v>2</v>
      </c>
      <c r="P169" s="54"/>
      <c r="Q169" s="54"/>
      <c r="R169" s="54"/>
      <c r="S169" s="54"/>
      <c r="T169" s="54"/>
      <c r="U169" s="54"/>
      <c r="V169" s="54"/>
      <c r="W169" s="54">
        <v>114250</v>
      </c>
      <c r="X169" s="54">
        <v>1</v>
      </c>
      <c r="Y169" s="54">
        <v>114250</v>
      </c>
      <c r="Z169" s="54"/>
      <c r="AA169" s="54"/>
      <c r="AB169" s="54"/>
    </row>
    <row r="170" spans="1:28" ht="13" x14ac:dyDescent="0.3">
      <c r="A170" s="54">
        <v>50</v>
      </c>
      <c r="B170" s="54">
        <v>1</v>
      </c>
      <c r="C170" s="54">
        <v>0</v>
      </c>
      <c r="D170" s="54">
        <v>2</v>
      </c>
      <c r="E170" s="54">
        <v>0</v>
      </c>
      <c r="F170" s="54">
        <f>ROUND(F168-F155-F154,O170)</f>
        <v>0</v>
      </c>
      <c r="G170" s="54" t="s">
        <v>270</v>
      </c>
      <c r="H170" s="54" t="s">
        <v>271</v>
      </c>
      <c r="I170" s="54"/>
      <c r="J170" s="54"/>
      <c r="K170" s="54">
        <v>212</v>
      </c>
      <c r="L170" s="54">
        <v>29</v>
      </c>
      <c r="M170" s="54">
        <v>0</v>
      </c>
      <c r="N170" s="54" t="s">
        <v>30</v>
      </c>
      <c r="O170" s="54">
        <v>2</v>
      </c>
      <c r="P170" s="54"/>
      <c r="Q170" s="54"/>
      <c r="R170" s="54"/>
      <c r="S170" s="54"/>
      <c r="T170" s="54"/>
      <c r="U170" s="54"/>
      <c r="V170" s="54"/>
      <c r="W170" s="54">
        <v>114250</v>
      </c>
      <c r="X170" s="54">
        <v>1</v>
      </c>
      <c r="Y170" s="54">
        <v>114250</v>
      </c>
      <c r="Z170" s="54"/>
      <c r="AA170" s="54"/>
      <c r="AB170" s="54"/>
    </row>
    <row r="171" spans="1:28" ht="13" x14ac:dyDescent="0.3">
      <c r="A171" s="54">
        <v>50</v>
      </c>
      <c r="B171" s="54">
        <v>1</v>
      </c>
      <c r="C171" s="54">
        <v>0</v>
      </c>
      <c r="D171" s="54">
        <v>2</v>
      </c>
      <c r="E171" s="54">
        <v>0</v>
      </c>
      <c r="F171" s="54">
        <f>ROUND(F167,O171)</f>
        <v>0</v>
      </c>
      <c r="G171" s="54" t="s">
        <v>25</v>
      </c>
      <c r="H171" s="54" t="s">
        <v>25</v>
      </c>
      <c r="I171" s="54"/>
      <c r="J171" s="54"/>
      <c r="K171" s="54">
        <v>212</v>
      </c>
      <c r="L171" s="54">
        <v>30</v>
      </c>
      <c r="M171" s="54">
        <v>0</v>
      </c>
      <c r="N171" s="54" t="s">
        <v>30</v>
      </c>
      <c r="O171" s="54">
        <v>2</v>
      </c>
      <c r="P171" s="54"/>
      <c r="Q171" s="54"/>
      <c r="R171" s="54"/>
      <c r="S171" s="54"/>
      <c r="T171" s="54"/>
      <c r="U171" s="54"/>
      <c r="V171" s="54"/>
      <c r="W171" s="54">
        <v>0</v>
      </c>
      <c r="X171" s="54">
        <v>1</v>
      </c>
      <c r="Y171" s="54">
        <v>0</v>
      </c>
      <c r="Z171" s="54"/>
      <c r="AA171" s="54"/>
      <c r="AB171" s="54"/>
    </row>
    <row r="172" spans="1:28" ht="13" x14ac:dyDescent="0.3">
      <c r="A172" s="54">
        <v>50</v>
      </c>
      <c r="B172" s="54">
        <v>1</v>
      </c>
      <c r="C172" s="54">
        <v>0</v>
      </c>
      <c r="D172" s="54">
        <v>2</v>
      </c>
      <c r="E172" s="54">
        <v>0</v>
      </c>
      <c r="F172" s="54">
        <f>ROUND(F177*0.3,O172)</f>
        <v>0</v>
      </c>
      <c r="G172" s="54" t="s">
        <v>272</v>
      </c>
      <c r="H172" s="54" t="s">
        <v>272</v>
      </c>
      <c r="I172" s="54"/>
      <c r="J172" s="54"/>
      <c r="K172" s="54">
        <v>212</v>
      </c>
      <c r="L172" s="54">
        <v>31</v>
      </c>
      <c r="M172" s="54">
        <v>0</v>
      </c>
      <c r="N172" s="54" t="s">
        <v>30</v>
      </c>
      <c r="O172" s="54">
        <v>2</v>
      </c>
      <c r="P172" s="54"/>
      <c r="Q172" s="54"/>
      <c r="R172" s="54"/>
      <c r="S172" s="54"/>
      <c r="T172" s="54"/>
      <c r="U172" s="54"/>
      <c r="V172" s="54"/>
      <c r="W172" s="54">
        <v>0</v>
      </c>
      <c r="X172" s="54">
        <v>1</v>
      </c>
      <c r="Y172" s="54">
        <v>0</v>
      </c>
      <c r="Z172" s="54"/>
      <c r="AA172" s="54"/>
      <c r="AB172" s="54"/>
    </row>
    <row r="173" spans="1:28" ht="13" x14ac:dyDescent="0.3">
      <c r="A173" s="54">
        <v>50</v>
      </c>
      <c r="B173" s="54">
        <v>1</v>
      </c>
      <c r="C173" s="54">
        <v>0</v>
      </c>
      <c r="D173" s="54">
        <v>2</v>
      </c>
      <c r="E173" s="54">
        <v>0</v>
      </c>
      <c r="F173" s="54">
        <f>ROUND(F170-F171-F172,O173)</f>
        <v>0</v>
      </c>
      <c r="G173" s="54" t="s">
        <v>273</v>
      </c>
      <c r="H173" s="54" t="s">
        <v>274</v>
      </c>
      <c r="I173" s="54"/>
      <c r="J173" s="54"/>
      <c r="K173" s="54">
        <v>212</v>
      </c>
      <c r="L173" s="54">
        <v>32</v>
      </c>
      <c r="M173" s="54">
        <v>0</v>
      </c>
      <c r="N173" s="54" t="s">
        <v>30</v>
      </c>
      <c r="O173" s="54">
        <v>2</v>
      </c>
      <c r="P173" s="54"/>
      <c r="Q173" s="54"/>
      <c r="R173" s="54"/>
      <c r="S173" s="54"/>
      <c r="T173" s="54"/>
      <c r="U173" s="54"/>
      <c r="V173" s="54"/>
      <c r="W173" s="54">
        <v>114250</v>
      </c>
      <c r="X173" s="54">
        <v>1</v>
      </c>
      <c r="Y173" s="54">
        <v>114250</v>
      </c>
      <c r="Z173" s="54"/>
      <c r="AA173" s="54"/>
      <c r="AB173" s="54"/>
    </row>
    <row r="174" spans="1:28" ht="13" x14ac:dyDescent="0.3">
      <c r="A174" s="54">
        <v>50</v>
      </c>
      <c r="B174" s="54">
        <v>1</v>
      </c>
      <c r="C174" s="54">
        <v>0</v>
      </c>
      <c r="D174" s="54">
        <v>2</v>
      </c>
      <c r="E174" s="54">
        <v>0</v>
      </c>
      <c r="F174" s="54">
        <f>ROUND(F173*0.2,O174)</f>
        <v>0</v>
      </c>
      <c r="G174" s="54" t="s">
        <v>42</v>
      </c>
      <c r="H174" s="54" t="s">
        <v>42</v>
      </c>
      <c r="I174" s="54"/>
      <c r="J174" s="54"/>
      <c r="K174" s="54">
        <v>212</v>
      </c>
      <c r="L174" s="54">
        <v>33</v>
      </c>
      <c r="M174" s="54">
        <v>0</v>
      </c>
      <c r="N174" s="54" t="s">
        <v>30</v>
      </c>
      <c r="O174" s="54">
        <v>2</v>
      </c>
      <c r="P174" s="54"/>
      <c r="Q174" s="54"/>
      <c r="R174" s="54"/>
      <c r="S174" s="54"/>
      <c r="T174" s="54"/>
      <c r="U174" s="54"/>
      <c r="V174" s="54"/>
      <c r="W174" s="54">
        <v>22850</v>
      </c>
      <c r="X174" s="54">
        <v>1</v>
      </c>
      <c r="Y174" s="54">
        <v>22850</v>
      </c>
      <c r="Z174" s="54"/>
      <c r="AA174" s="54"/>
      <c r="AB174" s="54"/>
    </row>
    <row r="175" spans="1:28" ht="13" x14ac:dyDescent="0.3">
      <c r="A175" s="54">
        <v>50</v>
      </c>
      <c r="B175" s="54">
        <v>1</v>
      </c>
      <c r="C175" s="54">
        <v>0</v>
      </c>
      <c r="D175" s="54">
        <v>2</v>
      </c>
      <c r="E175" s="54">
        <v>0</v>
      </c>
      <c r="F175" s="54">
        <f>ROUND(F173+F174,O175)</f>
        <v>0</v>
      </c>
      <c r="G175" s="54" t="s">
        <v>43</v>
      </c>
      <c r="H175" s="54" t="s">
        <v>275</v>
      </c>
      <c r="I175" s="54"/>
      <c r="J175" s="54"/>
      <c r="K175" s="54">
        <v>212</v>
      </c>
      <c r="L175" s="54">
        <v>34</v>
      </c>
      <c r="M175" s="54">
        <v>0</v>
      </c>
      <c r="N175" s="54" t="s">
        <v>30</v>
      </c>
      <c r="O175" s="54">
        <v>2</v>
      </c>
      <c r="P175" s="54"/>
      <c r="Q175" s="54"/>
      <c r="R175" s="54"/>
      <c r="S175" s="54"/>
      <c r="T175" s="54"/>
      <c r="U175" s="54"/>
      <c r="V175" s="54"/>
      <c r="W175" s="54">
        <v>137100</v>
      </c>
      <c r="X175" s="54">
        <v>1</v>
      </c>
      <c r="Y175" s="54">
        <v>137100</v>
      </c>
      <c r="Z175" s="54"/>
      <c r="AA175" s="54"/>
      <c r="AB175" s="54"/>
    </row>
    <row r="176" spans="1:28" ht="13" x14ac:dyDescent="0.3">
      <c r="A176" s="54">
        <v>50</v>
      </c>
      <c r="B176" s="54">
        <v>1</v>
      </c>
      <c r="C176" s="54">
        <v>0</v>
      </c>
      <c r="D176" s="54">
        <v>2</v>
      </c>
      <c r="E176" s="54">
        <v>0</v>
      </c>
      <c r="F176" s="54">
        <f>ROUND(F155,O176)</f>
        <v>0</v>
      </c>
      <c r="G176" s="54" t="s">
        <v>276</v>
      </c>
      <c r="H176" s="54" t="s">
        <v>277</v>
      </c>
      <c r="I176" s="54"/>
      <c r="J176" s="54"/>
      <c r="K176" s="54">
        <v>212</v>
      </c>
      <c r="L176" s="54">
        <v>35</v>
      </c>
      <c r="M176" s="54">
        <v>0</v>
      </c>
      <c r="N176" s="54" t="s">
        <v>30</v>
      </c>
      <c r="O176" s="54">
        <v>2</v>
      </c>
      <c r="P176" s="54"/>
      <c r="Q176" s="54"/>
      <c r="R176" s="54"/>
      <c r="S176" s="54"/>
      <c r="T176" s="54"/>
      <c r="U176" s="54"/>
      <c r="V176" s="54"/>
      <c r="W176" s="54">
        <v>0</v>
      </c>
      <c r="X176" s="54">
        <v>1</v>
      </c>
      <c r="Y176" s="54">
        <v>0</v>
      </c>
      <c r="Z176" s="54"/>
      <c r="AA176" s="54"/>
      <c r="AB176" s="54"/>
    </row>
    <row r="177" spans="1:245" ht="13" x14ac:dyDescent="0.3">
      <c r="A177" s="54">
        <v>50</v>
      </c>
      <c r="B177" s="54">
        <v>1</v>
      </c>
      <c r="C177" s="54">
        <v>0</v>
      </c>
      <c r="D177" s="54">
        <v>2</v>
      </c>
      <c r="E177" s="54">
        <v>0</v>
      </c>
      <c r="F177" s="54">
        <f>ROUND(F154,O177)</f>
        <v>0</v>
      </c>
      <c r="G177" s="54" t="s">
        <v>278</v>
      </c>
      <c r="H177" s="54" t="s">
        <v>279</v>
      </c>
      <c r="I177" s="54"/>
      <c r="J177" s="54"/>
      <c r="K177" s="54">
        <v>212</v>
      </c>
      <c r="L177" s="54">
        <v>36</v>
      </c>
      <c r="M177" s="54">
        <v>0</v>
      </c>
      <c r="N177" s="54" t="s">
        <v>30</v>
      </c>
      <c r="O177" s="54">
        <v>2</v>
      </c>
      <c r="P177" s="54"/>
      <c r="Q177" s="54"/>
      <c r="R177" s="54"/>
      <c r="S177" s="54"/>
      <c r="T177" s="54"/>
      <c r="U177" s="54"/>
      <c r="V177" s="54"/>
      <c r="W177" s="54">
        <v>0</v>
      </c>
      <c r="X177" s="54">
        <v>1</v>
      </c>
      <c r="Y177" s="54">
        <v>0</v>
      </c>
      <c r="Z177" s="54"/>
      <c r="AA177" s="54"/>
      <c r="AB177" s="54"/>
    </row>
    <row r="178" spans="1:245" ht="13" x14ac:dyDescent="0.3">
      <c r="A178" s="54">
        <v>50</v>
      </c>
      <c r="B178" s="54">
        <v>1</v>
      </c>
      <c r="C178" s="54">
        <v>0</v>
      </c>
      <c r="D178" s="54">
        <v>2</v>
      </c>
      <c r="E178" s="54">
        <v>0</v>
      </c>
      <c r="F178" s="54">
        <f>ROUND(F175+F176+F177,O178)</f>
        <v>0</v>
      </c>
      <c r="G178" s="54" t="s">
        <v>266</v>
      </c>
      <c r="H178" s="54" t="s">
        <v>280</v>
      </c>
      <c r="I178" s="54"/>
      <c r="J178" s="54"/>
      <c r="K178" s="54">
        <v>212</v>
      </c>
      <c r="L178" s="54">
        <v>37</v>
      </c>
      <c r="M178" s="54">
        <v>0</v>
      </c>
      <c r="N178" s="54" t="s">
        <v>30</v>
      </c>
      <c r="O178" s="54">
        <v>2</v>
      </c>
      <c r="P178" s="54"/>
      <c r="Q178" s="54"/>
      <c r="R178" s="54"/>
      <c r="S178" s="54"/>
      <c r="T178" s="54"/>
      <c r="U178" s="54"/>
      <c r="V178" s="54"/>
      <c r="W178" s="54">
        <v>137100</v>
      </c>
      <c r="X178" s="54">
        <v>1</v>
      </c>
      <c r="Y178" s="54">
        <v>137100</v>
      </c>
      <c r="Z178" s="54"/>
      <c r="AA178" s="54"/>
      <c r="AB178" s="54"/>
    </row>
    <row r="180" spans="1:245" ht="13" x14ac:dyDescent="0.3">
      <c r="A180" s="51">
        <v>4</v>
      </c>
      <c r="B180" s="51">
        <v>1</v>
      </c>
      <c r="C180" s="51"/>
      <c r="D180" s="51">
        <f>ROW(A205)</f>
        <v>205</v>
      </c>
      <c r="E180" s="51"/>
      <c r="F180" s="51" t="s">
        <v>174</v>
      </c>
      <c r="G180" s="51" t="s">
        <v>421</v>
      </c>
      <c r="H180" s="51" t="s">
        <v>30</v>
      </c>
      <c r="I180" s="51">
        <v>0</v>
      </c>
      <c r="J180" s="51"/>
      <c r="K180" s="51">
        <v>-1</v>
      </c>
      <c r="L180" s="51"/>
      <c r="M180" s="51" t="s">
        <v>30</v>
      </c>
      <c r="N180" s="51"/>
      <c r="O180" s="51"/>
      <c r="P180" s="51"/>
      <c r="Q180" s="51"/>
      <c r="R180" s="51"/>
      <c r="S180" s="51">
        <v>0</v>
      </c>
      <c r="T180" s="51"/>
      <c r="U180" s="51" t="s">
        <v>30</v>
      </c>
      <c r="V180" s="51">
        <v>0</v>
      </c>
      <c r="W180" s="51"/>
      <c r="X180" s="51"/>
      <c r="Y180" s="51"/>
      <c r="Z180" s="51"/>
      <c r="AA180" s="51"/>
      <c r="AB180" s="51" t="s">
        <v>30</v>
      </c>
      <c r="AC180" s="51" t="s">
        <v>30</v>
      </c>
      <c r="AD180" s="51" t="s">
        <v>30</v>
      </c>
      <c r="AE180" s="51" t="s">
        <v>30</v>
      </c>
      <c r="AF180" s="51" t="s">
        <v>30</v>
      </c>
      <c r="AG180" s="51" t="s">
        <v>30</v>
      </c>
      <c r="AH180" s="51"/>
      <c r="AI180" s="51"/>
      <c r="AJ180" s="51"/>
      <c r="AK180" s="51"/>
      <c r="AL180" s="51"/>
      <c r="AM180" s="51"/>
      <c r="AN180" s="51"/>
      <c r="AO180" s="51"/>
      <c r="AP180" s="51" t="s">
        <v>30</v>
      </c>
      <c r="AQ180" s="51" t="s">
        <v>30</v>
      </c>
      <c r="AR180" s="51" t="s">
        <v>30</v>
      </c>
      <c r="AS180" s="51"/>
      <c r="AT180" s="51"/>
      <c r="AU180" s="51"/>
      <c r="AV180" s="51"/>
      <c r="AW180" s="51"/>
      <c r="AX180" s="51"/>
      <c r="AY180" s="51"/>
      <c r="AZ180" s="51" t="s">
        <v>30</v>
      </c>
      <c r="BA180" s="51"/>
      <c r="BB180" s="51" t="s">
        <v>30</v>
      </c>
      <c r="BC180" s="51" t="s">
        <v>30</v>
      </c>
      <c r="BD180" s="51" t="s">
        <v>30</v>
      </c>
      <c r="BE180" s="51" t="s">
        <v>30</v>
      </c>
      <c r="BF180" s="51" t="s">
        <v>30</v>
      </c>
      <c r="BG180" s="51" t="s">
        <v>30</v>
      </c>
      <c r="BH180" s="51" t="s">
        <v>30</v>
      </c>
      <c r="BI180" s="51" t="s">
        <v>30</v>
      </c>
      <c r="BJ180" s="51" t="s">
        <v>30</v>
      </c>
      <c r="BK180" s="51" t="s">
        <v>30</v>
      </c>
      <c r="BL180" s="51" t="s">
        <v>30</v>
      </c>
      <c r="BM180" s="51" t="s">
        <v>30</v>
      </c>
      <c r="BN180" s="51" t="s">
        <v>30</v>
      </c>
      <c r="BO180" s="51" t="s">
        <v>30</v>
      </c>
      <c r="BP180" s="51" t="s">
        <v>30</v>
      </c>
      <c r="BQ180" s="51"/>
      <c r="BR180" s="51"/>
      <c r="BS180" s="51"/>
      <c r="BT180" s="51"/>
      <c r="BU180" s="51"/>
      <c r="BV180" s="51"/>
      <c r="BW180" s="51"/>
      <c r="BX180" s="51">
        <v>0</v>
      </c>
      <c r="BY180" s="51"/>
      <c r="BZ180" s="51"/>
      <c r="CA180" s="51"/>
      <c r="CB180" s="51"/>
      <c r="CC180" s="51"/>
      <c r="CD180" s="51"/>
      <c r="CE180" s="51"/>
      <c r="CF180" s="51"/>
      <c r="CG180" s="51"/>
      <c r="CH180" s="51"/>
      <c r="CI180" s="51"/>
      <c r="CJ180" s="51">
        <v>0</v>
      </c>
    </row>
    <row r="182" spans="1:245" ht="13" x14ac:dyDescent="0.3">
      <c r="A182" s="52">
        <v>52</v>
      </c>
      <c r="B182" s="52">
        <f t="shared" ref="B182:G182" si="95">B205</f>
        <v>1</v>
      </c>
      <c r="C182" s="52">
        <f t="shared" si="95"/>
        <v>4</v>
      </c>
      <c r="D182" s="52">
        <f t="shared" si="95"/>
        <v>180</v>
      </c>
      <c r="E182" s="52">
        <f t="shared" si="95"/>
        <v>0</v>
      </c>
      <c r="F182" s="52" t="str">
        <f t="shared" si="95"/>
        <v>Новый раздел</v>
      </c>
      <c r="G182" s="52" t="str">
        <f t="shared" si="95"/>
        <v>Устройство дорожно-тропиночной сети с асфальтобетонным покрытием -205 м2  ( в том числе площадка отдыха- 65,0 м2, дорожки -140м2)</v>
      </c>
      <c r="H182" s="52"/>
      <c r="I182" s="52"/>
      <c r="J182" s="52"/>
      <c r="K182" s="52"/>
      <c r="L182" s="52"/>
      <c r="M182" s="52"/>
      <c r="N182" s="52"/>
      <c r="O182" s="52">
        <f t="shared" ref="O182:BZ182" si="96">O205</f>
        <v>235587.35</v>
      </c>
      <c r="P182" s="52">
        <f t="shared" si="96"/>
        <v>118386.12</v>
      </c>
      <c r="Q182" s="52">
        <f t="shared" si="96"/>
        <v>107651.7</v>
      </c>
      <c r="R182" s="52">
        <f t="shared" si="96"/>
        <v>54773.86</v>
      </c>
      <c r="S182" s="52">
        <f t="shared" si="96"/>
        <v>9549.5300000000007</v>
      </c>
      <c r="T182" s="52">
        <f t="shared" si="96"/>
        <v>0</v>
      </c>
      <c r="U182" s="52">
        <f t="shared" si="96"/>
        <v>46.477730999999999</v>
      </c>
      <c r="V182" s="52">
        <f t="shared" si="96"/>
        <v>0</v>
      </c>
      <c r="W182" s="52">
        <f t="shared" si="96"/>
        <v>0</v>
      </c>
      <c r="X182" s="52">
        <f t="shared" si="96"/>
        <v>6684.69</v>
      </c>
      <c r="Y182" s="52">
        <f t="shared" si="96"/>
        <v>954.96</v>
      </c>
      <c r="Z182" s="52">
        <f t="shared" si="96"/>
        <v>0</v>
      </c>
      <c r="AA182" s="52">
        <f t="shared" si="96"/>
        <v>0</v>
      </c>
      <c r="AB182" s="52">
        <f t="shared" si="96"/>
        <v>235587.35</v>
      </c>
      <c r="AC182" s="52">
        <f t="shared" si="96"/>
        <v>118386.12</v>
      </c>
      <c r="AD182" s="52">
        <f t="shared" si="96"/>
        <v>107651.7</v>
      </c>
      <c r="AE182" s="52">
        <f t="shared" si="96"/>
        <v>54773.86</v>
      </c>
      <c r="AF182" s="52">
        <f t="shared" si="96"/>
        <v>9549.5300000000007</v>
      </c>
      <c r="AG182" s="52">
        <f t="shared" si="96"/>
        <v>0</v>
      </c>
      <c r="AH182" s="52">
        <f t="shared" si="96"/>
        <v>46.477730999999999</v>
      </c>
      <c r="AI182" s="52">
        <f t="shared" si="96"/>
        <v>0</v>
      </c>
      <c r="AJ182" s="52">
        <f t="shared" si="96"/>
        <v>0</v>
      </c>
      <c r="AK182" s="52">
        <f t="shared" si="96"/>
        <v>6684.69</v>
      </c>
      <c r="AL182" s="52">
        <f t="shared" si="96"/>
        <v>954.96</v>
      </c>
      <c r="AM182" s="52">
        <f t="shared" si="96"/>
        <v>0</v>
      </c>
      <c r="AN182" s="52">
        <f t="shared" si="96"/>
        <v>0</v>
      </c>
      <c r="AO182" s="52">
        <f t="shared" si="96"/>
        <v>0</v>
      </c>
      <c r="AP182" s="52">
        <f t="shared" si="96"/>
        <v>0</v>
      </c>
      <c r="AQ182" s="52">
        <f t="shared" si="96"/>
        <v>0</v>
      </c>
      <c r="AR182" s="52">
        <f t="shared" si="96"/>
        <v>252686.5</v>
      </c>
      <c r="AS182" s="52">
        <f t="shared" si="96"/>
        <v>0</v>
      </c>
      <c r="AT182" s="52">
        <f t="shared" si="96"/>
        <v>0</v>
      </c>
      <c r="AU182" s="52">
        <f t="shared" si="96"/>
        <v>252686.5</v>
      </c>
      <c r="AV182" s="52">
        <f t="shared" si="96"/>
        <v>118386.12</v>
      </c>
      <c r="AW182" s="52">
        <f t="shared" si="96"/>
        <v>118386.12</v>
      </c>
      <c r="AX182" s="52">
        <f t="shared" si="96"/>
        <v>0</v>
      </c>
      <c r="AY182" s="52">
        <f t="shared" si="96"/>
        <v>118386.12</v>
      </c>
      <c r="AZ182" s="52">
        <f t="shared" si="96"/>
        <v>0</v>
      </c>
      <c r="BA182" s="52">
        <f t="shared" si="96"/>
        <v>0</v>
      </c>
      <c r="BB182" s="52">
        <f t="shared" si="96"/>
        <v>0</v>
      </c>
      <c r="BC182" s="52">
        <f t="shared" si="96"/>
        <v>0</v>
      </c>
      <c r="BD182" s="52">
        <f t="shared" si="96"/>
        <v>0</v>
      </c>
      <c r="BE182" s="52">
        <f t="shared" si="96"/>
        <v>0</v>
      </c>
      <c r="BF182" s="52">
        <f t="shared" si="96"/>
        <v>0</v>
      </c>
      <c r="BG182" s="52">
        <f t="shared" si="96"/>
        <v>0</v>
      </c>
      <c r="BH182" s="52">
        <f t="shared" si="96"/>
        <v>0</v>
      </c>
      <c r="BI182" s="52">
        <f t="shared" si="96"/>
        <v>0</v>
      </c>
      <c r="BJ182" s="52">
        <f t="shared" si="96"/>
        <v>0</v>
      </c>
      <c r="BK182" s="52">
        <f t="shared" si="96"/>
        <v>0</v>
      </c>
      <c r="BL182" s="52">
        <f t="shared" si="96"/>
        <v>0</v>
      </c>
      <c r="BM182" s="52">
        <f t="shared" si="96"/>
        <v>0</v>
      </c>
      <c r="BN182" s="52">
        <f t="shared" si="96"/>
        <v>0</v>
      </c>
      <c r="BO182" s="52">
        <f t="shared" si="96"/>
        <v>0</v>
      </c>
      <c r="BP182" s="52">
        <f t="shared" si="96"/>
        <v>0</v>
      </c>
      <c r="BQ182" s="52">
        <f t="shared" si="96"/>
        <v>0</v>
      </c>
      <c r="BR182" s="52">
        <f t="shared" si="96"/>
        <v>0</v>
      </c>
      <c r="BS182" s="52">
        <f t="shared" si="96"/>
        <v>0</v>
      </c>
      <c r="BT182" s="52">
        <f t="shared" si="96"/>
        <v>0</v>
      </c>
      <c r="BU182" s="52">
        <f t="shared" si="96"/>
        <v>0</v>
      </c>
      <c r="BV182" s="52">
        <f t="shared" si="96"/>
        <v>0</v>
      </c>
      <c r="BW182" s="52">
        <f t="shared" si="96"/>
        <v>0</v>
      </c>
      <c r="BX182" s="52">
        <f t="shared" si="96"/>
        <v>0</v>
      </c>
      <c r="BY182" s="52">
        <f t="shared" si="96"/>
        <v>0</v>
      </c>
      <c r="BZ182" s="52">
        <f t="shared" si="96"/>
        <v>0</v>
      </c>
      <c r="CA182" s="52">
        <f t="shared" ref="CA182:EL182" si="97">CA205</f>
        <v>252686.5</v>
      </c>
      <c r="CB182" s="52">
        <f t="shared" si="97"/>
        <v>0</v>
      </c>
      <c r="CC182" s="52">
        <f t="shared" si="97"/>
        <v>0</v>
      </c>
      <c r="CD182" s="52">
        <f t="shared" si="97"/>
        <v>252686.5</v>
      </c>
      <c r="CE182" s="52">
        <f t="shared" si="97"/>
        <v>118386.12</v>
      </c>
      <c r="CF182" s="52">
        <f t="shared" si="97"/>
        <v>118386.12</v>
      </c>
      <c r="CG182" s="52">
        <f t="shared" si="97"/>
        <v>0</v>
      </c>
      <c r="CH182" s="52">
        <f t="shared" si="97"/>
        <v>118386.12</v>
      </c>
      <c r="CI182" s="52">
        <f t="shared" si="97"/>
        <v>0</v>
      </c>
      <c r="CJ182" s="52">
        <f t="shared" si="97"/>
        <v>0</v>
      </c>
      <c r="CK182" s="52">
        <f t="shared" si="97"/>
        <v>0</v>
      </c>
      <c r="CL182" s="52">
        <f t="shared" si="97"/>
        <v>0</v>
      </c>
      <c r="CM182" s="52">
        <f t="shared" si="97"/>
        <v>0</v>
      </c>
      <c r="CN182" s="52">
        <f t="shared" si="97"/>
        <v>0</v>
      </c>
      <c r="CO182" s="52">
        <f t="shared" si="97"/>
        <v>0</v>
      </c>
      <c r="CP182" s="52">
        <f t="shared" si="97"/>
        <v>0</v>
      </c>
      <c r="CQ182" s="52">
        <f t="shared" si="97"/>
        <v>0</v>
      </c>
      <c r="CR182" s="52">
        <f t="shared" si="97"/>
        <v>0</v>
      </c>
      <c r="CS182" s="52">
        <f t="shared" si="97"/>
        <v>0</v>
      </c>
      <c r="CT182" s="52">
        <f t="shared" si="97"/>
        <v>0</v>
      </c>
      <c r="CU182" s="52">
        <f t="shared" si="97"/>
        <v>0</v>
      </c>
      <c r="CV182" s="52">
        <f t="shared" si="97"/>
        <v>0</v>
      </c>
      <c r="CW182" s="52">
        <f t="shared" si="97"/>
        <v>0</v>
      </c>
      <c r="CX182" s="52">
        <f t="shared" si="97"/>
        <v>0</v>
      </c>
      <c r="CY182" s="52">
        <f t="shared" si="97"/>
        <v>0</v>
      </c>
      <c r="CZ182" s="52">
        <f t="shared" si="97"/>
        <v>0</v>
      </c>
      <c r="DA182" s="52">
        <f t="shared" si="97"/>
        <v>0</v>
      </c>
      <c r="DB182" s="52">
        <f t="shared" si="97"/>
        <v>0</v>
      </c>
      <c r="DC182" s="52">
        <f t="shared" si="97"/>
        <v>0</v>
      </c>
      <c r="DD182" s="52">
        <f t="shared" si="97"/>
        <v>0</v>
      </c>
      <c r="DE182" s="52">
        <f t="shared" si="97"/>
        <v>0</v>
      </c>
      <c r="DF182" s="52">
        <f t="shared" si="97"/>
        <v>0</v>
      </c>
      <c r="DG182" s="53">
        <f t="shared" si="97"/>
        <v>0</v>
      </c>
      <c r="DH182" s="53">
        <f t="shared" si="97"/>
        <v>0</v>
      </c>
      <c r="DI182" s="53">
        <f t="shared" si="97"/>
        <v>0</v>
      </c>
      <c r="DJ182" s="53">
        <f t="shared" si="97"/>
        <v>0</v>
      </c>
      <c r="DK182" s="53">
        <f t="shared" si="97"/>
        <v>0</v>
      </c>
      <c r="DL182" s="53">
        <f t="shared" si="97"/>
        <v>0</v>
      </c>
      <c r="DM182" s="53">
        <f t="shared" si="97"/>
        <v>0</v>
      </c>
      <c r="DN182" s="53">
        <f t="shared" si="97"/>
        <v>0</v>
      </c>
      <c r="DO182" s="53">
        <f t="shared" si="97"/>
        <v>0</v>
      </c>
      <c r="DP182" s="53">
        <f t="shared" si="97"/>
        <v>0</v>
      </c>
      <c r="DQ182" s="53">
        <f t="shared" si="97"/>
        <v>0</v>
      </c>
      <c r="DR182" s="53">
        <f t="shared" si="97"/>
        <v>0</v>
      </c>
      <c r="DS182" s="53">
        <f t="shared" si="97"/>
        <v>0</v>
      </c>
      <c r="DT182" s="53">
        <f t="shared" si="97"/>
        <v>0</v>
      </c>
      <c r="DU182" s="53">
        <f t="shared" si="97"/>
        <v>0</v>
      </c>
      <c r="DV182" s="53">
        <f t="shared" si="97"/>
        <v>0</v>
      </c>
      <c r="DW182" s="53">
        <f t="shared" si="97"/>
        <v>0</v>
      </c>
      <c r="DX182" s="53">
        <f t="shared" si="97"/>
        <v>0</v>
      </c>
      <c r="DY182" s="53">
        <f t="shared" si="97"/>
        <v>0</v>
      </c>
      <c r="DZ182" s="53">
        <f t="shared" si="97"/>
        <v>0</v>
      </c>
      <c r="EA182" s="53">
        <f t="shared" si="97"/>
        <v>0</v>
      </c>
      <c r="EB182" s="53">
        <f t="shared" si="97"/>
        <v>0</v>
      </c>
      <c r="EC182" s="53">
        <f t="shared" si="97"/>
        <v>0</v>
      </c>
      <c r="ED182" s="53">
        <f t="shared" si="97"/>
        <v>0</v>
      </c>
      <c r="EE182" s="53">
        <f t="shared" si="97"/>
        <v>0</v>
      </c>
      <c r="EF182" s="53">
        <f t="shared" si="97"/>
        <v>0</v>
      </c>
      <c r="EG182" s="53">
        <f t="shared" si="97"/>
        <v>0</v>
      </c>
      <c r="EH182" s="53">
        <f t="shared" si="97"/>
        <v>0</v>
      </c>
      <c r="EI182" s="53">
        <f t="shared" si="97"/>
        <v>0</v>
      </c>
      <c r="EJ182" s="53">
        <f t="shared" si="97"/>
        <v>0</v>
      </c>
      <c r="EK182" s="53">
        <f t="shared" si="97"/>
        <v>0</v>
      </c>
      <c r="EL182" s="53">
        <f t="shared" si="97"/>
        <v>0</v>
      </c>
      <c r="EM182" s="53">
        <f t="shared" ref="EM182:GX182" si="98">EM205</f>
        <v>0</v>
      </c>
      <c r="EN182" s="53">
        <f t="shared" si="98"/>
        <v>0</v>
      </c>
      <c r="EO182" s="53">
        <f t="shared" si="98"/>
        <v>0</v>
      </c>
      <c r="EP182" s="53">
        <f t="shared" si="98"/>
        <v>0</v>
      </c>
      <c r="EQ182" s="53">
        <f t="shared" si="98"/>
        <v>0</v>
      </c>
      <c r="ER182" s="53">
        <f t="shared" si="98"/>
        <v>0</v>
      </c>
      <c r="ES182" s="53">
        <f t="shared" si="98"/>
        <v>0</v>
      </c>
      <c r="ET182" s="53">
        <f t="shared" si="98"/>
        <v>0</v>
      </c>
      <c r="EU182" s="53">
        <f t="shared" si="98"/>
        <v>0</v>
      </c>
      <c r="EV182" s="53">
        <f t="shared" si="98"/>
        <v>0</v>
      </c>
      <c r="EW182" s="53">
        <f t="shared" si="98"/>
        <v>0</v>
      </c>
      <c r="EX182" s="53">
        <f t="shared" si="98"/>
        <v>0</v>
      </c>
      <c r="EY182" s="53">
        <f t="shared" si="98"/>
        <v>0</v>
      </c>
      <c r="EZ182" s="53">
        <f t="shared" si="98"/>
        <v>0</v>
      </c>
      <c r="FA182" s="53">
        <f t="shared" si="98"/>
        <v>0</v>
      </c>
      <c r="FB182" s="53">
        <f t="shared" si="98"/>
        <v>0</v>
      </c>
      <c r="FC182" s="53">
        <f t="shared" si="98"/>
        <v>0</v>
      </c>
      <c r="FD182" s="53">
        <f t="shared" si="98"/>
        <v>0</v>
      </c>
      <c r="FE182" s="53">
        <f t="shared" si="98"/>
        <v>0</v>
      </c>
      <c r="FF182" s="53">
        <f t="shared" si="98"/>
        <v>0</v>
      </c>
      <c r="FG182" s="53">
        <f t="shared" si="98"/>
        <v>0</v>
      </c>
      <c r="FH182" s="53">
        <f t="shared" si="98"/>
        <v>0</v>
      </c>
      <c r="FI182" s="53">
        <f t="shared" si="98"/>
        <v>0</v>
      </c>
      <c r="FJ182" s="53">
        <f t="shared" si="98"/>
        <v>0</v>
      </c>
      <c r="FK182" s="53">
        <f t="shared" si="98"/>
        <v>0</v>
      </c>
      <c r="FL182" s="53">
        <f t="shared" si="98"/>
        <v>0</v>
      </c>
      <c r="FM182" s="53">
        <f t="shared" si="98"/>
        <v>0</v>
      </c>
      <c r="FN182" s="53">
        <f t="shared" si="98"/>
        <v>0</v>
      </c>
      <c r="FO182" s="53">
        <f t="shared" si="98"/>
        <v>0</v>
      </c>
      <c r="FP182" s="53">
        <f t="shared" si="98"/>
        <v>0</v>
      </c>
      <c r="FQ182" s="53">
        <f t="shared" si="98"/>
        <v>0</v>
      </c>
      <c r="FR182" s="53">
        <f t="shared" si="98"/>
        <v>0</v>
      </c>
      <c r="FS182" s="53">
        <f t="shared" si="98"/>
        <v>0</v>
      </c>
      <c r="FT182" s="53">
        <f t="shared" si="98"/>
        <v>0</v>
      </c>
      <c r="FU182" s="53">
        <f t="shared" si="98"/>
        <v>0</v>
      </c>
      <c r="FV182" s="53">
        <f t="shared" si="98"/>
        <v>0</v>
      </c>
      <c r="FW182" s="53">
        <f t="shared" si="98"/>
        <v>0</v>
      </c>
      <c r="FX182" s="53">
        <f t="shared" si="98"/>
        <v>0</v>
      </c>
      <c r="FY182" s="53">
        <f t="shared" si="98"/>
        <v>0</v>
      </c>
      <c r="FZ182" s="53">
        <f t="shared" si="98"/>
        <v>0</v>
      </c>
      <c r="GA182" s="53">
        <f t="shared" si="98"/>
        <v>0</v>
      </c>
      <c r="GB182" s="53">
        <f t="shared" si="98"/>
        <v>0</v>
      </c>
      <c r="GC182" s="53">
        <f t="shared" si="98"/>
        <v>0</v>
      </c>
      <c r="GD182" s="53">
        <f t="shared" si="98"/>
        <v>0</v>
      </c>
      <c r="GE182" s="53">
        <f t="shared" si="98"/>
        <v>0</v>
      </c>
      <c r="GF182" s="53">
        <f t="shared" si="98"/>
        <v>0</v>
      </c>
      <c r="GG182" s="53">
        <f t="shared" si="98"/>
        <v>0</v>
      </c>
      <c r="GH182" s="53">
        <f t="shared" si="98"/>
        <v>0</v>
      </c>
      <c r="GI182" s="53">
        <f t="shared" si="98"/>
        <v>0</v>
      </c>
      <c r="GJ182" s="53">
        <f t="shared" si="98"/>
        <v>0</v>
      </c>
      <c r="GK182" s="53">
        <f t="shared" si="98"/>
        <v>0</v>
      </c>
      <c r="GL182" s="53">
        <f t="shared" si="98"/>
        <v>0</v>
      </c>
      <c r="GM182" s="53">
        <f t="shared" si="98"/>
        <v>0</v>
      </c>
      <c r="GN182" s="53">
        <f t="shared" si="98"/>
        <v>0</v>
      </c>
      <c r="GO182" s="53">
        <f t="shared" si="98"/>
        <v>0</v>
      </c>
      <c r="GP182" s="53">
        <f t="shared" si="98"/>
        <v>0</v>
      </c>
      <c r="GQ182" s="53">
        <f t="shared" si="98"/>
        <v>0</v>
      </c>
      <c r="GR182" s="53">
        <f t="shared" si="98"/>
        <v>0</v>
      </c>
      <c r="GS182" s="53">
        <f t="shared" si="98"/>
        <v>0</v>
      </c>
      <c r="GT182" s="53">
        <f t="shared" si="98"/>
        <v>0</v>
      </c>
      <c r="GU182" s="53">
        <f t="shared" si="98"/>
        <v>0</v>
      </c>
      <c r="GV182" s="53">
        <f t="shared" si="98"/>
        <v>0</v>
      </c>
      <c r="GW182" s="53">
        <f t="shared" si="98"/>
        <v>0</v>
      </c>
      <c r="GX182" s="53">
        <f t="shared" si="98"/>
        <v>0</v>
      </c>
    </row>
    <row r="184" spans="1:245" x14ac:dyDescent="0.25">
      <c r="A184" s="2">
        <v>17</v>
      </c>
      <c r="B184" s="2">
        <v>1</v>
      </c>
      <c r="C184" s="2">
        <f>ROW('SmtRes (3)'!A52)</f>
        <v>52</v>
      </c>
      <c r="D184" s="2">
        <f>ROW('EtalonRes (3)'!A50)</f>
        <v>50</v>
      </c>
      <c r="E184" s="2" t="s">
        <v>308</v>
      </c>
      <c r="F184" s="2" t="s">
        <v>422</v>
      </c>
      <c r="G184" s="2" t="s">
        <v>423</v>
      </c>
      <c r="H184" s="2" t="s">
        <v>60</v>
      </c>
      <c r="I184" s="2">
        <f>ROUND(10.92/100,9)</f>
        <v>0.10920000000000001</v>
      </c>
      <c r="J184" s="2">
        <v>0</v>
      </c>
      <c r="K184" s="2">
        <f>ROUND(10.92/100,9)</f>
        <v>0.10920000000000001</v>
      </c>
      <c r="O184" s="2">
        <f t="shared" ref="O184:O203" si="99">ROUND(CP184,2)</f>
        <v>347.35</v>
      </c>
      <c r="P184" s="2">
        <f t="shared" ref="P184:P203" si="100">ROUND(CQ184*I184,2)</f>
        <v>0</v>
      </c>
      <c r="Q184" s="2">
        <f t="shared" ref="Q184:Q203" si="101">ROUND(CR184*I184,2)</f>
        <v>0</v>
      </c>
      <c r="R184" s="2">
        <f t="shared" ref="R184:R203" si="102">ROUND(CS184*I184,2)</f>
        <v>0</v>
      </c>
      <c r="S184" s="2">
        <f t="shared" ref="S184:S203" si="103">ROUND(CT184*I184,2)</f>
        <v>347.35</v>
      </c>
      <c r="T184" s="2">
        <f t="shared" ref="T184:T203" si="104">ROUND(CU184*I184,2)</f>
        <v>0</v>
      </c>
      <c r="U184" s="2">
        <f t="shared" ref="U184:U203" si="105">CV184*I184</f>
        <v>2.0398559999999999</v>
      </c>
      <c r="V184" s="2">
        <f t="shared" ref="V184:V203" si="106">CW184*I184</f>
        <v>0</v>
      </c>
      <c r="W184" s="2">
        <f t="shared" ref="W184:W203" si="107">ROUND(CX184*I184,2)</f>
        <v>0</v>
      </c>
      <c r="X184" s="2">
        <f t="shared" ref="X184:Y203" si="108">ROUND(CY184,2)</f>
        <v>243.15</v>
      </c>
      <c r="Y184" s="2">
        <f t="shared" si="108"/>
        <v>34.74</v>
      </c>
      <c r="AA184" s="2">
        <v>52286166</v>
      </c>
      <c r="AB184" s="2">
        <f t="shared" ref="AB184:AB203" si="109">ROUND((AC184+AD184+AF184),6)</f>
        <v>3180.83</v>
      </c>
      <c r="AC184" s="2">
        <f t="shared" ref="AC184:AC189" si="110">ROUND((ES184),6)</f>
        <v>0</v>
      </c>
      <c r="AD184" s="2">
        <f t="shared" ref="AD184:AD189" si="111">ROUND((((ET184)-(EU184))+AE184),6)</f>
        <v>0</v>
      </c>
      <c r="AE184" s="2">
        <f t="shared" ref="AE184:AF189" si="112">ROUND((EU184),6)</f>
        <v>0</v>
      </c>
      <c r="AF184" s="2">
        <f t="shared" si="112"/>
        <v>3180.83</v>
      </c>
      <c r="AG184" s="2">
        <f t="shared" ref="AG184:AG203" si="113">ROUND((AP184),6)</f>
        <v>0</v>
      </c>
      <c r="AH184" s="2">
        <f t="shared" ref="AH184:AI189" si="114">(EW184)</f>
        <v>18.68</v>
      </c>
      <c r="AI184" s="2">
        <f t="shared" si="114"/>
        <v>0</v>
      </c>
      <c r="AJ184" s="2">
        <f t="shared" ref="AJ184:AJ203" si="115">(AS184)</f>
        <v>0</v>
      </c>
      <c r="AK184" s="2">
        <v>3180.83</v>
      </c>
      <c r="AL184" s="2">
        <v>0</v>
      </c>
      <c r="AM184" s="2">
        <v>0</v>
      </c>
      <c r="AN184" s="2">
        <v>0</v>
      </c>
      <c r="AO184" s="2">
        <v>3180.83</v>
      </c>
      <c r="AP184" s="2">
        <v>0</v>
      </c>
      <c r="AQ184" s="2">
        <v>18.68</v>
      </c>
      <c r="AR184" s="2">
        <v>0</v>
      </c>
      <c r="AS184" s="2">
        <v>0</v>
      </c>
      <c r="AT184" s="2">
        <v>70</v>
      </c>
      <c r="AU184" s="2">
        <v>10</v>
      </c>
      <c r="AV184" s="2">
        <v>1</v>
      </c>
      <c r="AW184" s="2">
        <v>1</v>
      </c>
      <c r="AZ184" s="2">
        <v>1</v>
      </c>
      <c r="BA184" s="2">
        <v>1</v>
      </c>
      <c r="BB184" s="2">
        <v>1</v>
      </c>
      <c r="BC184" s="2">
        <v>1</v>
      </c>
      <c r="BD184" s="2" t="s">
        <v>30</v>
      </c>
      <c r="BE184" s="2" t="s">
        <v>30</v>
      </c>
      <c r="BF184" s="2" t="s">
        <v>30</v>
      </c>
      <c r="BG184" s="2" t="s">
        <v>30</v>
      </c>
      <c r="BH184" s="2">
        <v>0</v>
      </c>
      <c r="BI184" s="2">
        <v>4</v>
      </c>
      <c r="BJ184" s="2" t="s">
        <v>424</v>
      </c>
      <c r="BM184" s="2">
        <v>0</v>
      </c>
      <c r="BN184" s="2">
        <v>0</v>
      </c>
      <c r="BO184" s="2" t="s">
        <v>30</v>
      </c>
      <c r="BP184" s="2">
        <v>0</v>
      </c>
      <c r="BQ184" s="2">
        <v>1</v>
      </c>
      <c r="BR184" s="2">
        <v>0</v>
      </c>
      <c r="BS184" s="2">
        <v>1</v>
      </c>
      <c r="BT184" s="2">
        <v>1</v>
      </c>
      <c r="BU184" s="2">
        <v>1</v>
      </c>
      <c r="BV184" s="2">
        <v>1</v>
      </c>
      <c r="BW184" s="2">
        <v>1</v>
      </c>
      <c r="BX184" s="2">
        <v>1</v>
      </c>
      <c r="BY184" s="2" t="s">
        <v>30</v>
      </c>
      <c r="BZ184" s="2">
        <v>70</v>
      </c>
      <c r="CA184" s="2">
        <v>10</v>
      </c>
      <c r="CB184" s="2" t="s">
        <v>30</v>
      </c>
      <c r="CE184" s="2">
        <v>0</v>
      </c>
      <c r="CF184" s="2">
        <v>0</v>
      </c>
      <c r="CG184" s="2">
        <v>0</v>
      </c>
      <c r="CM184" s="2">
        <v>0</v>
      </c>
      <c r="CN184" s="2" t="s">
        <v>30</v>
      </c>
      <c r="CO184" s="2">
        <v>0</v>
      </c>
      <c r="CP184" s="2">
        <f t="shared" ref="CP184:CP203" si="116">(P184+Q184+S184)</f>
        <v>347.35</v>
      </c>
      <c r="CQ184" s="2">
        <f t="shared" ref="CQ184:CQ203" si="117">(AC184*BC184*AW184)</f>
        <v>0</v>
      </c>
      <c r="CR184" s="2">
        <f t="shared" ref="CR184:CR189" si="118">((((ET184)*BB184-(EU184)*BS184)+AE184*BS184)*AV184)</f>
        <v>0</v>
      </c>
      <c r="CS184" s="2">
        <f t="shared" ref="CS184:CS203" si="119">(AE184*BS184*AV184)</f>
        <v>0</v>
      </c>
      <c r="CT184" s="2">
        <f t="shared" ref="CT184:CT203" si="120">(AF184*BA184*AV184)</f>
        <v>3180.83</v>
      </c>
      <c r="CU184" s="2">
        <f t="shared" ref="CU184:CU203" si="121">AG184</f>
        <v>0</v>
      </c>
      <c r="CV184" s="2">
        <f t="shared" ref="CV184:CV203" si="122">(AH184*AV184)</f>
        <v>18.68</v>
      </c>
      <c r="CW184" s="2">
        <f t="shared" ref="CW184:CX203" si="123">AI184</f>
        <v>0</v>
      </c>
      <c r="CX184" s="2">
        <f t="shared" si="123"/>
        <v>0</v>
      </c>
      <c r="CY184" s="2">
        <f t="shared" ref="CY184:CY203" si="124">((S184*BZ184)/100)</f>
        <v>243.14500000000001</v>
      </c>
      <c r="CZ184" s="2">
        <f t="shared" ref="CZ184:CZ203" si="125">((S184*CA184)/100)</f>
        <v>34.734999999999999</v>
      </c>
      <c r="DC184" s="2" t="s">
        <v>30</v>
      </c>
      <c r="DD184" s="2" t="s">
        <v>30</v>
      </c>
      <c r="DE184" s="2" t="s">
        <v>30</v>
      </c>
      <c r="DF184" s="2" t="s">
        <v>30</v>
      </c>
      <c r="DG184" s="2" t="s">
        <v>30</v>
      </c>
      <c r="DH184" s="2" t="s">
        <v>30</v>
      </c>
      <c r="DI184" s="2" t="s">
        <v>30</v>
      </c>
      <c r="DJ184" s="2" t="s">
        <v>30</v>
      </c>
      <c r="DK184" s="2" t="s">
        <v>30</v>
      </c>
      <c r="DL184" s="2" t="s">
        <v>30</v>
      </c>
      <c r="DM184" s="2" t="s">
        <v>30</v>
      </c>
      <c r="DN184" s="2">
        <v>0</v>
      </c>
      <c r="DO184" s="2">
        <v>0</v>
      </c>
      <c r="DP184" s="2">
        <v>1</v>
      </c>
      <c r="DQ184" s="2">
        <v>1</v>
      </c>
      <c r="DU184" s="2">
        <v>1005</v>
      </c>
      <c r="DV184" s="2" t="s">
        <v>60</v>
      </c>
      <c r="DW184" s="2" t="s">
        <v>60</v>
      </c>
      <c r="DX184" s="2">
        <v>100</v>
      </c>
      <c r="DZ184" s="2" t="s">
        <v>30</v>
      </c>
      <c r="EA184" s="2" t="s">
        <v>30</v>
      </c>
      <c r="EB184" s="2" t="s">
        <v>30</v>
      </c>
      <c r="EC184" s="2" t="s">
        <v>30</v>
      </c>
      <c r="EE184" s="2">
        <v>49661954</v>
      </c>
      <c r="EF184" s="2">
        <v>1</v>
      </c>
      <c r="EG184" s="2" t="s">
        <v>180</v>
      </c>
      <c r="EH184" s="2">
        <v>0</v>
      </c>
      <c r="EI184" s="2" t="s">
        <v>30</v>
      </c>
      <c r="EJ184" s="2">
        <v>4</v>
      </c>
      <c r="EK184" s="2">
        <v>0</v>
      </c>
      <c r="EL184" s="2" t="s">
        <v>181</v>
      </c>
      <c r="EM184" s="2" t="s">
        <v>182</v>
      </c>
      <c r="EO184" s="2" t="s">
        <v>30</v>
      </c>
      <c r="EQ184" s="2">
        <v>0</v>
      </c>
      <c r="ER184" s="2">
        <v>3180.83</v>
      </c>
      <c r="ES184" s="2">
        <v>0</v>
      </c>
      <c r="ET184" s="2">
        <v>0</v>
      </c>
      <c r="EU184" s="2">
        <v>0</v>
      </c>
      <c r="EV184" s="2">
        <v>3180.83</v>
      </c>
      <c r="EW184" s="2">
        <v>18.68</v>
      </c>
      <c r="EX184" s="2">
        <v>0</v>
      </c>
      <c r="EY184" s="2">
        <v>0</v>
      </c>
      <c r="FQ184" s="2">
        <v>0</v>
      </c>
      <c r="FR184" s="2">
        <f t="shared" ref="FR184:FR203" si="126">ROUND(IF(AND(BH184=3,BI184=3),P184,0),2)</f>
        <v>0</v>
      </c>
      <c r="FS184" s="2">
        <v>0</v>
      </c>
      <c r="FX184" s="2">
        <v>70</v>
      </c>
      <c r="FY184" s="2">
        <v>10</v>
      </c>
      <c r="GA184" s="2" t="s">
        <v>30</v>
      </c>
      <c r="GD184" s="2">
        <v>0</v>
      </c>
      <c r="GF184" s="2">
        <v>-1402669116</v>
      </c>
      <c r="GG184" s="2">
        <v>2</v>
      </c>
      <c r="GH184" s="2">
        <v>1</v>
      </c>
      <c r="GI184" s="2">
        <v>-2</v>
      </c>
      <c r="GJ184" s="2">
        <v>0</v>
      </c>
      <c r="GK184" s="2">
        <f>ROUND(R184*(R12)/100,2)</f>
        <v>0</v>
      </c>
      <c r="GL184" s="2">
        <f t="shared" ref="GL184:GL203" si="127">ROUND(IF(AND(BH184=3,BI184=3,FS184&lt;&gt;0),P184,0),2)</f>
        <v>0</v>
      </c>
      <c r="GM184" s="2">
        <f>ROUND(O184+X184+Y184+GK184,2)+GX184</f>
        <v>625.24</v>
      </c>
      <c r="GN184" s="2">
        <f>IF(OR(BI184=0,BI184=1),ROUND(O184+X184+Y184+GK184,2),0)</f>
        <v>0</v>
      </c>
      <c r="GO184" s="2">
        <f>IF(BI184=2,ROUND(O184+X184+Y184+GK184,2),0)</f>
        <v>0</v>
      </c>
      <c r="GP184" s="2">
        <f>IF(BI184=4,ROUND(O184+X184+Y184+GK184,2)+GX184,0)</f>
        <v>625.24</v>
      </c>
      <c r="GR184" s="2">
        <v>0</v>
      </c>
      <c r="GS184" s="2">
        <v>0</v>
      </c>
      <c r="GT184" s="2">
        <v>0</v>
      </c>
      <c r="GU184" s="2" t="s">
        <v>30</v>
      </c>
      <c r="GV184" s="2">
        <f t="shared" ref="GV184:GV203" si="128">ROUND((GT184),6)</f>
        <v>0</v>
      </c>
      <c r="GW184" s="2">
        <v>1</v>
      </c>
      <c r="GX184" s="2">
        <f t="shared" ref="GX184:GX203" si="129">ROUND(HC184*I184,2)</f>
        <v>0</v>
      </c>
      <c r="HA184" s="2">
        <v>0</v>
      </c>
      <c r="HB184" s="2">
        <v>0</v>
      </c>
      <c r="HC184" s="2">
        <f t="shared" ref="HC184:HC203" si="130">GV184*GW184</f>
        <v>0</v>
      </c>
      <c r="HE184" s="2" t="s">
        <v>30</v>
      </c>
      <c r="HF184" s="2" t="s">
        <v>30</v>
      </c>
      <c r="HM184" s="2" t="s">
        <v>30</v>
      </c>
      <c r="HN184" s="2" t="s">
        <v>30</v>
      </c>
      <c r="HO184" s="2" t="s">
        <v>30</v>
      </c>
      <c r="HP184" s="2" t="s">
        <v>30</v>
      </c>
      <c r="HQ184" s="2" t="s">
        <v>30</v>
      </c>
      <c r="IK184" s="2">
        <v>0</v>
      </c>
    </row>
    <row r="185" spans="1:245" x14ac:dyDescent="0.25">
      <c r="A185" s="2">
        <v>17</v>
      </c>
      <c r="B185" s="2">
        <v>1</v>
      </c>
      <c r="C185" s="2">
        <f>ROW('SmtRes (3)'!A55)</f>
        <v>55</v>
      </c>
      <c r="D185" s="2">
        <f>ROW('EtalonRes (3)'!A53)</f>
        <v>53</v>
      </c>
      <c r="E185" s="2" t="s">
        <v>312</v>
      </c>
      <c r="F185" s="2" t="s">
        <v>425</v>
      </c>
      <c r="G185" s="2" t="s">
        <v>426</v>
      </c>
      <c r="H185" s="2" t="s">
        <v>68</v>
      </c>
      <c r="I185" s="2">
        <f>ROUND(23.4/100,9)</f>
        <v>0.23400000000000001</v>
      </c>
      <c r="J185" s="2">
        <v>0</v>
      </c>
      <c r="K185" s="2">
        <f>ROUND(23.4/100,9)</f>
        <v>0.23400000000000001</v>
      </c>
      <c r="O185" s="2">
        <f t="shared" si="99"/>
        <v>1160.22</v>
      </c>
      <c r="P185" s="2">
        <f t="shared" si="100"/>
        <v>0</v>
      </c>
      <c r="Q185" s="2">
        <f t="shared" si="101"/>
        <v>818.43</v>
      </c>
      <c r="R185" s="2">
        <f t="shared" si="102"/>
        <v>395.8</v>
      </c>
      <c r="S185" s="2">
        <f t="shared" si="103"/>
        <v>341.79</v>
      </c>
      <c r="T185" s="2">
        <f t="shared" si="104"/>
        <v>0</v>
      </c>
      <c r="U185" s="2">
        <f t="shared" si="105"/>
        <v>2.7378</v>
      </c>
      <c r="V185" s="2">
        <f t="shared" si="106"/>
        <v>0</v>
      </c>
      <c r="W185" s="2">
        <f t="shared" si="107"/>
        <v>0</v>
      </c>
      <c r="X185" s="2">
        <f t="shared" si="108"/>
        <v>239.25</v>
      </c>
      <c r="Y185" s="2">
        <f t="shared" si="108"/>
        <v>34.18</v>
      </c>
      <c r="AA185" s="2">
        <v>52286166</v>
      </c>
      <c r="AB185" s="2">
        <f t="shared" si="109"/>
        <v>4958.1899999999996</v>
      </c>
      <c r="AC185" s="2">
        <f t="shared" si="110"/>
        <v>0</v>
      </c>
      <c r="AD185" s="2">
        <f t="shared" si="111"/>
        <v>3497.56</v>
      </c>
      <c r="AE185" s="2">
        <f t="shared" si="112"/>
        <v>1691.45</v>
      </c>
      <c r="AF185" s="2">
        <f t="shared" si="112"/>
        <v>1460.63</v>
      </c>
      <c r="AG185" s="2">
        <f t="shared" si="113"/>
        <v>0</v>
      </c>
      <c r="AH185" s="2">
        <f t="shared" si="114"/>
        <v>11.7</v>
      </c>
      <c r="AI185" s="2">
        <f t="shared" si="114"/>
        <v>0</v>
      </c>
      <c r="AJ185" s="2">
        <f t="shared" si="115"/>
        <v>0</v>
      </c>
      <c r="AK185" s="2">
        <v>4958.1899999999996</v>
      </c>
      <c r="AL185" s="2">
        <v>0</v>
      </c>
      <c r="AM185" s="2">
        <v>3497.56</v>
      </c>
      <c r="AN185" s="2">
        <v>1691.45</v>
      </c>
      <c r="AO185" s="2">
        <v>1460.63</v>
      </c>
      <c r="AP185" s="2">
        <v>0</v>
      </c>
      <c r="AQ185" s="2">
        <v>11.7</v>
      </c>
      <c r="AR185" s="2">
        <v>0</v>
      </c>
      <c r="AS185" s="2">
        <v>0</v>
      </c>
      <c r="AT185" s="2">
        <v>70</v>
      </c>
      <c r="AU185" s="2">
        <v>10</v>
      </c>
      <c r="AV185" s="2">
        <v>1</v>
      </c>
      <c r="AW185" s="2">
        <v>1</v>
      </c>
      <c r="AZ185" s="2">
        <v>1</v>
      </c>
      <c r="BA185" s="2">
        <v>1</v>
      </c>
      <c r="BB185" s="2">
        <v>1</v>
      </c>
      <c r="BC185" s="2">
        <v>1</v>
      </c>
      <c r="BD185" s="2" t="s">
        <v>30</v>
      </c>
      <c r="BE185" s="2" t="s">
        <v>30</v>
      </c>
      <c r="BF185" s="2" t="s">
        <v>30</v>
      </c>
      <c r="BG185" s="2" t="s">
        <v>30</v>
      </c>
      <c r="BH185" s="2">
        <v>0</v>
      </c>
      <c r="BI185" s="2">
        <v>4</v>
      </c>
      <c r="BJ185" s="2" t="s">
        <v>427</v>
      </c>
      <c r="BM185" s="2">
        <v>0</v>
      </c>
      <c r="BN185" s="2">
        <v>0</v>
      </c>
      <c r="BO185" s="2" t="s">
        <v>30</v>
      </c>
      <c r="BP185" s="2">
        <v>0</v>
      </c>
      <c r="BQ185" s="2">
        <v>1</v>
      </c>
      <c r="BR185" s="2">
        <v>0</v>
      </c>
      <c r="BS185" s="2">
        <v>1</v>
      </c>
      <c r="BT185" s="2">
        <v>1</v>
      </c>
      <c r="BU185" s="2">
        <v>1</v>
      </c>
      <c r="BV185" s="2">
        <v>1</v>
      </c>
      <c r="BW185" s="2">
        <v>1</v>
      </c>
      <c r="BX185" s="2">
        <v>1</v>
      </c>
      <c r="BY185" s="2" t="s">
        <v>30</v>
      </c>
      <c r="BZ185" s="2">
        <v>70</v>
      </c>
      <c r="CA185" s="2">
        <v>10</v>
      </c>
      <c r="CB185" s="2" t="s">
        <v>30</v>
      </c>
      <c r="CE185" s="2">
        <v>0</v>
      </c>
      <c r="CF185" s="2">
        <v>0</v>
      </c>
      <c r="CG185" s="2">
        <v>0</v>
      </c>
      <c r="CM185" s="2">
        <v>0</v>
      </c>
      <c r="CN185" s="2" t="s">
        <v>30</v>
      </c>
      <c r="CO185" s="2">
        <v>0</v>
      </c>
      <c r="CP185" s="2">
        <f t="shared" si="116"/>
        <v>1160.22</v>
      </c>
      <c r="CQ185" s="2">
        <f t="shared" si="117"/>
        <v>0</v>
      </c>
      <c r="CR185" s="2">
        <f t="shared" si="118"/>
        <v>3497.56</v>
      </c>
      <c r="CS185" s="2">
        <f t="shared" si="119"/>
        <v>1691.45</v>
      </c>
      <c r="CT185" s="2">
        <f t="shared" si="120"/>
        <v>1460.63</v>
      </c>
      <c r="CU185" s="2">
        <f t="shared" si="121"/>
        <v>0</v>
      </c>
      <c r="CV185" s="2">
        <f t="shared" si="122"/>
        <v>11.7</v>
      </c>
      <c r="CW185" s="2">
        <f t="shared" si="123"/>
        <v>0</v>
      </c>
      <c r="CX185" s="2">
        <f t="shared" si="123"/>
        <v>0</v>
      </c>
      <c r="CY185" s="2">
        <f t="shared" si="124"/>
        <v>239.25299999999999</v>
      </c>
      <c r="CZ185" s="2">
        <f t="shared" si="125"/>
        <v>34.179000000000002</v>
      </c>
      <c r="DC185" s="2" t="s">
        <v>30</v>
      </c>
      <c r="DD185" s="2" t="s">
        <v>30</v>
      </c>
      <c r="DE185" s="2" t="s">
        <v>30</v>
      </c>
      <c r="DF185" s="2" t="s">
        <v>30</v>
      </c>
      <c r="DG185" s="2" t="s">
        <v>30</v>
      </c>
      <c r="DH185" s="2" t="s">
        <v>30</v>
      </c>
      <c r="DI185" s="2" t="s">
        <v>30</v>
      </c>
      <c r="DJ185" s="2" t="s">
        <v>30</v>
      </c>
      <c r="DK185" s="2" t="s">
        <v>30</v>
      </c>
      <c r="DL185" s="2" t="s">
        <v>30</v>
      </c>
      <c r="DM185" s="2" t="s">
        <v>30</v>
      </c>
      <c r="DN185" s="2">
        <v>0</v>
      </c>
      <c r="DO185" s="2">
        <v>0</v>
      </c>
      <c r="DP185" s="2">
        <v>1</v>
      </c>
      <c r="DQ185" s="2">
        <v>1</v>
      </c>
      <c r="DU185" s="2">
        <v>1007</v>
      </c>
      <c r="DV185" s="2" t="s">
        <v>68</v>
      </c>
      <c r="DW185" s="2" t="s">
        <v>68</v>
      </c>
      <c r="DX185" s="2">
        <v>100</v>
      </c>
      <c r="DZ185" s="2" t="s">
        <v>30</v>
      </c>
      <c r="EA185" s="2" t="s">
        <v>30</v>
      </c>
      <c r="EB185" s="2" t="s">
        <v>30</v>
      </c>
      <c r="EC185" s="2" t="s">
        <v>30</v>
      </c>
      <c r="EE185" s="2">
        <v>49661954</v>
      </c>
      <c r="EF185" s="2">
        <v>1</v>
      </c>
      <c r="EG185" s="2" t="s">
        <v>180</v>
      </c>
      <c r="EH185" s="2">
        <v>0</v>
      </c>
      <c r="EI185" s="2" t="s">
        <v>30</v>
      </c>
      <c r="EJ185" s="2">
        <v>4</v>
      </c>
      <c r="EK185" s="2">
        <v>0</v>
      </c>
      <c r="EL185" s="2" t="s">
        <v>181</v>
      </c>
      <c r="EM185" s="2" t="s">
        <v>182</v>
      </c>
      <c r="EO185" s="2" t="s">
        <v>30</v>
      </c>
      <c r="EQ185" s="2">
        <v>0</v>
      </c>
      <c r="ER185" s="2">
        <v>4958.1899999999996</v>
      </c>
      <c r="ES185" s="2">
        <v>0</v>
      </c>
      <c r="ET185" s="2">
        <v>3497.56</v>
      </c>
      <c r="EU185" s="2">
        <v>1691.45</v>
      </c>
      <c r="EV185" s="2">
        <v>1460.63</v>
      </c>
      <c r="EW185" s="2">
        <v>11.7</v>
      </c>
      <c r="EX185" s="2">
        <v>0</v>
      </c>
      <c r="EY185" s="2">
        <v>0</v>
      </c>
      <c r="FQ185" s="2">
        <v>0</v>
      </c>
      <c r="FR185" s="2">
        <f t="shared" si="126"/>
        <v>0</v>
      </c>
      <c r="FS185" s="2">
        <v>0</v>
      </c>
      <c r="FX185" s="2">
        <v>70</v>
      </c>
      <c r="FY185" s="2">
        <v>10</v>
      </c>
      <c r="GA185" s="2" t="s">
        <v>30</v>
      </c>
      <c r="GD185" s="2">
        <v>0</v>
      </c>
      <c r="GF185" s="2">
        <v>1383470033</v>
      </c>
      <c r="GG185" s="2">
        <v>2</v>
      </c>
      <c r="GH185" s="2">
        <v>1</v>
      </c>
      <c r="GI185" s="2">
        <v>-2</v>
      </c>
      <c r="GJ185" s="2">
        <v>0</v>
      </c>
      <c r="GK185" s="2">
        <f>ROUND(R185*(R12)/100,2)</f>
        <v>427.46</v>
      </c>
      <c r="GL185" s="2">
        <f t="shared" si="127"/>
        <v>0</v>
      </c>
      <c r="GM185" s="2">
        <f>ROUND(O185+X185+Y185+GK185,2)+GX185</f>
        <v>1861.11</v>
      </c>
      <c r="GN185" s="2">
        <f>IF(OR(BI185=0,BI185=1),ROUND(O185+X185+Y185+GK185,2),0)</f>
        <v>0</v>
      </c>
      <c r="GO185" s="2">
        <f>IF(BI185=2,ROUND(O185+X185+Y185+GK185,2),0)</f>
        <v>0</v>
      </c>
      <c r="GP185" s="2">
        <f>IF(BI185=4,ROUND(O185+X185+Y185+GK185,2)+GX185,0)</f>
        <v>1861.11</v>
      </c>
      <c r="GR185" s="2">
        <v>0</v>
      </c>
      <c r="GS185" s="2">
        <v>0</v>
      </c>
      <c r="GT185" s="2">
        <v>0</v>
      </c>
      <c r="GU185" s="2" t="s">
        <v>30</v>
      </c>
      <c r="GV185" s="2">
        <f t="shared" si="128"/>
        <v>0</v>
      </c>
      <c r="GW185" s="2">
        <v>1</v>
      </c>
      <c r="GX185" s="2">
        <f t="shared" si="129"/>
        <v>0</v>
      </c>
      <c r="HA185" s="2">
        <v>0</v>
      </c>
      <c r="HB185" s="2">
        <v>0</v>
      </c>
      <c r="HC185" s="2">
        <f t="shared" si="130"/>
        <v>0</v>
      </c>
      <c r="HE185" s="2" t="s">
        <v>30</v>
      </c>
      <c r="HF185" s="2" t="s">
        <v>30</v>
      </c>
      <c r="HM185" s="2" t="s">
        <v>30</v>
      </c>
      <c r="HN185" s="2" t="s">
        <v>30</v>
      </c>
      <c r="HO185" s="2" t="s">
        <v>30</v>
      </c>
      <c r="HP185" s="2" t="s">
        <v>30</v>
      </c>
      <c r="HQ185" s="2" t="s">
        <v>30</v>
      </c>
      <c r="IK185" s="2">
        <v>0</v>
      </c>
    </row>
    <row r="186" spans="1:245" x14ac:dyDescent="0.25">
      <c r="A186" s="2">
        <v>17</v>
      </c>
      <c r="B186" s="2">
        <v>1</v>
      </c>
      <c r="C186" s="2">
        <f>ROW('SmtRes (3)'!A56)</f>
        <v>56</v>
      </c>
      <c r="D186" s="2">
        <f>ROW('EtalonRes (3)'!A54)</f>
        <v>54</v>
      </c>
      <c r="E186" s="2" t="s">
        <v>316</v>
      </c>
      <c r="F186" s="2" t="s">
        <v>428</v>
      </c>
      <c r="G186" s="2" t="s">
        <v>429</v>
      </c>
      <c r="H186" s="2" t="s">
        <v>63</v>
      </c>
      <c r="I186" s="2">
        <v>3.4319999999999999</v>
      </c>
      <c r="J186" s="2">
        <v>0</v>
      </c>
      <c r="K186" s="2">
        <v>3.4319999999999999</v>
      </c>
      <c r="O186" s="2">
        <f t="shared" si="99"/>
        <v>437.03</v>
      </c>
      <c r="P186" s="2">
        <f t="shared" si="100"/>
        <v>0</v>
      </c>
      <c r="Q186" s="2">
        <f t="shared" si="101"/>
        <v>0</v>
      </c>
      <c r="R186" s="2">
        <f t="shared" si="102"/>
        <v>0</v>
      </c>
      <c r="S186" s="2">
        <f t="shared" si="103"/>
        <v>437.03</v>
      </c>
      <c r="T186" s="2">
        <f t="shared" si="104"/>
        <v>0</v>
      </c>
      <c r="U186" s="2">
        <f t="shared" si="105"/>
        <v>3.5006400000000002</v>
      </c>
      <c r="V186" s="2">
        <f t="shared" si="106"/>
        <v>0</v>
      </c>
      <c r="W186" s="2">
        <f t="shared" si="107"/>
        <v>0</v>
      </c>
      <c r="X186" s="2">
        <f t="shared" si="108"/>
        <v>305.92</v>
      </c>
      <c r="Y186" s="2">
        <f t="shared" si="108"/>
        <v>43.7</v>
      </c>
      <c r="AA186" s="2">
        <v>52286166</v>
      </c>
      <c r="AB186" s="2">
        <f t="shared" si="109"/>
        <v>127.34</v>
      </c>
      <c r="AC186" s="2">
        <f t="shared" si="110"/>
        <v>0</v>
      </c>
      <c r="AD186" s="2">
        <f t="shared" si="111"/>
        <v>0</v>
      </c>
      <c r="AE186" s="2">
        <f t="shared" si="112"/>
        <v>0</v>
      </c>
      <c r="AF186" s="2">
        <f t="shared" si="112"/>
        <v>127.34</v>
      </c>
      <c r="AG186" s="2">
        <f t="shared" si="113"/>
        <v>0</v>
      </c>
      <c r="AH186" s="2">
        <f t="shared" si="114"/>
        <v>1.02</v>
      </c>
      <c r="AI186" s="2">
        <f t="shared" si="114"/>
        <v>0</v>
      </c>
      <c r="AJ186" s="2">
        <f t="shared" si="115"/>
        <v>0</v>
      </c>
      <c r="AK186" s="2">
        <v>127.34</v>
      </c>
      <c r="AL186" s="2">
        <v>0</v>
      </c>
      <c r="AM186" s="2">
        <v>0</v>
      </c>
      <c r="AN186" s="2">
        <v>0</v>
      </c>
      <c r="AO186" s="2">
        <v>127.34</v>
      </c>
      <c r="AP186" s="2">
        <v>0</v>
      </c>
      <c r="AQ186" s="2">
        <v>1.02</v>
      </c>
      <c r="AR186" s="2">
        <v>0</v>
      </c>
      <c r="AS186" s="2">
        <v>0</v>
      </c>
      <c r="AT186" s="2">
        <v>70</v>
      </c>
      <c r="AU186" s="2">
        <v>10</v>
      </c>
      <c r="AV186" s="2">
        <v>1</v>
      </c>
      <c r="AW186" s="2">
        <v>1</v>
      </c>
      <c r="AZ186" s="2">
        <v>1</v>
      </c>
      <c r="BA186" s="2">
        <v>1</v>
      </c>
      <c r="BB186" s="2">
        <v>1</v>
      </c>
      <c r="BC186" s="2">
        <v>1</v>
      </c>
      <c r="BD186" s="2" t="s">
        <v>30</v>
      </c>
      <c r="BE186" s="2" t="s">
        <v>30</v>
      </c>
      <c r="BF186" s="2" t="s">
        <v>30</v>
      </c>
      <c r="BG186" s="2" t="s">
        <v>30</v>
      </c>
      <c r="BH186" s="2">
        <v>0</v>
      </c>
      <c r="BI186" s="2">
        <v>4</v>
      </c>
      <c r="BJ186" s="2" t="s">
        <v>430</v>
      </c>
      <c r="BM186" s="2">
        <v>0</v>
      </c>
      <c r="BN186" s="2">
        <v>0</v>
      </c>
      <c r="BO186" s="2" t="s">
        <v>30</v>
      </c>
      <c r="BP186" s="2">
        <v>0</v>
      </c>
      <c r="BQ186" s="2">
        <v>1</v>
      </c>
      <c r="BR186" s="2">
        <v>0</v>
      </c>
      <c r="BS186" s="2">
        <v>1</v>
      </c>
      <c r="BT186" s="2">
        <v>1</v>
      </c>
      <c r="BU186" s="2">
        <v>1</v>
      </c>
      <c r="BV186" s="2">
        <v>1</v>
      </c>
      <c r="BW186" s="2">
        <v>1</v>
      </c>
      <c r="BX186" s="2">
        <v>1</v>
      </c>
      <c r="BY186" s="2" t="s">
        <v>30</v>
      </c>
      <c r="BZ186" s="2">
        <v>70</v>
      </c>
      <c r="CA186" s="2">
        <v>10</v>
      </c>
      <c r="CB186" s="2" t="s">
        <v>30</v>
      </c>
      <c r="CE186" s="2">
        <v>0</v>
      </c>
      <c r="CF186" s="2">
        <v>0</v>
      </c>
      <c r="CG186" s="2">
        <v>0</v>
      </c>
      <c r="CM186" s="2">
        <v>0</v>
      </c>
      <c r="CN186" s="2" t="s">
        <v>30</v>
      </c>
      <c r="CO186" s="2">
        <v>0</v>
      </c>
      <c r="CP186" s="2">
        <f t="shared" si="116"/>
        <v>437.03</v>
      </c>
      <c r="CQ186" s="2">
        <f t="shared" si="117"/>
        <v>0</v>
      </c>
      <c r="CR186" s="2">
        <f t="shared" si="118"/>
        <v>0</v>
      </c>
      <c r="CS186" s="2">
        <f t="shared" si="119"/>
        <v>0</v>
      </c>
      <c r="CT186" s="2">
        <f t="shared" si="120"/>
        <v>127.34</v>
      </c>
      <c r="CU186" s="2">
        <f t="shared" si="121"/>
        <v>0</v>
      </c>
      <c r="CV186" s="2">
        <f t="shared" si="122"/>
        <v>1.02</v>
      </c>
      <c r="CW186" s="2">
        <f t="shared" si="123"/>
        <v>0</v>
      </c>
      <c r="CX186" s="2">
        <f t="shared" si="123"/>
        <v>0</v>
      </c>
      <c r="CY186" s="2">
        <f t="shared" si="124"/>
        <v>305.92099999999999</v>
      </c>
      <c r="CZ186" s="2">
        <f t="shared" si="125"/>
        <v>43.703000000000003</v>
      </c>
      <c r="DC186" s="2" t="s">
        <v>30</v>
      </c>
      <c r="DD186" s="2" t="s">
        <v>30</v>
      </c>
      <c r="DE186" s="2" t="s">
        <v>30</v>
      </c>
      <c r="DF186" s="2" t="s">
        <v>30</v>
      </c>
      <c r="DG186" s="2" t="s">
        <v>30</v>
      </c>
      <c r="DH186" s="2" t="s">
        <v>30</v>
      </c>
      <c r="DI186" s="2" t="s">
        <v>30</v>
      </c>
      <c r="DJ186" s="2" t="s">
        <v>30</v>
      </c>
      <c r="DK186" s="2" t="s">
        <v>30</v>
      </c>
      <c r="DL186" s="2" t="s">
        <v>30</v>
      </c>
      <c r="DM186" s="2" t="s">
        <v>30</v>
      </c>
      <c r="DN186" s="2">
        <v>0</v>
      </c>
      <c r="DO186" s="2">
        <v>0</v>
      </c>
      <c r="DP186" s="2">
        <v>1</v>
      </c>
      <c r="DQ186" s="2">
        <v>1</v>
      </c>
      <c r="DU186" s="2">
        <v>1009</v>
      </c>
      <c r="DV186" s="2" t="s">
        <v>63</v>
      </c>
      <c r="DW186" s="2" t="s">
        <v>63</v>
      </c>
      <c r="DX186" s="2">
        <v>1000</v>
      </c>
      <c r="DZ186" s="2" t="s">
        <v>30</v>
      </c>
      <c r="EA186" s="2" t="s">
        <v>30</v>
      </c>
      <c r="EB186" s="2" t="s">
        <v>30</v>
      </c>
      <c r="EC186" s="2" t="s">
        <v>30</v>
      </c>
      <c r="EE186" s="2">
        <v>49661954</v>
      </c>
      <c r="EF186" s="2">
        <v>1</v>
      </c>
      <c r="EG186" s="2" t="s">
        <v>180</v>
      </c>
      <c r="EH186" s="2">
        <v>0</v>
      </c>
      <c r="EI186" s="2" t="s">
        <v>30</v>
      </c>
      <c r="EJ186" s="2">
        <v>4</v>
      </c>
      <c r="EK186" s="2">
        <v>0</v>
      </c>
      <c r="EL186" s="2" t="s">
        <v>181</v>
      </c>
      <c r="EM186" s="2" t="s">
        <v>182</v>
      </c>
      <c r="EO186" s="2" t="s">
        <v>30</v>
      </c>
      <c r="EQ186" s="2">
        <v>0</v>
      </c>
      <c r="ER186" s="2">
        <v>127.34</v>
      </c>
      <c r="ES186" s="2">
        <v>0</v>
      </c>
      <c r="ET186" s="2">
        <v>0</v>
      </c>
      <c r="EU186" s="2">
        <v>0</v>
      </c>
      <c r="EV186" s="2">
        <v>127.34</v>
      </c>
      <c r="EW186" s="2">
        <v>1.02</v>
      </c>
      <c r="EX186" s="2">
        <v>0</v>
      </c>
      <c r="EY186" s="2">
        <v>0</v>
      </c>
      <c r="FQ186" s="2">
        <v>0</v>
      </c>
      <c r="FR186" s="2">
        <f t="shared" si="126"/>
        <v>0</v>
      </c>
      <c r="FS186" s="2">
        <v>0</v>
      </c>
      <c r="FX186" s="2">
        <v>70</v>
      </c>
      <c r="FY186" s="2">
        <v>10</v>
      </c>
      <c r="GA186" s="2" t="s">
        <v>30</v>
      </c>
      <c r="GD186" s="2">
        <v>0</v>
      </c>
      <c r="GF186" s="2">
        <v>-1070427063</v>
      </c>
      <c r="GG186" s="2">
        <v>2</v>
      </c>
      <c r="GH186" s="2">
        <v>1</v>
      </c>
      <c r="GI186" s="2">
        <v>-2</v>
      </c>
      <c r="GJ186" s="2">
        <v>0</v>
      </c>
      <c r="GK186" s="2">
        <f>ROUND(R186*(R12)/100,2)</f>
        <v>0</v>
      </c>
      <c r="GL186" s="2">
        <f t="shared" si="127"/>
        <v>0</v>
      </c>
      <c r="GM186" s="2">
        <f>ROUND(O186+X186+Y186+GK186,2)+GX186</f>
        <v>786.65</v>
      </c>
      <c r="GN186" s="2">
        <f>IF(OR(BI186=0,BI186=1),ROUND(O186+X186+Y186+GK186,2),0)</f>
        <v>0</v>
      </c>
      <c r="GO186" s="2">
        <f>IF(BI186=2,ROUND(O186+X186+Y186+GK186,2),0)</f>
        <v>0</v>
      </c>
      <c r="GP186" s="2">
        <f>IF(BI186=4,ROUND(O186+X186+Y186+GK186,2)+GX186,0)</f>
        <v>786.65</v>
      </c>
      <c r="GR186" s="2">
        <v>0</v>
      </c>
      <c r="GS186" s="2">
        <v>0</v>
      </c>
      <c r="GT186" s="2">
        <v>0</v>
      </c>
      <c r="GU186" s="2" t="s">
        <v>30</v>
      </c>
      <c r="GV186" s="2">
        <f t="shared" si="128"/>
        <v>0</v>
      </c>
      <c r="GW186" s="2">
        <v>1</v>
      </c>
      <c r="GX186" s="2">
        <f t="shared" si="129"/>
        <v>0</v>
      </c>
      <c r="HA186" s="2">
        <v>0</v>
      </c>
      <c r="HB186" s="2">
        <v>0</v>
      </c>
      <c r="HC186" s="2">
        <f t="shared" si="130"/>
        <v>0</v>
      </c>
      <c r="HE186" s="2" t="s">
        <v>30</v>
      </c>
      <c r="HF186" s="2" t="s">
        <v>30</v>
      </c>
      <c r="HM186" s="2" t="s">
        <v>30</v>
      </c>
      <c r="HN186" s="2" t="s">
        <v>30</v>
      </c>
      <c r="HO186" s="2" t="s">
        <v>30</v>
      </c>
      <c r="HP186" s="2" t="s">
        <v>30</v>
      </c>
      <c r="HQ186" s="2" t="s">
        <v>30</v>
      </c>
      <c r="IK186" s="2">
        <v>0</v>
      </c>
    </row>
    <row r="187" spans="1:245" x14ac:dyDescent="0.25">
      <c r="A187" s="2">
        <v>17</v>
      </c>
      <c r="B187" s="2">
        <v>1</v>
      </c>
      <c r="C187" s="2">
        <f>ROW('SmtRes (3)'!A57)</f>
        <v>57</v>
      </c>
      <c r="D187" s="2">
        <f>ROW('EtalonRes (3)'!A55)</f>
        <v>55</v>
      </c>
      <c r="E187" s="2" t="s">
        <v>320</v>
      </c>
      <c r="F187" s="2" t="s">
        <v>431</v>
      </c>
      <c r="G187" s="2" t="s">
        <v>432</v>
      </c>
      <c r="H187" s="2" t="s">
        <v>63</v>
      </c>
      <c r="I187" s="2">
        <v>30.888000000000002</v>
      </c>
      <c r="J187" s="2">
        <v>0</v>
      </c>
      <c r="K187" s="2">
        <v>30.888000000000002</v>
      </c>
      <c r="O187" s="2">
        <f t="shared" si="99"/>
        <v>2601.39</v>
      </c>
      <c r="P187" s="2">
        <f t="shared" si="100"/>
        <v>0</v>
      </c>
      <c r="Q187" s="2">
        <f t="shared" si="101"/>
        <v>2601.39</v>
      </c>
      <c r="R187" s="2">
        <f t="shared" si="102"/>
        <v>837.99</v>
      </c>
      <c r="S187" s="2">
        <f t="shared" si="103"/>
        <v>0</v>
      </c>
      <c r="T187" s="2">
        <f t="shared" si="104"/>
        <v>0</v>
      </c>
      <c r="U187" s="2">
        <f t="shared" si="105"/>
        <v>0</v>
      </c>
      <c r="V187" s="2">
        <f t="shared" si="106"/>
        <v>0</v>
      </c>
      <c r="W187" s="2">
        <f t="shared" si="107"/>
        <v>0</v>
      </c>
      <c r="X187" s="2">
        <f t="shared" si="108"/>
        <v>0</v>
      </c>
      <c r="Y187" s="2">
        <f t="shared" si="108"/>
        <v>0</v>
      </c>
      <c r="AA187" s="2">
        <v>52286166</v>
      </c>
      <c r="AB187" s="2">
        <f t="shared" si="109"/>
        <v>84.22</v>
      </c>
      <c r="AC187" s="2">
        <f t="shared" si="110"/>
        <v>0</v>
      </c>
      <c r="AD187" s="2">
        <f t="shared" si="111"/>
        <v>84.22</v>
      </c>
      <c r="AE187" s="2">
        <f t="shared" si="112"/>
        <v>27.13</v>
      </c>
      <c r="AF187" s="2">
        <f t="shared" si="112"/>
        <v>0</v>
      </c>
      <c r="AG187" s="2">
        <f t="shared" si="113"/>
        <v>0</v>
      </c>
      <c r="AH187" s="2">
        <f t="shared" si="114"/>
        <v>0</v>
      </c>
      <c r="AI187" s="2">
        <f t="shared" si="114"/>
        <v>0</v>
      </c>
      <c r="AJ187" s="2">
        <f t="shared" si="115"/>
        <v>0</v>
      </c>
      <c r="AK187" s="2">
        <v>84.22</v>
      </c>
      <c r="AL187" s="2">
        <v>0</v>
      </c>
      <c r="AM187" s="2">
        <v>84.22</v>
      </c>
      <c r="AN187" s="2">
        <v>27.13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70</v>
      </c>
      <c r="AU187" s="2">
        <v>10</v>
      </c>
      <c r="AV187" s="2">
        <v>1</v>
      </c>
      <c r="AW187" s="2">
        <v>1</v>
      </c>
      <c r="AZ187" s="2">
        <v>1</v>
      </c>
      <c r="BA187" s="2">
        <v>1</v>
      </c>
      <c r="BB187" s="2">
        <v>1</v>
      </c>
      <c r="BC187" s="2">
        <v>1</v>
      </c>
      <c r="BD187" s="2" t="s">
        <v>30</v>
      </c>
      <c r="BE187" s="2" t="s">
        <v>30</v>
      </c>
      <c r="BF187" s="2" t="s">
        <v>30</v>
      </c>
      <c r="BG187" s="2" t="s">
        <v>30</v>
      </c>
      <c r="BH187" s="2">
        <v>0</v>
      </c>
      <c r="BI187" s="2">
        <v>4</v>
      </c>
      <c r="BJ187" s="2" t="s">
        <v>433</v>
      </c>
      <c r="BM187" s="2">
        <v>0</v>
      </c>
      <c r="BN187" s="2">
        <v>0</v>
      </c>
      <c r="BO187" s="2" t="s">
        <v>30</v>
      </c>
      <c r="BP187" s="2">
        <v>0</v>
      </c>
      <c r="BQ187" s="2">
        <v>1</v>
      </c>
      <c r="BR187" s="2">
        <v>0</v>
      </c>
      <c r="BS187" s="2">
        <v>1</v>
      </c>
      <c r="BT187" s="2">
        <v>1</v>
      </c>
      <c r="BU187" s="2">
        <v>1</v>
      </c>
      <c r="BV187" s="2">
        <v>1</v>
      </c>
      <c r="BW187" s="2">
        <v>1</v>
      </c>
      <c r="BX187" s="2">
        <v>1</v>
      </c>
      <c r="BY187" s="2" t="s">
        <v>30</v>
      </c>
      <c r="BZ187" s="2">
        <v>70</v>
      </c>
      <c r="CA187" s="2">
        <v>10</v>
      </c>
      <c r="CB187" s="2" t="s">
        <v>30</v>
      </c>
      <c r="CE187" s="2">
        <v>0</v>
      </c>
      <c r="CF187" s="2">
        <v>0</v>
      </c>
      <c r="CG187" s="2">
        <v>0</v>
      </c>
      <c r="CM187" s="2">
        <v>0</v>
      </c>
      <c r="CN187" s="2" t="s">
        <v>30</v>
      </c>
      <c r="CO187" s="2">
        <v>0</v>
      </c>
      <c r="CP187" s="2">
        <f t="shared" si="116"/>
        <v>2601.39</v>
      </c>
      <c r="CQ187" s="2">
        <f t="shared" si="117"/>
        <v>0</v>
      </c>
      <c r="CR187" s="2">
        <f t="shared" si="118"/>
        <v>84.22</v>
      </c>
      <c r="CS187" s="2">
        <f t="shared" si="119"/>
        <v>27.13</v>
      </c>
      <c r="CT187" s="2">
        <f t="shared" si="120"/>
        <v>0</v>
      </c>
      <c r="CU187" s="2">
        <f t="shared" si="121"/>
        <v>0</v>
      </c>
      <c r="CV187" s="2">
        <f t="shared" si="122"/>
        <v>0</v>
      </c>
      <c r="CW187" s="2">
        <f t="shared" si="123"/>
        <v>0</v>
      </c>
      <c r="CX187" s="2">
        <f t="shared" si="123"/>
        <v>0</v>
      </c>
      <c r="CY187" s="2">
        <f t="shared" si="124"/>
        <v>0</v>
      </c>
      <c r="CZ187" s="2">
        <f t="shared" si="125"/>
        <v>0</v>
      </c>
      <c r="DC187" s="2" t="s">
        <v>30</v>
      </c>
      <c r="DD187" s="2" t="s">
        <v>30</v>
      </c>
      <c r="DE187" s="2" t="s">
        <v>30</v>
      </c>
      <c r="DF187" s="2" t="s">
        <v>30</v>
      </c>
      <c r="DG187" s="2" t="s">
        <v>30</v>
      </c>
      <c r="DH187" s="2" t="s">
        <v>30</v>
      </c>
      <c r="DI187" s="2" t="s">
        <v>30</v>
      </c>
      <c r="DJ187" s="2" t="s">
        <v>30</v>
      </c>
      <c r="DK187" s="2" t="s">
        <v>30</v>
      </c>
      <c r="DL187" s="2" t="s">
        <v>30</v>
      </c>
      <c r="DM187" s="2" t="s">
        <v>30</v>
      </c>
      <c r="DN187" s="2">
        <v>0</v>
      </c>
      <c r="DO187" s="2">
        <v>0</v>
      </c>
      <c r="DP187" s="2">
        <v>1</v>
      </c>
      <c r="DQ187" s="2">
        <v>1</v>
      </c>
      <c r="DU187" s="2">
        <v>1009</v>
      </c>
      <c r="DV187" s="2" t="s">
        <v>63</v>
      </c>
      <c r="DW187" s="2" t="s">
        <v>63</v>
      </c>
      <c r="DX187" s="2">
        <v>1000</v>
      </c>
      <c r="DZ187" s="2" t="s">
        <v>30</v>
      </c>
      <c r="EA187" s="2" t="s">
        <v>30</v>
      </c>
      <c r="EB187" s="2" t="s">
        <v>30</v>
      </c>
      <c r="EC187" s="2" t="s">
        <v>30</v>
      </c>
      <c r="EE187" s="2">
        <v>49661954</v>
      </c>
      <c r="EF187" s="2">
        <v>1</v>
      </c>
      <c r="EG187" s="2" t="s">
        <v>180</v>
      </c>
      <c r="EH187" s="2">
        <v>0</v>
      </c>
      <c r="EI187" s="2" t="s">
        <v>30</v>
      </c>
      <c r="EJ187" s="2">
        <v>4</v>
      </c>
      <c r="EK187" s="2">
        <v>0</v>
      </c>
      <c r="EL187" s="2" t="s">
        <v>181</v>
      </c>
      <c r="EM187" s="2" t="s">
        <v>182</v>
      </c>
      <c r="EO187" s="2" t="s">
        <v>30</v>
      </c>
      <c r="EQ187" s="2">
        <v>0</v>
      </c>
      <c r="ER187" s="2">
        <v>84.22</v>
      </c>
      <c r="ES187" s="2">
        <v>0</v>
      </c>
      <c r="ET187" s="2">
        <v>84.22</v>
      </c>
      <c r="EU187" s="2">
        <v>27.13</v>
      </c>
      <c r="EV187" s="2">
        <v>0</v>
      </c>
      <c r="EW187" s="2">
        <v>0</v>
      </c>
      <c r="EX187" s="2">
        <v>0</v>
      </c>
      <c r="EY187" s="2">
        <v>0</v>
      </c>
      <c r="FQ187" s="2">
        <v>0</v>
      </c>
      <c r="FR187" s="2">
        <f t="shared" si="126"/>
        <v>0</v>
      </c>
      <c r="FS187" s="2">
        <v>0</v>
      </c>
      <c r="FX187" s="2">
        <v>70</v>
      </c>
      <c r="FY187" s="2">
        <v>10</v>
      </c>
      <c r="GA187" s="2" t="s">
        <v>30</v>
      </c>
      <c r="GD187" s="2">
        <v>0</v>
      </c>
      <c r="GF187" s="2">
        <v>-1248293450</v>
      </c>
      <c r="GG187" s="2">
        <v>2</v>
      </c>
      <c r="GH187" s="2">
        <v>1</v>
      </c>
      <c r="GI187" s="2">
        <v>-2</v>
      </c>
      <c r="GJ187" s="2">
        <v>0</v>
      </c>
      <c r="GK187" s="2">
        <f>ROUND(R187*(R12)/100,2)</f>
        <v>905.03</v>
      </c>
      <c r="GL187" s="2">
        <f t="shared" si="127"/>
        <v>0</v>
      </c>
      <c r="GM187" s="2">
        <f>ROUND(O187+X187+Y187+GK187,2)+GX187</f>
        <v>3506.42</v>
      </c>
      <c r="GN187" s="2">
        <f>IF(OR(BI187=0,BI187=1),ROUND(O187+X187+Y187+GK187,2),0)</f>
        <v>0</v>
      </c>
      <c r="GO187" s="2">
        <f>IF(BI187=2,ROUND(O187+X187+Y187+GK187,2),0)</f>
        <v>0</v>
      </c>
      <c r="GP187" s="2">
        <f>IF(BI187=4,ROUND(O187+X187+Y187+GK187,2)+GX187,0)</f>
        <v>3506.42</v>
      </c>
      <c r="GR187" s="2">
        <v>0</v>
      </c>
      <c r="GS187" s="2">
        <v>0</v>
      </c>
      <c r="GT187" s="2">
        <v>0</v>
      </c>
      <c r="GU187" s="2" t="s">
        <v>30</v>
      </c>
      <c r="GV187" s="2">
        <f t="shared" si="128"/>
        <v>0</v>
      </c>
      <c r="GW187" s="2">
        <v>1</v>
      </c>
      <c r="GX187" s="2">
        <f t="shared" si="129"/>
        <v>0</v>
      </c>
      <c r="HA187" s="2">
        <v>0</v>
      </c>
      <c r="HB187" s="2">
        <v>0</v>
      </c>
      <c r="HC187" s="2">
        <f t="shared" si="130"/>
        <v>0</v>
      </c>
      <c r="HE187" s="2" t="s">
        <v>30</v>
      </c>
      <c r="HF187" s="2" t="s">
        <v>30</v>
      </c>
      <c r="HM187" s="2" t="s">
        <v>30</v>
      </c>
      <c r="HN187" s="2" t="s">
        <v>30</v>
      </c>
      <c r="HO187" s="2" t="s">
        <v>30</v>
      </c>
      <c r="HP187" s="2" t="s">
        <v>30</v>
      </c>
      <c r="HQ187" s="2" t="s">
        <v>30</v>
      </c>
      <c r="IK187" s="2">
        <v>0</v>
      </c>
    </row>
    <row r="188" spans="1:245" x14ac:dyDescent="0.25">
      <c r="A188" s="2">
        <v>17</v>
      </c>
      <c r="B188" s="2">
        <v>1</v>
      </c>
      <c r="C188" s="2">
        <f>ROW('SmtRes (3)'!A59)</f>
        <v>59</v>
      </c>
      <c r="D188" s="2">
        <f>ROW('EtalonRes (3)'!A57)</f>
        <v>57</v>
      </c>
      <c r="E188" s="2" t="s">
        <v>325</v>
      </c>
      <c r="F188" s="2" t="s">
        <v>434</v>
      </c>
      <c r="G188" s="2" t="s">
        <v>435</v>
      </c>
      <c r="H188" s="2" t="s">
        <v>63</v>
      </c>
      <c r="I188" s="2">
        <v>3.4319999999999999</v>
      </c>
      <c r="J188" s="2">
        <v>0</v>
      </c>
      <c r="K188" s="2">
        <v>3.4319999999999999</v>
      </c>
      <c r="O188" s="2">
        <f t="shared" si="99"/>
        <v>602.79999999999995</v>
      </c>
      <c r="P188" s="2">
        <f t="shared" si="100"/>
        <v>0</v>
      </c>
      <c r="Q188" s="2">
        <f t="shared" si="101"/>
        <v>602.79999999999995</v>
      </c>
      <c r="R188" s="2">
        <f t="shared" si="102"/>
        <v>324.98</v>
      </c>
      <c r="S188" s="2">
        <f t="shared" si="103"/>
        <v>0</v>
      </c>
      <c r="T188" s="2">
        <f t="shared" si="104"/>
        <v>0</v>
      </c>
      <c r="U188" s="2">
        <f t="shared" si="105"/>
        <v>0</v>
      </c>
      <c r="V188" s="2">
        <f t="shared" si="106"/>
        <v>0</v>
      </c>
      <c r="W188" s="2">
        <f t="shared" si="107"/>
        <v>0</v>
      </c>
      <c r="X188" s="2">
        <f t="shared" si="108"/>
        <v>0</v>
      </c>
      <c r="Y188" s="2">
        <f t="shared" si="108"/>
        <v>0</v>
      </c>
      <c r="AA188" s="2">
        <v>52286166</v>
      </c>
      <c r="AB188" s="2">
        <f t="shared" si="109"/>
        <v>175.64</v>
      </c>
      <c r="AC188" s="2">
        <f t="shared" si="110"/>
        <v>0</v>
      </c>
      <c r="AD188" s="2">
        <f t="shared" si="111"/>
        <v>175.64</v>
      </c>
      <c r="AE188" s="2">
        <f t="shared" si="112"/>
        <v>94.69</v>
      </c>
      <c r="AF188" s="2">
        <f t="shared" si="112"/>
        <v>0</v>
      </c>
      <c r="AG188" s="2">
        <f t="shared" si="113"/>
        <v>0</v>
      </c>
      <c r="AH188" s="2">
        <f t="shared" si="114"/>
        <v>0</v>
      </c>
      <c r="AI188" s="2">
        <f t="shared" si="114"/>
        <v>0</v>
      </c>
      <c r="AJ188" s="2">
        <f t="shared" si="115"/>
        <v>0</v>
      </c>
      <c r="AK188" s="2">
        <v>175.64</v>
      </c>
      <c r="AL188" s="2">
        <v>0</v>
      </c>
      <c r="AM188" s="2">
        <v>175.64</v>
      </c>
      <c r="AN188" s="2">
        <v>94.69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1</v>
      </c>
      <c r="AW188" s="2">
        <v>1</v>
      </c>
      <c r="AZ188" s="2">
        <v>1</v>
      </c>
      <c r="BA188" s="2">
        <v>1</v>
      </c>
      <c r="BB188" s="2">
        <v>1</v>
      </c>
      <c r="BC188" s="2">
        <v>1</v>
      </c>
      <c r="BD188" s="2" t="s">
        <v>30</v>
      </c>
      <c r="BE188" s="2" t="s">
        <v>30</v>
      </c>
      <c r="BF188" s="2" t="s">
        <v>30</v>
      </c>
      <c r="BG188" s="2" t="s">
        <v>30</v>
      </c>
      <c r="BH188" s="2">
        <v>0</v>
      </c>
      <c r="BI188" s="2">
        <v>4</v>
      </c>
      <c r="BJ188" s="2" t="s">
        <v>436</v>
      </c>
      <c r="BM188" s="2">
        <v>1</v>
      </c>
      <c r="BN188" s="2">
        <v>0</v>
      </c>
      <c r="BO188" s="2" t="s">
        <v>30</v>
      </c>
      <c r="BP188" s="2">
        <v>0</v>
      </c>
      <c r="BQ188" s="2">
        <v>1</v>
      </c>
      <c r="BR188" s="2">
        <v>0</v>
      </c>
      <c r="BS188" s="2">
        <v>1</v>
      </c>
      <c r="BT188" s="2">
        <v>1</v>
      </c>
      <c r="BU188" s="2">
        <v>1</v>
      </c>
      <c r="BV188" s="2">
        <v>1</v>
      </c>
      <c r="BW188" s="2">
        <v>1</v>
      </c>
      <c r="BX188" s="2">
        <v>1</v>
      </c>
      <c r="BY188" s="2" t="s">
        <v>30</v>
      </c>
      <c r="BZ188" s="2">
        <v>0</v>
      </c>
      <c r="CA188" s="2">
        <v>0</v>
      </c>
      <c r="CB188" s="2" t="s">
        <v>30</v>
      </c>
      <c r="CE188" s="2">
        <v>0</v>
      </c>
      <c r="CF188" s="2">
        <v>0</v>
      </c>
      <c r="CG188" s="2">
        <v>0</v>
      </c>
      <c r="CM188" s="2">
        <v>0</v>
      </c>
      <c r="CN188" s="2" t="s">
        <v>30</v>
      </c>
      <c r="CO188" s="2">
        <v>0</v>
      </c>
      <c r="CP188" s="2">
        <f t="shared" si="116"/>
        <v>602.79999999999995</v>
      </c>
      <c r="CQ188" s="2">
        <f t="shared" si="117"/>
        <v>0</v>
      </c>
      <c r="CR188" s="2">
        <f t="shared" si="118"/>
        <v>175.64</v>
      </c>
      <c r="CS188" s="2">
        <f t="shared" si="119"/>
        <v>94.69</v>
      </c>
      <c r="CT188" s="2">
        <f t="shared" si="120"/>
        <v>0</v>
      </c>
      <c r="CU188" s="2">
        <f t="shared" si="121"/>
        <v>0</v>
      </c>
      <c r="CV188" s="2">
        <f t="shared" si="122"/>
        <v>0</v>
      </c>
      <c r="CW188" s="2">
        <f t="shared" si="123"/>
        <v>0</v>
      </c>
      <c r="CX188" s="2">
        <f t="shared" si="123"/>
        <v>0</v>
      </c>
      <c r="CY188" s="2">
        <f t="shared" si="124"/>
        <v>0</v>
      </c>
      <c r="CZ188" s="2">
        <f t="shared" si="125"/>
        <v>0</v>
      </c>
      <c r="DC188" s="2" t="s">
        <v>30</v>
      </c>
      <c r="DD188" s="2" t="s">
        <v>30</v>
      </c>
      <c r="DE188" s="2" t="s">
        <v>30</v>
      </c>
      <c r="DF188" s="2" t="s">
        <v>30</v>
      </c>
      <c r="DG188" s="2" t="s">
        <v>30</v>
      </c>
      <c r="DH188" s="2" t="s">
        <v>30</v>
      </c>
      <c r="DI188" s="2" t="s">
        <v>30</v>
      </c>
      <c r="DJ188" s="2" t="s">
        <v>30</v>
      </c>
      <c r="DK188" s="2" t="s">
        <v>30</v>
      </c>
      <c r="DL188" s="2" t="s">
        <v>30</v>
      </c>
      <c r="DM188" s="2" t="s">
        <v>30</v>
      </c>
      <c r="DN188" s="2">
        <v>0</v>
      </c>
      <c r="DO188" s="2">
        <v>0</v>
      </c>
      <c r="DP188" s="2">
        <v>1</v>
      </c>
      <c r="DQ188" s="2">
        <v>1</v>
      </c>
      <c r="DU188" s="2">
        <v>1009</v>
      </c>
      <c r="DV188" s="2" t="s">
        <v>63</v>
      </c>
      <c r="DW188" s="2" t="s">
        <v>63</v>
      </c>
      <c r="DX188" s="2">
        <v>1000</v>
      </c>
      <c r="DZ188" s="2" t="s">
        <v>30</v>
      </c>
      <c r="EA188" s="2" t="s">
        <v>30</v>
      </c>
      <c r="EB188" s="2" t="s">
        <v>30</v>
      </c>
      <c r="EC188" s="2" t="s">
        <v>30</v>
      </c>
      <c r="EE188" s="2">
        <v>49661956</v>
      </c>
      <c r="EF188" s="2">
        <v>1</v>
      </c>
      <c r="EG188" s="2" t="s">
        <v>180</v>
      </c>
      <c r="EH188" s="2">
        <v>0</v>
      </c>
      <c r="EI188" s="2" t="s">
        <v>30</v>
      </c>
      <c r="EJ188" s="2">
        <v>4</v>
      </c>
      <c r="EK188" s="2">
        <v>1</v>
      </c>
      <c r="EL188" s="2" t="s">
        <v>202</v>
      </c>
      <c r="EM188" s="2" t="s">
        <v>182</v>
      </c>
      <c r="EO188" s="2" t="s">
        <v>30</v>
      </c>
      <c r="EQ188" s="2">
        <v>0</v>
      </c>
      <c r="ER188" s="2">
        <v>175.64</v>
      </c>
      <c r="ES188" s="2">
        <v>0</v>
      </c>
      <c r="ET188" s="2">
        <v>175.64</v>
      </c>
      <c r="EU188" s="2">
        <v>94.69</v>
      </c>
      <c r="EV188" s="2">
        <v>0</v>
      </c>
      <c r="EW188" s="2">
        <v>0</v>
      </c>
      <c r="EX188" s="2">
        <v>0</v>
      </c>
      <c r="EY188" s="2">
        <v>0</v>
      </c>
      <c r="FQ188" s="2">
        <v>0</v>
      </c>
      <c r="FR188" s="2">
        <f t="shared" si="126"/>
        <v>0</v>
      </c>
      <c r="FS188" s="2">
        <v>0</v>
      </c>
      <c r="FX188" s="2">
        <v>0</v>
      </c>
      <c r="FY188" s="2">
        <v>0</v>
      </c>
      <c r="GA188" s="2" t="s">
        <v>30</v>
      </c>
      <c r="GD188" s="2">
        <v>1</v>
      </c>
      <c r="GF188" s="2">
        <v>-1107036201</v>
      </c>
      <c r="GG188" s="2">
        <v>2</v>
      </c>
      <c r="GH188" s="2">
        <v>1</v>
      </c>
      <c r="GI188" s="2">
        <v>-2</v>
      </c>
      <c r="GJ188" s="2">
        <v>0</v>
      </c>
      <c r="GK188" s="2">
        <v>0</v>
      </c>
      <c r="GL188" s="2">
        <f t="shared" si="127"/>
        <v>0</v>
      </c>
      <c r="GM188" s="2">
        <f>ROUND(O188+X188+Y188,2)+GX188</f>
        <v>602.79999999999995</v>
      </c>
      <c r="GN188" s="2">
        <f>IF(OR(BI188=0,BI188=1),ROUND(O188+X188+Y188,2),0)</f>
        <v>0</v>
      </c>
      <c r="GO188" s="2">
        <f>IF(BI188=2,ROUND(O188+X188+Y188,2),0)</f>
        <v>0</v>
      </c>
      <c r="GP188" s="2">
        <f>IF(BI188=4,ROUND(O188+X188+Y188,2)+GX188,0)</f>
        <v>602.79999999999995</v>
      </c>
      <c r="GR188" s="2">
        <v>0</v>
      </c>
      <c r="GS188" s="2">
        <v>0</v>
      </c>
      <c r="GT188" s="2">
        <v>0</v>
      </c>
      <c r="GU188" s="2" t="s">
        <v>30</v>
      </c>
      <c r="GV188" s="2">
        <f t="shared" si="128"/>
        <v>0</v>
      </c>
      <c r="GW188" s="2">
        <v>1</v>
      </c>
      <c r="GX188" s="2">
        <f t="shared" si="129"/>
        <v>0</v>
      </c>
      <c r="HA188" s="2">
        <v>0</v>
      </c>
      <c r="HB188" s="2">
        <v>0</v>
      </c>
      <c r="HC188" s="2">
        <f t="shared" si="130"/>
        <v>0</v>
      </c>
      <c r="HE188" s="2" t="s">
        <v>30</v>
      </c>
      <c r="HF188" s="2" t="s">
        <v>30</v>
      </c>
      <c r="HM188" s="2" t="s">
        <v>30</v>
      </c>
      <c r="HN188" s="2" t="s">
        <v>30</v>
      </c>
      <c r="HO188" s="2" t="s">
        <v>30</v>
      </c>
      <c r="HP188" s="2" t="s">
        <v>30</v>
      </c>
      <c r="HQ188" s="2" t="s">
        <v>30</v>
      </c>
      <c r="IK188" s="2">
        <v>0</v>
      </c>
    </row>
    <row r="189" spans="1:245" x14ac:dyDescent="0.25">
      <c r="A189" s="2">
        <v>17</v>
      </c>
      <c r="B189" s="2">
        <v>1</v>
      </c>
      <c r="C189" s="2">
        <f>ROW('SmtRes (3)'!A61)</f>
        <v>61</v>
      </c>
      <c r="D189" s="2">
        <f>ROW('EtalonRes (3)'!A59)</f>
        <v>59</v>
      </c>
      <c r="E189" s="2" t="s">
        <v>329</v>
      </c>
      <c r="F189" s="2" t="s">
        <v>199</v>
      </c>
      <c r="G189" s="2" t="s">
        <v>292</v>
      </c>
      <c r="H189" s="2" t="s">
        <v>63</v>
      </c>
      <c r="I189" s="2">
        <v>30.888000000000002</v>
      </c>
      <c r="J189" s="2">
        <v>0</v>
      </c>
      <c r="K189" s="2">
        <v>30.888000000000002</v>
      </c>
      <c r="O189" s="2">
        <f t="shared" si="99"/>
        <v>1890.96</v>
      </c>
      <c r="P189" s="2">
        <f t="shared" si="100"/>
        <v>0</v>
      </c>
      <c r="Q189" s="2">
        <f t="shared" si="101"/>
        <v>1890.96</v>
      </c>
      <c r="R189" s="2">
        <f t="shared" si="102"/>
        <v>1019.61</v>
      </c>
      <c r="S189" s="2">
        <f t="shared" si="103"/>
        <v>0</v>
      </c>
      <c r="T189" s="2">
        <f t="shared" si="104"/>
        <v>0</v>
      </c>
      <c r="U189" s="2">
        <f t="shared" si="105"/>
        <v>0</v>
      </c>
      <c r="V189" s="2">
        <f t="shared" si="106"/>
        <v>0</v>
      </c>
      <c r="W189" s="2">
        <f t="shared" si="107"/>
        <v>0</v>
      </c>
      <c r="X189" s="2">
        <f t="shared" si="108"/>
        <v>0</v>
      </c>
      <c r="Y189" s="2">
        <f t="shared" si="108"/>
        <v>0</v>
      </c>
      <c r="AA189" s="2">
        <v>52286166</v>
      </c>
      <c r="AB189" s="2">
        <f t="shared" si="109"/>
        <v>61.22</v>
      </c>
      <c r="AC189" s="2">
        <f t="shared" si="110"/>
        <v>0</v>
      </c>
      <c r="AD189" s="2">
        <f t="shared" si="111"/>
        <v>61.22</v>
      </c>
      <c r="AE189" s="2">
        <f t="shared" si="112"/>
        <v>33.01</v>
      </c>
      <c r="AF189" s="2">
        <f t="shared" si="112"/>
        <v>0</v>
      </c>
      <c r="AG189" s="2">
        <f t="shared" si="113"/>
        <v>0</v>
      </c>
      <c r="AH189" s="2">
        <f t="shared" si="114"/>
        <v>0</v>
      </c>
      <c r="AI189" s="2">
        <f t="shared" si="114"/>
        <v>0</v>
      </c>
      <c r="AJ189" s="2">
        <f t="shared" si="115"/>
        <v>0</v>
      </c>
      <c r="AK189" s="2">
        <v>61.22</v>
      </c>
      <c r="AL189" s="2">
        <v>0</v>
      </c>
      <c r="AM189" s="2">
        <v>61.22</v>
      </c>
      <c r="AN189" s="2">
        <v>33.01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1</v>
      </c>
      <c r="AW189" s="2">
        <v>1</v>
      </c>
      <c r="AZ189" s="2">
        <v>1</v>
      </c>
      <c r="BA189" s="2">
        <v>1</v>
      </c>
      <c r="BB189" s="2">
        <v>1</v>
      </c>
      <c r="BC189" s="2">
        <v>1</v>
      </c>
      <c r="BD189" s="2" t="s">
        <v>30</v>
      </c>
      <c r="BE189" s="2" t="s">
        <v>30</v>
      </c>
      <c r="BF189" s="2" t="s">
        <v>30</v>
      </c>
      <c r="BG189" s="2" t="s">
        <v>30</v>
      </c>
      <c r="BH189" s="2">
        <v>0</v>
      </c>
      <c r="BI189" s="2">
        <v>4</v>
      </c>
      <c r="BJ189" s="2" t="s">
        <v>201</v>
      </c>
      <c r="BM189" s="2">
        <v>1</v>
      </c>
      <c r="BN189" s="2">
        <v>0</v>
      </c>
      <c r="BO189" s="2" t="s">
        <v>30</v>
      </c>
      <c r="BP189" s="2">
        <v>0</v>
      </c>
      <c r="BQ189" s="2">
        <v>1</v>
      </c>
      <c r="BR189" s="2">
        <v>0</v>
      </c>
      <c r="BS189" s="2">
        <v>1</v>
      </c>
      <c r="BT189" s="2">
        <v>1</v>
      </c>
      <c r="BU189" s="2">
        <v>1</v>
      </c>
      <c r="BV189" s="2">
        <v>1</v>
      </c>
      <c r="BW189" s="2">
        <v>1</v>
      </c>
      <c r="BX189" s="2">
        <v>1</v>
      </c>
      <c r="BY189" s="2" t="s">
        <v>30</v>
      </c>
      <c r="BZ189" s="2">
        <v>0</v>
      </c>
      <c r="CA189" s="2">
        <v>0</v>
      </c>
      <c r="CB189" s="2" t="s">
        <v>30</v>
      </c>
      <c r="CE189" s="2">
        <v>0</v>
      </c>
      <c r="CF189" s="2">
        <v>0</v>
      </c>
      <c r="CG189" s="2">
        <v>0</v>
      </c>
      <c r="CM189" s="2">
        <v>0</v>
      </c>
      <c r="CN189" s="2" t="s">
        <v>30</v>
      </c>
      <c r="CO189" s="2">
        <v>0</v>
      </c>
      <c r="CP189" s="2">
        <f t="shared" si="116"/>
        <v>1890.96</v>
      </c>
      <c r="CQ189" s="2">
        <f t="shared" si="117"/>
        <v>0</v>
      </c>
      <c r="CR189" s="2">
        <f t="shared" si="118"/>
        <v>61.22</v>
      </c>
      <c r="CS189" s="2">
        <f t="shared" si="119"/>
        <v>33.01</v>
      </c>
      <c r="CT189" s="2">
        <f t="shared" si="120"/>
        <v>0</v>
      </c>
      <c r="CU189" s="2">
        <f t="shared" si="121"/>
        <v>0</v>
      </c>
      <c r="CV189" s="2">
        <f t="shared" si="122"/>
        <v>0</v>
      </c>
      <c r="CW189" s="2">
        <f t="shared" si="123"/>
        <v>0</v>
      </c>
      <c r="CX189" s="2">
        <f t="shared" si="123"/>
        <v>0</v>
      </c>
      <c r="CY189" s="2">
        <f t="shared" si="124"/>
        <v>0</v>
      </c>
      <c r="CZ189" s="2">
        <f t="shared" si="125"/>
        <v>0</v>
      </c>
      <c r="DC189" s="2" t="s">
        <v>30</v>
      </c>
      <c r="DD189" s="2" t="s">
        <v>30</v>
      </c>
      <c r="DE189" s="2" t="s">
        <v>30</v>
      </c>
      <c r="DF189" s="2" t="s">
        <v>30</v>
      </c>
      <c r="DG189" s="2" t="s">
        <v>30</v>
      </c>
      <c r="DH189" s="2" t="s">
        <v>30</v>
      </c>
      <c r="DI189" s="2" t="s">
        <v>30</v>
      </c>
      <c r="DJ189" s="2" t="s">
        <v>30</v>
      </c>
      <c r="DK189" s="2" t="s">
        <v>30</v>
      </c>
      <c r="DL189" s="2" t="s">
        <v>30</v>
      </c>
      <c r="DM189" s="2" t="s">
        <v>30</v>
      </c>
      <c r="DN189" s="2">
        <v>0</v>
      </c>
      <c r="DO189" s="2">
        <v>0</v>
      </c>
      <c r="DP189" s="2">
        <v>1</v>
      </c>
      <c r="DQ189" s="2">
        <v>1</v>
      </c>
      <c r="DU189" s="2">
        <v>1009</v>
      </c>
      <c r="DV189" s="2" t="s">
        <v>63</v>
      </c>
      <c r="DW189" s="2" t="s">
        <v>63</v>
      </c>
      <c r="DX189" s="2">
        <v>1000</v>
      </c>
      <c r="DZ189" s="2" t="s">
        <v>30</v>
      </c>
      <c r="EA189" s="2" t="s">
        <v>30</v>
      </c>
      <c r="EB189" s="2" t="s">
        <v>30</v>
      </c>
      <c r="EC189" s="2" t="s">
        <v>30</v>
      </c>
      <c r="EE189" s="2">
        <v>49661956</v>
      </c>
      <c r="EF189" s="2">
        <v>1</v>
      </c>
      <c r="EG189" s="2" t="s">
        <v>180</v>
      </c>
      <c r="EH189" s="2">
        <v>0</v>
      </c>
      <c r="EI189" s="2" t="s">
        <v>30</v>
      </c>
      <c r="EJ189" s="2">
        <v>4</v>
      </c>
      <c r="EK189" s="2">
        <v>1</v>
      </c>
      <c r="EL189" s="2" t="s">
        <v>202</v>
      </c>
      <c r="EM189" s="2" t="s">
        <v>182</v>
      </c>
      <c r="EO189" s="2" t="s">
        <v>30</v>
      </c>
      <c r="EQ189" s="2">
        <v>0</v>
      </c>
      <c r="ER189" s="2">
        <v>61.22</v>
      </c>
      <c r="ES189" s="2">
        <v>0</v>
      </c>
      <c r="ET189" s="2">
        <v>61.22</v>
      </c>
      <c r="EU189" s="2">
        <v>33.01</v>
      </c>
      <c r="EV189" s="2">
        <v>0</v>
      </c>
      <c r="EW189" s="2">
        <v>0</v>
      </c>
      <c r="EX189" s="2">
        <v>0</v>
      </c>
      <c r="EY189" s="2">
        <v>0</v>
      </c>
      <c r="FQ189" s="2">
        <v>0</v>
      </c>
      <c r="FR189" s="2">
        <f t="shared" si="126"/>
        <v>0</v>
      </c>
      <c r="FS189" s="2">
        <v>0</v>
      </c>
      <c r="FX189" s="2">
        <v>0</v>
      </c>
      <c r="FY189" s="2">
        <v>0</v>
      </c>
      <c r="GA189" s="2" t="s">
        <v>30</v>
      </c>
      <c r="GD189" s="2">
        <v>1</v>
      </c>
      <c r="GF189" s="2">
        <v>1602572179</v>
      </c>
      <c r="GG189" s="2">
        <v>2</v>
      </c>
      <c r="GH189" s="2">
        <v>1</v>
      </c>
      <c r="GI189" s="2">
        <v>-2</v>
      </c>
      <c r="GJ189" s="2">
        <v>0</v>
      </c>
      <c r="GK189" s="2">
        <v>0</v>
      </c>
      <c r="GL189" s="2">
        <f t="shared" si="127"/>
        <v>0</v>
      </c>
      <c r="GM189" s="2">
        <f>ROUND(O189+X189+Y189,2)+GX189</f>
        <v>1890.96</v>
      </c>
      <c r="GN189" s="2">
        <f>IF(OR(BI189=0,BI189=1),ROUND(O189+X189+Y189,2),0)</f>
        <v>0</v>
      </c>
      <c r="GO189" s="2">
        <f>IF(BI189=2,ROUND(O189+X189+Y189,2),0)</f>
        <v>0</v>
      </c>
      <c r="GP189" s="2">
        <f>IF(BI189=4,ROUND(O189+X189+Y189,2)+GX189,0)</f>
        <v>1890.96</v>
      </c>
      <c r="GR189" s="2">
        <v>0</v>
      </c>
      <c r="GS189" s="2">
        <v>0</v>
      </c>
      <c r="GT189" s="2">
        <v>0</v>
      </c>
      <c r="GU189" s="2" t="s">
        <v>30</v>
      </c>
      <c r="GV189" s="2">
        <f t="shared" si="128"/>
        <v>0</v>
      </c>
      <c r="GW189" s="2">
        <v>1</v>
      </c>
      <c r="GX189" s="2">
        <f t="shared" si="129"/>
        <v>0</v>
      </c>
      <c r="HA189" s="2">
        <v>0</v>
      </c>
      <c r="HB189" s="2">
        <v>0</v>
      </c>
      <c r="HC189" s="2">
        <f t="shared" si="130"/>
        <v>0</v>
      </c>
      <c r="HE189" s="2" t="s">
        <v>30</v>
      </c>
      <c r="HF189" s="2" t="s">
        <v>30</v>
      </c>
      <c r="HM189" s="2" t="s">
        <v>30</v>
      </c>
      <c r="HN189" s="2" t="s">
        <v>30</v>
      </c>
      <c r="HO189" s="2" t="s">
        <v>30</v>
      </c>
      <c r="HP189" s="2" t="s">
        <v>30</v>
      </c>
      <c r="HQ189" s="2" t="s">
        <v>30</v>
      </c>
      <c r="IK189" s="2">
        <v>0</v>
      </c>
    </row>
    <row r="190" spans="1:245" x14ac:dyDescent="0.25">
      <c r="A190" s="2">
        <v>17</v>
      </c>
      <c r="B190" s="2">
        <v>1</v>
      </c>
      <c r="C190" s="2">
        <f>ROW('SmtRes (3)'!A63)</f>
        <v>63</v>
      </c>
      <c r="D190" s="2">
        <f>ROW('EtalonRes (3)'!A61)</f>
        <v>61</v>
      </c>
      <c r="E190" s="2" t="s">
        <v>333</v>
      </c>
      <c r="F190" s="2" t="s">
        <v>204</v>
      </c>
      <c r="G190" s="2" t="s">
        <v>205</v>
      </c>
      <c r="H190" s="2" t="s">
        <v>63</v>
      </c>
      <c r="I190" s="2">
        <v>34.32</v>
      </c>
      <c r="J190" s="2">
        <v>0</v>
      </c>
      <c r="K190" s="2">
        <v>34.32</v>
      </c>
      <c r="O190" s="2">
        <f t="shared" si="99"/>
        <v>51736.71</v>
      </c>
      <c r="P190" s="2">
        <f t="shared" si="100"/>
        <v>0</v>
      </c>
      <c r="Q190" s="2">
        <f t="shared" si="101"/>
        <v>51736.71</v>
      </c>
      <c r="R190" s="2">
        <f t="shared" si="102"/>
        <v>27911.77</v>
      </c>
      <c r="S190" s="2">
        <f t="shared" si="103"/>
        <v>0</v>
      </c>
      <c r="T190" s="2">
        <f t="shared" si="104"/>
        <v>0</v>
      </c>
      <c r="U190" s="2">
        <f t="shared" si="105"/>
        <v>0</v>
      </c>
      <c r="V190" s="2">
        <f t="shared" si="106"/>
        <v>0</v>
      </c>
      <c r="W190" s="2">
        <f t="shared" si="107"/>
        <v>0</v>
      </c>
      <c r="X190" s="2">
        <f t="shared" si="108"/>
        <v>0</v>
      </c>
      <c r="Y190" s="2">
        <f t="shared" si="108"/>
        <v>0</v>
      </c>
      <c r="AA190" s="2">
        <v>52286166</v>
      </c>
      <c r="AB190" s="2">
        <f t="shared" si="109"/>
        <v>1507.48</v>
      </c>
      <c r="AC190" s="2">
        <f>ROUND(((ES190*52)),6)</f>
        <v>0</v>
      </c>
      <c r="AD190" s="2">
        <f>ROUND(((((ET190*52))-((EU190*52)))+AE190),6)</f>
        <v>1507.48</v>
      </c>
      <c r="AE190" s="2">
        <f>ROUND(((EU190*52)),6)</f>
        <v>813.28</v>
      </c>
      <c r="AF190" s="2">
        <f>ROUND(((EV190*52)),6)</f>
        <v>0</v>
      </c>
      <c r="AG190" s="2">
        <f t="shared" si="113"/>
        <v>0</v>
      </c>
      <c r="AH190" s="2">
        <f>((EW190*52))</f>
        <v>0</v>
      </c>
      <c r="AI190" s="2">
        <f>((EX190*52))</f>
        <v>0</v>
      </c>
      <c r="AJ190" s="2">
        <f t="shared" si="115"/>
        <v>0</v>
      </c>
      <c r="AK190" s="2">
        <v>28.99</v>
      </c>
      <c r="AL190" s="2">
        <v>0</v>
      </c>
      <c r="AM190" s="2">
        <v>28.99</v>
      </c>
      <c r="AN190" s="2">
        <v>15.64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1</v>
      </c>
      <c r="AW190" s="2">
        <v>1</v>
      </c>
      <c r="AZ190" s="2">
        <v>1</v>
      </c>
      <c r="BA190" s="2">
        <v>1</v>
      </c>
      <c r="BB190" s="2">
        <v>1</v>
      </c>
      <c r="BC190" s="2">
        <v>1</v>
      </c>
      <c r="BD190" s="2" t="s">
        <v>30</v>
      </c>
      <c r="BE190" s="2" t="s">
        <v>30</v>
      </c>
      <c r="BF190" s="2" t="s">
        <v>30</v>
      </c>
      <c r="BG190" s="2" t="s">
        <v>30</v>
      </c>
      <c r="BH190" s="2">
        <v>0</v>
      </c>
      <c r="BI190" s="2">
        <v>4</v>
      </c>
      <c r="BJ190" s="2" t="s">
        <v>206</v>
      </c>
      <c r="BM190" s="2">
        <v>1</v>
      </c>
      <c r="BN190" s="2">
        <v>0</v>
      </c>
      <c r="BO190" s="2" t="s">
        <v>30</v>
      </c>
      <c r="BP190" s="2">
        <v>0</v>
      </c>
      <c r="BQ190" s="2">
        <v>1</v>
      </c>
      <c r="BR190" s="2">
        <v>0</v>
      </c>
      <c r="BS190" s="2">
        <v>1</v>
      </c>
      <c r="BT190" s="2">
        <v>1</v>
      </c>
      <c r="BU190" s="2">
        <v>1</v>
      </c>
      <c r="BV190" s="2">
        <v>1</v>
      </c>
      <c r="BW190" s="2">
        <v>1</v>
      </c>
      <c r="BX190" s="2">
        <v>1</v>
      </c>
      <c r="BY190" s="2" t="s">
        <v>30</v>
      </c>
      <c r="BZ190" s="2">
        <v>0</v>
      </c>
      <c r="CA190" s="2">
        <v>0</v>
      </c>
      <c r="CB190" s="2" t="s">
        <v>30</v>
      </c>
      <c r="CE190" s="2">
        <v>0</v>
      </c>
      <c r="CF190" s="2">
        <v>0</v>
      </c>
      <c r="CG190" s="2">
        <v>0</v>
      </c>
      <c r="CM190" s="2">
        <v>0</v>
      </c>
      <c r="CN190" s="2" t="s">
        <v>30</v>
      </c>
      <c r="CO190" s="2">
        <v>0</v>
      </c>
      <c r="CP190" s="2">
        <f t="shared" si="116"/>
        <v>51736.71</v>
      </c>
      <c r="CQ190" s="2">
        <f t="shared" si="117"/>
        <v>0</v>
      </c>
      <c r="CR190" s="2">
        <f>(((((ET190*52))*BB190-((EU190*52))*BS190)+AE190*BS190)*AV190)</f>
        <v>1507.48</v>
      </c>
      <c r="CS190" s="2">
        <f t="shared" si="119"/>
        <v>813.28</v>
      </c>
      <c r="CT190" s="2">
        <f t="shared" si="120"/>
        <v>0</v>
      </c>
      <c r="CU190" s="2">
        <f t="shared" si="121"/>
        <v>0</v>
      </c>
      <c r="CV190" s="2">
        <f t="shared" si="122"/>
        <v>0</v>
      </c>
      <c r="CW190" s="2">
        <f t="shared" si="123"/>
        <v>0</v>
      </c>
      <c r="CX190" s="2">
        <f t="shared" si="123"/>
        <v>0</v>
      </c>
      <c r="CY190" s="2">
        <f t="shared" si="124"/>
        <v>0</v>
      </c>
      <c r="CZ190" s="2">
        <f t="shared" si="125"/>
        <v>0</v>
      </c>
      <c r="DC190" s="2" t="s">
        <v>30</v>
      </c>
      <c r="DD190" s="2" t="s">
        <v>207</v>
      </c>
      <c r="DE190" s="2" t="s">
        <v>207</v>
      </c>
      <c r="DF190" s="2" t="s">
        <v>207</v>
      </c>
      <c r="DG190" s="2" t="s">
        <v>207</v>
      </c>
      <c r="DH190" s="2" t="s">
        <v>30</v>
      </c>
      <c r="DI190" s="2" t="s">
        <v>207</v>
      </c>
      <c r="DJ190" s="2" t="s">
        <v>207</v>
      </c>
      <c r="DK190" s="2" t="s">
        <v>30</v>
      </c>
      <c r="DL190" s="2" t="s">
        <v>30</v>
      </c>
      <c r="DM190" s="2" t="s">
        <v>30</v>
      </c>
      <c r="DN190" s="2">
        <v>0</v>
      </c>
      <c r="DO190" s="2">
        <v>0</v>
      </c>
      <c r="DP190" s="2">
        <v>1</v>
      </c>
      <c r="DQ190" s="2">
        <v>1</v>
      </c>
      <c r="DU190" s="2">
        <v>1009</v>
      </c>
      <c r="DV190" s="2" t="s">
        <v>63</v>
      </c>
      <c r="DW190" s="2" t="s">
        <v>63</v>
      </c>
      <c r="DX190" s="2">
        <v>1000</v>
      </c>
      <c r="DZ190" s="2" t="s">
        <v>30</v>
      </c>
      <c r="EA190" s="2" t="s">
        <v>30</v>
      </c>
      <c r="EB190" s="2" t="s">
        <v>30</v>
      </c>
      <c r="EC190" s="2" t="s">
        <v>30</v>
      </c>
      <c r="EE190" s="2">
        <v>49661956</v>
      </c>
      <c r="EF190" s="2">
        <v>1</v>
      </c>
      <c r="EG190" s="2" t="s">
        <v>180</v>
      </c>
      <c r="EH190" s="2">
        <v>0</v>
      </c>
      <c r="EI190" s="2" t="s">
        <v>30</v>
      </c>
      <c r="EJ190" s="2">
        <v>4</v>
      </c>
      <c r="EK190" s="2">
        <v>1</v>
      </c>
      <c r="EL190" s="2" t="s">
        <v>202</v>
      </c>
      <c r="EM190" s="2" t="s">
        <v>182</v>
      </c>
      <c r="EO190" s="2" t="s">
        <v>30</v>
      </c>
      <c r="EQ190" s="2">
        <v>0</v>
      </c>
      <c r="ER190" s="2">
        <v>28.99</v>
      </c>
      <c r="ES190" s="2">
        <v>0</v>
      </c>
      <c r="ET190" s="2">
        <v>28.99</v>
      </c>
      <c r="EU190" s="2">
        <v>15.64</v>
      </c>
      <c r="EV190" s="2">
        <v>0</v>
      </c>
      <c r="EW190" s="2">
        <v>0</v>
      </c>
      <c r="EX190" s="2">
        <v>0</v>
      </c>
      <c r="EY190" s="2">
        <v>0</v>
      </c>
      <c r="FQ190" s="2">
        <v>0</v>
      </c>
      <c r="FR190" s="2">
        <f t="shared" si="126"/>
        <v>0</v>
      </c>
      <c r="FS190" s="2">
        <v>0</v>
      </c>
      <c r="FX190" s="2">
        <v>0</v>
      </c>
      <c r="FY190" s="2">
        <v>0</v>
      </c>
      <c r="GA190" s="2" t="s">
        <v>30</v>
      </c>
      <c r="GD190" s="2">
        <v>1</v>
      </c>
      <c r="GF190" s="2">
        <v>-1355325295</v>
      </c>
      <c r="GG190" s="2">
        <v>2</v>
      </c>
      <c r="GH190" s="2">
        <v>1</v>
      </c>
      <c r="GI190" s="2">
        <v>-2</v>
      </c>
      <c r="GJ190" s="2">
        <v>0</v>
      </c>
      <c r="GK190" s="2">
        <v>0</v>
      </c>
      <c r="GL190" s="2">
        <f t="shared" si="127"/>
        <v>0</v>
      </c>
      <c r="GM190" s="2">
        <f>ROUND(O190+X190+Y190,2)+GX190</f>
        <v>51736.71</v>
      </c>
      <c r="GN190" s="2">
        <f>IF(OR(BI190=0,BI190=1),ROUND(O190+X190+Y190,2),0)</f>
        <v>0</v>
      </c>
      <c r="GO190" s="2">
        <f>IF(BI190=2,ROUND(O190+X190+Y190,2),0)</f>
        <v>0</v>
      </c>
      <c r="GP190" s="2">
        <f>IF(BI190=4,ROUND(O190+X190+Y190,2)+GX190,0)</f>
        <v>51736.71</v>
      </c>
      <c r="GR190" s="2">
        <v>0</v>
      </c>
      <c r="GS190" s="2">
        <v>0</v>
      </c>
      <c r="GT190" s="2">
        <v>0</v>
      </c>
      <c r="GU190" s="2" t="s">
        <v>30</v>
      </c>
      <c r="GV190" s="2">
        <f t="shared" si="128"/>
        <v>0</v>
      </c>
      <c r="GW190" s="2">
        <v>1</v>
      </c>
      <c r="GX190" s="2">
        <f t="shared" si="129"/>
        <v>0</v>
      </c>
      <c r="HA190" s="2">
        <v>0</v>
      </c>
      <c r="HB190" s="2">
        <v>0</v>
      </c>
      <c r="HC190" s="2">
        <f t="shared" si="130"/>
        <v>0</v>
      </c>
      <c r="HE190" s="2" t="s">
        <v>30</v>
      </c>
      <c r="HF190" s="2" t="s">
        <v>30</v>
      </c>
      <c r="HM190" s="2" t="s">
        <v>30</v>
      </c>
      <c r="HN190" s="2" t="s">
        <v>30</v>
      </c>
      <c r="HO190" s="2" t="s">
        <v>30</v>
      </c>
      <c r="HP190" s="2" t="s">
        <v>30</v>
      </c>
      <c r="HQ190" s="2" t="s">
        <v>30</v>
      </c>
      <c r="IK190" s="2">
        <v>0</v>
      </c>
    </row>
    <row r="191" spans="1:245" x14ac:dyDescent="0.25">
      <c r="A191" s="2">
        <v>17</v>
      </c>
      <c r="B191" s="2">
        <v>1</v>
      </c>
      <c r="C191" s="2">
        <f>ROW('SmtRes (3)'!A66)</f>
        <v>66</v>
      </c>
      <c r="D191" s="2">
        <f>ROW('EtalonRes (3)'!A64)</f>
        <v>64</v>
      </c>
      <c r="E191" s="2" t="s">
        <v>335</v>
      </c>
      <c r="F191" s="2" t="s">
        <v>326</v>
      </c>
      <c r="G191" s="2" t="s">
        <v>437</v>
      </c>
      <c r="H191" s="2" t="s">
        <v>68</v>
      </c>
      <c r="I191" s="2">
        <f>ROUND(31.5/100,9)</f>
        <v>0.315</v>
      </c>
      <c r="J191" s="2">
        <v>0</v>
      </c>
      <c r="K191" s="2">
        <f>ROUND(31.5/100,9)</f>
        <v>0.315</v>
      </c>
      <c r="O191" s="2">
        <f t="shared" si="99"/>
        <v>3005.92</v>
      </c>
      <c r="P191" s="2">
        <f t="shared" si="100"/>
        <v>0</v>
      </c>
      <c r="Q191" s="2">
        <f t="shared" si="101"/>
        <v>2910.87</v>
      </c>
      <c r="R191" s="2">
        <f t="shared" si="102"/>
        <v>1135.75</v>
      </c>
      <c r="S191" s="2">
        <f t="shared" si="103"/>
        <v>95.05</v>
      </c>
      <c r="T191" s="2">
        <f t="shared" si="104"/>
        <v>0</v>
      </c>
      <c r="U191" s="2">
        <f t="shared" si="105"/>
        <v>0.50085000000000002</v>
      </c>
      <c r="V191" s="2">
        <f t="shared" si="106"/>
        <v>0</v>
      </c>
      <c r="W191" s="2">
        <f t="shared" si="107"/>
        <v>0</v>
      </c>
      <c r="X191" s="2">
        <f t="shared" si="108"/>
        <v>66.540000000000006</v>
      </c>
      <c r="Y191" s="2">
        <f t="shared" si="108"/>
        <v>9.51</v>
      </c>
      <c r="AA191" s="2">
        <v>52286166</v>
      </c>
      <c r="AB191" s="2">
        <f t="shared" si="109"/>
        <v>9542.6200000000008</v>
      </c>
      <c r="AC191" s="2">
        <f>ROUND((ES191),6)</f>
        <v>0</v>
      </c>
      <c r="AD191" s="2">
        <f>ROUND((((ET191)-(EU191))+AE191),6)</f>
        <v>9240.8700000000008</v>
      </c>
      <c r="AE191" s="2">
        <f t="shared" ref="AE191:AF195" si="131">ROUND((EU191),6)</f>
        <v>3605.56</v>
      </c>
      <c r="AF191" s="2">
        <f t="shared" si="131"/>
        <v>301.75</v>
      </c>
      <c r="AG191" s="2">
        <f t="shared" si="113"/>
        <v>0</v>
      </c>
      <c r="AH191" s="2">
        <f t="shared" ref="AH191:AI195" si="132">(EW191)</f>
        <v>1.59</v>
      </c>
      <c r="AI191" s="2">
        <f t="shared" si="132"/>
        <v>0</v>
      </c>
      <c r="AJ191" s="2">
        <f t="shared" si="115"/>
        <v>0</v>
      </c>
      <c r="AK191" s="2">
        <v>9542.6200000000008</v>
      </c>
      <c r="AL191" s="2">
        <v>0</v>
      </c>
      <c r="AM191" s="2">
        <v>9240.8700000000008</v>
      </c>
      <c r="AN191" s="2">
        <v>3605.56</v>
      </c>
      <c r="AO191" s="2">
        <v>301.75</v>
      </c>
      <c r="AP191" s="2">
        <v>0</v>
      </c>
      <c r="AQ191" s="2">
        <v>1.59</v>
      </c>
      <c r="AR191" s="2">
        <v>0</v>
      </c>
      <c r="AS191" s="2">
        <v>0</v>
      </c>
      <c r="AT191" s="2">
        <v>70</v>
      </c>
      <c r="AU191" s="2">
        <v>10</v>
      </c>
      <c r="AV191" s="2">
        <v>1</v>
      </c>
      <c r="AW191" s="2">
        <v>1</v>
      </c>
      <c r="AZ191" s="2">
        <v>1</v>
      </c>
      <c r="BA191" s="2">
        <v>1</v>
      </c>
      <c r="BB191" s="2">
        <v>1</v>
      </c>
      <c r="BC191" s="2">
        <v>1</v>
      </c>
      <c r="BD191" s="2" t="s">
        <v>30</v>
      </c>
      <c r="BE191" s="2" t="s">
        <v>30</v>
      </c>
      <c r="BF191" s="2" t="s">
        <v>30</v>
      </c>
      <c r="BG191" s="2" t="s">
        <v>30</v>
      </c>
      <c r="BH191" s="2">
        <v>0</v>
      </c>
      <c r="BI191" s="2">
        <v>4</v>
      </c>
      <c r="BJ191" s="2" t="s">
        <v>328</v>
      </c>
      <c r="BM191" s="2">
        <v>0</v>
      </c>
      <c r="BN191" s="2">
        <v>0</v>
      </c>
      <c r="BO191" s="2" t="s">
        <v>30</v>
      </c>
      <c r="BP191" s="2">
        <v>0</v>
      </c>
      <c r="BQ191" s="2">
        <v>1</v>
      </c>
      <c r="BR191" s="2">
        <v>0</v>
      </c>
      <c r="BS191" s="2">
        <v>1</v>
      </c>
      <c r="BT191" s="2">
        <v>1</v>
      </c>
      <c r="BU191" s="2">
        <v>1</v>
      </c>
      <c r="BV191" s="2">
        <v>1</v>
      </c>
      <c r="BW191" s="2">
        <v>1</v>
      </c>
      <c r="BX191" s="2">
        <v>1</v>
      </c>
      <c r="BY191" s="2" t="s">
        <v>30</v>
      </c>
      <c r="BZ191" s="2">
        <v>70</v>
      </c>
      <c r="CA191" s="2">
        <v>10</v>
      </c>
      <c r="CB191" s="2" t="s">
        <v>30</v>
      </c>
      <c r="CE191" s="2">
        <v>0</v>
      </c>
      <c r="CF191" s="2">
        <v>0</v>
      </c>
      <c r="CG191" s="2">
        <v>0</v>
      </c>
      <c r="CM191" s="2">
        <v>0</v>
      </c>
      <c r="CN191" s="2" t="s">
        <v>30</v>
      </c>
      <c r="CO191" s="2">
        <v>0</v>
      </c>
      <c r="CP191" s="2">
        <f t="shared" si="116"/>
        <v>3005.92</v>
      </c>
      <c r="CQ191" s="2">
        <f t="shared" si="117"/>
        <v>0</v>
      </c>
      <c r="CR191" s="2">
        <f>((((ET191)*BB191-(EU191)*BS191)+AE191*BS191)*AV191)</f>
        <v>9240.8700000000008</v>
      </c>
      <c r="CS191" s="2">
        <f t="shared" si="119"/>
        <v>3605.56</v>
      </c>
      <c r="CT191" s="2">
        <f t="shared" si="120"/>
        <v>301.75</v>
      </c>
      <c r="CU191" s="2">
        <f t="shared" si="121"/>
        <v>0</v>
      </c>
      <c r="CV191" s="2">
        <f t="shared" si="122"/>
        <v>1.59</v>
      </c>
      <c r="CW191" s="2">
        <f t="shared" si="123"/>
        <v>0</v>
      </c>
      <c r="CX191" s="2">
        <f t="shared" si="123"/>
        <v>0</v>
      </c>
      <c r="CY191" s="2">
        <f t="shared" si="124"/>
        <v>66.534999999999997</v>
      </c>
      <c r="CZ191" s="2">
        <f t="shared" si="125"/>
        <v>9.5050000000000008</v>
      </c>
      <c r="DC191" s="2" t="s">
        <v>30</v>
      </c>
      <c r="DD191" s="2" t="s">
        <v>30</v>
      </c>
      <c r="DE191" s="2" t="s">
        <v>30</v>
      </c>
      <c r="DF191" s="2" t="s">
        <v>30</v>
      </c>
      <c r="DG191" s="2" t="s">
        <v>30</v>
      </c>
      <c r="DH191" s="2" t="s">
        <v>30</v>
      </c>
      <c r="DI191" s="2" t="s">
        <v>30</v>
      </c>
      <c r="DJ191" s="2" t="s">
        <v>30</v>
      </c>
      <c r="DK191" s="2" t="s">
        <v>30</v>
      </c>
      <c r="DL191" s="2" t="s">
        <v>30</v>
      </c>
      <c r="DM191" s="2" t="s">
        <v>30</v>
      </c>
      <c r="DN191" s="2">
        <v>0</v>
      </c>
      <c r="DO191" s="2">
        <v>0</v>
      </c>
      <c r="DP191" s="2">
        <v>1</v>
      </c>
      <c r="DQ191" s="2">
        <v>1</v>
      </c>
      <c r="DU191" s="2">
        <v>1007</v>
      </c>
      <c r="DV191" s="2" t="s">
        <v>68</v>
      </c>
      <c r="DW191" s="2" t="s">
        <v>68</v>
      </c>
      <c r="DX191" s="2">
        <v>100</v>
      </c>
      <c r="DZ191" s="2" t="s">
        <v>30</v>
      </c>
      <c r="EA191" s="2" t="s">
        <v>30</v>
      </c>
      <c r="EB191" s="2" t="s">
        <v>30</v>
      </c>
      <c r="EC191" s="2" t="s">
        <v>30</v>
      </c>
      <c r="EE191" s="2">
        <v>49661954</v>
      </c>
      <c r="EF191" s="2">
        <v>1</v>
      </c>
      <c r="EG191" s="2" t="s">
        <v>180</v>
      </c>
      <c r="EH191" s="2">
        <v>0</v>
      </c>
      <c r="EI191" s="2" t="s">
        <v>30</v>
      </c>
      <c r="EJ191" s="2">
        <v>4</v>
      </c>
      <c r="EK191" s="2">
        <v>0</v>
      </c>
      <c r="EL191" s="2" t="s">
        <v>181</v>
      </c>
      <c r="EM191" s="2" t="s">
        <v>182</v>
      </c>
      <c r="EO191" s="2" t="s">
        <v>30</v>
      </c>
      <c r="EQ191" s="2">
        <v>0</v>
      </c>
      <c r="ER191" s="2">
        <v>9542.6200000000008</v>
      </c>
      <c r="ES191" s="2">
        <v>0</v>
      </c>
      <c r="ET191" s="2">
        <v>9240.8700000000008</v>
      </c>
      <c r="EU191" s="2">
        <v>3605.56</v>
      </c>
      <c r="EV191" s="2">
        <v>301.75</v>
      </c>
      <c r="EW191" s="2">
        <v>1.59</v>
      </c>
      <c r="EX191" s="2">
        <v>0</v>
      </c>
      <c r="EY191" s="2">
        <v>0</v>
      </c>
      <c r="FQ191" s="2">
        <v>0</v>
      </c>
      <c r="FR191" s="2">
        <f t="shared" si="126"/>
        <v>0</v>
      </c>
      <c r="FS191" s="2">
        <v>0</v>
      </c>
      <c r="FX191" s="2">
        <v>70</v>
      </c>
      <c r="FY191" s="2">
        <v>10</v>
      </c>
      <c r="GA191" s="2" t="s">
        <v>30</v>
      </c>
      <c r="GD191" s="2">
        <v>0</v>
      </c>
      <c r="GF191" s="2">
        <v>-95263227</v>
      </c>
      <c r="GG191" s="2">
        <v>2</v>
      </c>
      <c r="GH191" s="2">
        <v>1</v>
      </c>
      <c r="GI191" s="2">
        <v>-2</v>
      </c>
      <c r="GJ191" s="2">
        <v>0</v>
      </c>
      <c r="GK191" s="2">
        <f>ROUND(R191*(R12)/100,2)</f>
        <v>1226.6099999999999</v>
      </c>
      <c r="GL191" s="2">
        <f t="shared" si="127"/>
        <v>0</v>
      </c>
      <c r="GM191" s="2">
        <f>ROUND(O191+X191+Y191+GK191,2)+GX191</f>
        <v>4308.58</v>
      </c>
      <c r="GN191" s="2">
        <f>IF(OR(BI191=0,BI191=1),ROUND(O191+X191+Y191+GK191,2),0)</f>
        <v>0</v>
      </c>
      <c r="GO191" s="2">
        <f>IF(BI191=2,ROUND(O191+X191+Y191+GK191,2),0)</f>
        <v>0</v>
      </c>
      <c r="GP191" s="2">
        <f>IF(BI191=4,ROUND(O191+X191+Y191+GK191,2)+GX191,0)</f>
        <v>4308.58</v>
      </c>
      <c r="GR191" s="2">
        <v>0</v>
      </c>
      <c r="GS191" s="2">
        <v>0</v>
      </c>
      <c r="GT191" s="2">
        <v>0</v>
      </c>
      <c r="GU191" s="2" t="s">
        <v>30</v>
      </c>
      <c r="GV191" s="2">
        <f t="shared" si="128"/>
        <v>0</v>
      </c>
      <c r="GW191" s="2">
        <v>1</v>
      </c>
      <c r="GX191" s="2">
        <f t="shared" si="129"/>
        <v>0</v>
      </c>
      <c r="HA191" s="2">
        <v>0</v>
      </c>
      <c r="HB191" s="2">
        <v>0</v>
      </c>
      <c r="HC191" s="2">
        <f t="shared" si="130"/>
        <v>0</v>
      </c>
      <c r="HE191" s="2" t="s">
        <v>30</v>
      </c>
      <c r="HF191" s="2" t="s">
        <v>30</v>
      </c>
      <c r="HM191" s="2" t="s">
        <v>30</v>
      </c>
      <c r="HN191" s="2" t="s">
        <v>30</v>
      </c>
      <c r="HO191" s="2" t="s">
        <v>30</v>
      </c>
      <c r="HP191" s="2" t="s">
        <v>30</v>
      </c>
      <c r="HQ191" s="2" t="s">
        <v>30</v>
      </c>
      <c r="IK191" s="2">
        <v>0</v>
      </c>
    </row>
    <row r="192" spans="1:245" x14ac:dyDescent="0.25">
      <c r="A192" s="2">
        <v>17</v>
      </c>
      <c r="B192" s="2">
        <v>1</v>
      </c>
      <c r="C192" s="2">
        <f>ROW('SmtRes (3)'!A67)</f>
        <v>67</v>
      </c>
      <c r="D192" s="2">
        <f>ROW('EtalonRes (3)'!A65)</f>
        <v>65</v>
      </c>
      <c r="E192" s="2" t="s">
        <v>339</v>
      </c>
      <c r="F192" s="2" t="s">
        <v>330</v>
      </c>
      <c r="G192" s="2" t="s">
        <v>438</v>
      </c>
      <c r="H192" s="2" t="s">
        <v>68</v>
      </c>
      <c r="I192" s="2">
        <f>ROUND(3.5/100,9)</f>
        <v>3.5000000000000003E-2</v>
      </c>
      <c r="J192" s="2">
        <v>0</v>
      </c>
      <c r="K192" s="2">
        <f>ROUND(3.5/100,9)</f>
        <v>3.5000000000000003E-2</v>
      </c>
      <c r="O192" s="2">
        <f t="shared" si="99"/>
        <v>1541.74</v>
      </c>
      <c r="P192" s="2">
        <f t="shared" si="100"/>
        <v>0</v>
      </c>
      <c r="Q192" s="2">
        <f t="shared" si="101"/>
        <v>0</v>
      </c>
      <c r="R192" s="2">
        <f t="shared" si="102"/>
        <v>0</v>
      </c>
      <c r="S192" s="2">
        <f t="shared" si="103"/>
        <v>1541.74</v>
      </c>
      <c r="T192" s="2">
        <f t="shared" si="104"/>
        <v>0</v>
      </c>
      <c r="U192" s="2">
        <f t="shared" si="105"/>
        <v>7.7560000000000002</v>
      </c>
      <c r="V192" s="2">
        <f t="shared" si="106"/>
        <v>0</v>
      </c>
      <c r="W192" s="2">
        <f t="shared" si="107"/>
        <v>0</v>
      </c>
      <c r="X192" s="2">
        <f t="shared" si="108"/>
        <v>1079.22</v>
      </c>
      <c r="Y192" s="2">
        <f t="shared" si="108"/>
        <v>154.16999999999999</v>
      </c>
      <c r="AA192" s="2">
        <v>52286166</v>
      </c>
      <c r="AB192" s="2">
        <f t="shared" si="109"/>
        <v>44049.65</v>
      </c>
      <c r="AC192" s="2">
        <f>ROUND((ES192),6)</f>
        <v>0</v>
      </c>
      <c r="AD192" s="2">
        <f>ROUND((((ET192)-(EU192))+AE192),6)</f>
        <v>0</v>
      </c>
      <c r="AE192" s="2">
        <f t="shared" si="131"/>
        <v>0</v>
      </c>
      <c r="AF192" s="2">
        <f t="shared" si="131"/>
        <v>44049.65</v>
      </c>
      <c r="AG192" s="2">
        <f t="shared" si="113"/>
        <v>0</v>
      </c>
      <c r="AH192" s="2">
        <f t="shared" si="132"/>
        <v>221.6</v>
      </c>
      <c r="AI192" s="2">
        <f t="shared" si="132"/>
        <v>0</v>
      </c>
      <c r="AJ192" s="2">
        <f t="shared" si="115"/>
        <v>0</v>
      </c>
      <c r="AK192" s="2">
        <v>44049.65</v>
      </c>
      <c r="AL192" s="2">
        <v>0</v>
      </c>
      <c r="AM192" s="2">
        <v>0</v>
      </c>
      <c r="AN192" s="2">
        <v>0</v>
      </c>
      <c r="AO192" s="2">
        <v>44049.65</v>
      </c>
      <c r="AP192" s="2">
        <v>0</v>
      </c>
      <c r="AQ192" s="2">
        <v>221.6</v>
      </c>
      <c r="AR192" s="2">
        <v>0</v>
      </c>
      <c r="AS192" s="2">
        <v>0</v>
      </c>
      <c r="AT192" s="2">
        <v>70</v>
      </c>
      <c r="AU192" s="2">
        <v>10</v>
      </c>
      <c r="AV192" s="2">
        <v>1</v>
      </c>
      <c r="AW192" s="2">
        <v>1</v>
      </c>
      <c r="AZ192" s="2">
        <v>1</v>
      </c>
      <c r="BA192" s="2">
        <v>1</v>
      </c>
      <c r="BB192" s="2">
        <v>1</v>
      </c>
      <c r="BC192" s="2">
        <v>1</v>
      </c>
      <c r="BD192" s="2" t="s">
        <v>30</v>
      </c>
      <c r="BE192" s="2" t="s">
        <v>30</v>
      </c>
      <c r="BF192" s="2" t="s">
        <v>30</v>
      </c>
      <c r="BG192" s="2" t="s">
        <v>30</v>
      </c>
      <c r="BH192" s="2">
        <v>0</v>
      </c>
      <c r="BI192" s="2">
        <v>4</v>
      </c>
      <c r="BJ192" s="2" t="s">
        <v>332</v>
      </c>
      <c r="BM192" s="2">
        <v>0</v>
      </c>
      <c r="BN192" s="2">
        <v>0</v>
      </c>
      <c r="BO192" s="2" t="s">
        <v>30</v>
      </c>
      <c r="BP192" s="2">
        <v>0</v>
      </c>
      <c r="BQ192" s="2">
        <v>1</v>
      </c>
      <c r="BR192" s="2">
        <v>0</v>
      </c>
      <c r="BS192" s="2">
        <v>1</v>
      </c>
      <c r="BT192" s="2">
        <v>1</v>
      </c>
      <c r="BU192" s="2">
        <v>1</v>
      </c>
      <c r="BV192" s="2">
        <v>1</v>
      </c>
      <c r="BW192" s="2">
        <v>1</v>
      </c>
      <c r="BX192" s="2">
        <v>1</v>
      </c>
      <c r="BY192" s="2" t="s">
        <v>30</v>
      </c>
      <c r="BZ192" s="2">
        <v>70</v>
      </c>
      <c r="CA192" s="2">
        <v>10</v>
      </c>
      <c r="CB192" s="2" t="s">
        <v>30</v>
      </c>
      <c r="CE192" s="2">
        <v>0</v>
      </c>
      <c r="CF192" s="2">
        <v>0</v>
      </c>
      <c r="CG192" s="2">
        <v>0</v>
      </c>
      <c r="CM192" s="2">
        <v>0</v>
      </c>
      <c r="CN192" s="2" t="s">
        <v>30</v>
      </c>
      <c r="CO192" s="2">
        <v>0</v>
      </c>
      <c r="CP192" s="2">
        <f t="shared" si="116"/>
        <v>1541.74</v>
      </c>
      <c r="CQ192" s="2">
        <f t="shared" si="117"/>
        <v>0</v>
      </c>
      <c r="CR192" s="2">
        <f>((((ET192)*BB192-(EU192)*BS192)+AE192*BS192)*AV192)</f>
        <v>0</v>
      </c>
      <c r="CS192" s="2">
        <f t="shared" si="119"/>
        <v>0</v>
      </c>
      <c r="CT192" s="2">
        <f t="shared" si="120"/>
        <v>44049.65</v>
      </c>
      <c r="CU192" s="2">
        <f t="shared" si="121"/>
        <v>0</v>
      </c>
      <c r="CV192" s="2">
        <f t="shared" si="122"/>
        <v>221.6</v>
      </c>
      <c r="CW192" s="2">
        <f t="shared" si="123"/>
        <v>0</v>
      </c>
      <c r="CX192" s="2">
        <f t="shared" si="123"/>
        <v>0</v>
      </c>
      <c r="CY192" s="2">
        <f t="shared" si="124"/>
        <v>1079.2180000000001</v>
      </c>
      <c r="CZ192" s="2">
        <f t="shared" si="125"/>
        <v>154.17400000000001</v>
      </c>
      <c r="DC192" s="2" t="s">
        <v>30</v>
      </c>
      <c r="DD192" s="2" t="s">
        <v>30</v>
      </c>
      <c r="DE192" s="2" t="s">
        <v>30</v>
      </c>
      <c r="DF192" s="2" t="s">
        <v>30</v>
      </c>
      <c r="DG192" s="2" t="s">
        <v>30</v>
      </c>
      <c r="DH192" s="2" t="s">
        <v>30</v>
      </c>
      <c r="DI192" s="2" t="s">
        <v>30</v>
      </c>
      <c r="DJ192" s="2" t="s">
        <v>30</v>
      </c>
      <c r="DK192" s="2" t="s">
        <v>30</v>
      </c>
      <c r="DL192" s="2" t="s">
        <v>30</v>
      </c>
      <c r="DM192" s="2" t="s">
        <v>30</v>
      </c>
      <c r="DN192" s="2">
        <v>0</v>
      </c>
      <c r="DO192" s="2">
        <v>0</v>
      </c>
      <c r="DP192" s="2">
        <v>1</v>
      </c>
      <c r="DQ192" s="2">
        <v>1</v>
      </c>
      <c r="DU192" s="2">
        <v>1007</v>
      </c>
      <c r="DV192" s="2" t="s">
        <v>68</v>
      </c>
      <c r="DW192" s="2" t="s">
        <v>68</v>
      </c>
      <c r="DX192" s="2">
        <v>100</v>
      </c>
      <c r="DZ192" s="2" t="s">
        <v>30</v>
      </c>
      <c r="EA192" s="2" t="s">
        <v>30</v>
      </c>
      <c r="EB192" s="2" t="s">
        <v>30</v>
      </c>
      <c r="EC192" s="2" t="s">
        <v>30</v>
      </c>
      <c r="EE192" s="2">
        <v>49661954</v>
      </c>
      <c r="EF192" s="2">
        <v>1</v>
      </c>
      <c r="EG192" s="2" t="s">
        <v>180</v>
      </c>
      <c r="EH192" s="2">
        <v>0</v>
      </c>
      <c r="EI192" s="2" t="s">
        <v>30</v>
      </c>
      <c r="EJ192" s="2">
        <v>4</v>
      </c>
      <c r="EK192" s="2">
        <v>0</v>
      </c>
      <c r="EL192" s="2" t="s">
        <v>181</v>
      </c>
      <c r="EM192" s="2" t="s">
        <v>182</v>
      </c>
      <c r="EO192" s="2" t="s">
        <v>30</v>
      </c>
      <c r="EQ192" s="2">
        <v>0</v>
      </c>
      <c r="ER192" s="2">
        <v>44049.65</v>
      </c>
      <c r="ES192" s="2">
        <v>0</v>
      </c>
      <c r="ET192" s="2">
        <v>0</v>
      </c>
      <c r="EU192" s="2">
        <v>0</v>
      </c>
      <c r="EV192" s="2">
        <v>44049.65</v>
      </c>
      <c r="EW192" s="2">
        <v>221.6</v>
      </c>
      <c r="EX192" s="2">
        <v>0</v>
      </c>
      <c r="EY192" s="2">
        <v>0</v>
      </c>
      <c r="FQ192" s="2">
        <v>0</v>
      </c>
      <c r="FR192" s="2">
        <f t="shared" si="126"/>
        <v>0</v>
      </c>
      <c r="FS192" s="2">
        <v>0</v>
      </c>
      <c r="FX192" s="2">
        <v>70</v>
      </c>
      <c r="FY192" s="2">
        <v>10</v>
      </c>
      <c r="GA192" s="2" t="s">
        <v>30</v>
      </c>
      <c r="GD192" s="2">
        <v>0</v>
      </c>
      <c r="GF192" s="2">
        <v>-1184340895</v>
      </c>
      <c r="GG192" s="2">
        <v>2</v>
      </c>
      <c r="GH192" s="2">
        <v>1</v>
      </c>
      <c r="GI192" s="2">
        <v>-2</v>
      </c>
      <c r="GJ192" s="2">
        <v>0</v>
      </c>
      <c r="GK192" s="2">
        <f>ROUND(R192*(R12)/100,2)</f>
        <v>0</v>
      </c>
      <c r="GL192" s="2">
        <f t="shared" si="127"/>
        <v>0</v>
      </c>
      <c r="GM192" s="2">
        <f>ROUND(O192+X192+Y192+GK192,2)+GX192</f>
        <v>2775.13</v>
      </c>
      <c r="GN192" s="2">
        <f>IF(OR(BI192=0,BI192=1),ROUND(O192+X192+Y192+GK192,2),0)</f>
        <v>0</v>
      </c>
      <c r="GO192" s="2">
        <f>IF(BI192=2,ROUND(O192+X192+Y192+GK192,2),0)</f>
        <v>0</v>
      </c>
      <c r="GP192" s="2">
        <f>IF(BI192=4,ROUND(O192+X192+Y192+GK192,2)+GX192,0)</f>
        <v>2775.13</v>
      </c>
      <c r="GR192" s="2">
        <v>0</v>
      </c>
      <c r="GS192" s="2">
        <v>0</v>
      </c>
      <c r="GT192" s="2">
        <v>0</v>
      </c>
      <c r="GU192" s="2" t="s">
        <v>30</v>
      </c>
      <c r="GV192" s="2">
        <f t="shared" si="128"/>
        <v>0</v>
      </c>
      <c r="GW192" s="2">
        <v>1</v>
      </c>
      <c r="GX192" s="2">
        <f t="shared" si="129"/>
        <v>0</v>
      </c>
      <c r="HA192" s="2">
        <v>0</v>
      </c>
      <c r="HB192" s="2">
        <v>0</v>
      </c>
      <c r="HC192" s="2">
        <f t="shared" si="130"/>
        <v>0</v>
      </c>
      <c r="HE192" s="2" t="s">
        <v>30</v>
      </c>
      <c r="HF192" s="2" t="s">
        <v>30</v>
      </c>
      <c r="HM192" s="2" t="s">
        <v>30</v>
      </c>
      <c r="HN192" s="2" t="s">
        <v>30</v>
      </c>
      <c r="HO192" s="2" t="s">
        <v>30</v>
      </c>
      <c r="HP192" s="2" t="s">
        <v>30</v>
      </c>
      <c r="HQ192" s="2" t="s">
        <v>30</v>
      </c>
      <c r="IK192" s="2">
        <v>0</v>
      </c>
    </row>
    <row r="193" spans="1:245" x14ac:dyDescent="0.25">
      <c r="A193" s="2">
        <v>17</v>
      </c>
      <c r="B193" s="2">
        <v>1</v>
      </c>
      <c r="C193" s="2">
        <f>ROW('SmtRes (3)'!A70)</f>
        <v>70</v>
      </c>
      <c r="D193" s="2">
        <f>ROW('EtalonRes (3)'!A68)</f>
        <v>68</v>
      </c>
      <c r="E193" s="2" t="s">
        <v>343</v>
      </c>
      <c r="F193" s="2" t="s">
        <v>326</v>
      </c>
      <c r="G193" s="2" t="s">
        <v>439</v>
      </c>
      <c r="H193" s="2" t="s">
        <v>68</v>
      </c>
      <c r="I193" s="2">
        <f>ROUND(3.15/100,9)</f>
        <v>3.15E-2</v>
      </c>
      <c r="J193" s="2">
        <v>0</v>
      </c>
      <c r="K193" s="2">
        <f>ROUND(3.15/100,9)</f>
        <v>3.15E-2</v>
      </c>
      <c r="O193" s="2">
        <f t="shared" si="99"/>
        <v>300.60000000000002</v>
      </c>
      <c r="P193" s="2">
        <f t="shared" si="100"/>
        <v>0</v>
      </c>
      <c r="Q193" s="2">
        <f t="shared" si="101"/>
        <v>291.08999999999997</v>
      </c>
      <c r="R193" s="2">
        <f t="shared" si="102"/>
        <v>113.58</v>
      </c>
      <c r="S193" s="2">
        <f t="shared" si="103"/>
        <v>9.51</v>
      </c>
      <c r="T193" s="2">
        <f t="shared" si="104"/>
        <v>0</v>
      </c>
      <c r="U193" s="2">
        <f t="shared" si="105"/>
        <v>5.0084999999999998E-2</v>
      </c>
      <c r="V193" s="2">
        <f t="shared" si="106"/>
        <v>0</v>
      </c>
      <c r="W193" s="2">
        <f t="shared" si="107"/>
        <v>0</v>
      </c>
      <c r="X193" s="2">
        <f t="shared" si="108"/>
        <v>6.66</v>
      </c>
      <c r="Y193" s="2">
        <f t="shared" si="108"/>
        <v>0.95</v>
      </c>
      <c r="AA193" s="2">
        <v>52286166</v>
      </c>
      <c r="AB193" s="2">
        <f t="shared" si="109"/>
        <v>9542.6200000000008</v>
      </c>
      <c r="AC193" s="2">
        <f>ROUND((ES193),6)</f>
        <v>0</v>
      </c>
      <c r="AD193" s="2">
        <f>ROUND((((ET193)-(EU193))+AE193),6)</f>
        <v>9240.8700000000008</v>
      </c>
      <c r="AE193" s="2">
        <f t="shared" si="131"/>
        <v>3605.56</v>
      </c>
      <c r="AF193" s="2">
        <f t="shared" si="131"/>
        <v>301.75</v>
      </c>
      <c r="AG193" s="2">
        <f t="shared" si="113"/>
        <v>0</v>
      </c>
      <c r="AH193" s="2">
        <f t="shared" si="132"/>
        <v>1.59</v>
      </c>
      <c r="AI193" s="2">
        <f t="shared" si="132"/>
        <v>0</v>
      </c>
      <c r="AJ193" s="2">
        <f t="shared" si="115"/>
        <v>0</v>
      </c>
      <c r="AK193" s="2">
        <v>9542.6200000000008</v>
      </c>
      <c r="AL193" s="2">
        <v>0</v>
      </c>
      <c r="AM193" s="2">
        <v>9240.8700000000008</v>
      </c>
      <c r="AN193" s="2">
        <v>3605.56</v>
      </c>
      <c r="AO193" s="2">
        <v>301.75</v>
      </c>
      <c r="AP193" s="2">
        <v>0</v>
      </c>
      <c r="AQ193" s="2">
        <v>1.59</v>
      </c>
      <c r="AR193" s="2">
        <v>0</v>
      </c>
      <c r="AS193" s="2">
        <v>0</v>
      </c>
      <c r="AT193" s="2">
        <v>70</v>
      </c>
      <c r="AU193" s="2">
        <v>10</v>
      </c>
      <c r="AV193" s="2">
        <v>1</v>
      </c>
      <c r="AW193" s="2">
        <v>1</v>
      </c>
      <c r="AZ193" s="2">
        <v>1</v>
      </c>
      <c r="BA193" s="2">
        <v>1</v>
      </c>
      <c r="BB193" s="2">
        <v>1</v>
      </c>
      <c r="BC193" s="2">
        <v>1</v>
      </c>
      <c r="BD193" s="2" t="s">
        <v>30</v>
      </c>
      <c r="BE193" s="2" t="s">
        <v>30</v>
      </c>
      <c r="BF193" s="2" t="s">
        <v>30</v>
      </c>
      <c r="BG193" s="2" t="s">
        <v>30</v>
      </c>
      <c r="BH193" s="2">
        <v>0</v>
      </c>
      <c r="BI193" s="2">
        <v>4</v>
      </c>
      <c r="BJ193" s="2" t="s">
        <v>328</v>
      </c>
      <c r="BM193" s="2">
        <v>0</v>
      </c>
      <c r="BN193" s="2">
        <v>0</v>
      </c>
      <c r="BO193" s="2" t="s">
        <v>30</v>
      </c>
      <c r="BP193" s="2">
        <v>0</v>
      </c>
      <c r="BQ193" s="2">
        <v>1</v>
      </c>
      <c r="BR193" s="2">
        <v>0</v>
      </c>
      <c r="BS193" s="2">
        <v>1</v>
      </c>
      <c r="BT193" s="2">
        <v>1</v>
      </c>
      <c r="BU193" s="2">
        <v>1</v>
      </c>
      <c r="BV193" s="2">
        <v>1</v>
      </c>
      <c r="BW193" s="2">
        <v>1</v>
      </c>
      <c r="BX193" s="2">
        <v>1</v>
      </c>
      <c r="BY193" s="2" t="s">
        <v>30</v>
      </c>
      <c r="BZ193" s="2">
        <v>70</v>
      </c>
      <c r="CA193" s="2">
        <v>10</v>
      </c>
      <c r="CB193" s="2" t="s">
        <v>30</v>
      </c>
      <c r="CE193" s="2">
        <v>0</v>
      </c>
      <c r="CF193" s="2">
        <v>0</v>
      </c>
      <c r="CG193" s="2">
        <v>0</v>
      </c>
      <c r="CM193" s="2">
        <v>0</v>
      </c>
      <c r="CN193" s="2" t="s">
        <v>30</v>
      </c>
      <c r="CO193" s="2">
        <v>0</v>
      </c>
      <c r="CP193" s="2">
        <f t="shared" si="116"/>
        <v>300.60000000000002</v>
      </c>
      <c r="CQ193" s="2">
        <f t="shared" si="117"/>
        <v>0</v>
      </c>
      <c r="CR193" s="2">
        <f>((((ET193)*BB193-(EU193)*BS193)+AE193*BS193)*AV193)</f>
        <v>9240.8700000000008</v>
      </c>
      <c r="CS193" s="2">
        <f t="shared" si="119"/>
        <v>3605.56</v>
      </c>
      <c r="CT193" s="2">
        <f t="shared" si="120"/>
        <v>301.75</v>
      </c>
      <c r="CU193" s="2">
        <f t="shared" si="121"/>
        <v>0</v>
      </c>
      <c r="CV193" s="2">
        <f t="shared" si="122"/>
        <v>1.59</v>
      </c>
      <c r="CW193" s="2">
        <f t="shared" si="123"/>
        <v>0</v>
      </c>
      <c r="CX193" s="2">
        <f t="shared" si="123"/>
        <v>0</v>
      </c>
      <c r="CY193" s="2">
        <f t="shared" si="124"/>
        <v>6.657</v>
      </c>
      <c r="CZ193" s="2">
        <f t="shared" si="125"/>
        <v>0.95099999999999996</v>
      </c>
      <c r="DC193" s="2" t="s">
        <v>30</v>
      </c>
      <c r="DD193" s="2" t="s">
        <v>30</v>
      </c>
      <c r="DE193" s="2" t="s">
        <v>30</v>
      </c>
      <c r="DF193" s="2" t="s">
        <v>30</v>
      </c>
      <c r="DG193" s="2" t="s">
        <v>30</v>
      </c>
      <c r="DH193" s="2" t="s">
        <v>30</v>
      </c>
      <c r="DI193" s="2" t="s">
        <v>30</v>
      </c>
      <c r="DJ193" s="2" t="s">
        <v>30</v>
      </c>
      <c r="DK193" s="2" t="s">
        <v>30</v>
      </c>
      <c r="DL193" s="2" t="s">
        <v>30</v>
      </c>
      <c r="DM193" s="2" t="s">
        <v>30</v>
      </c>
      <c r="DN193" s="2">
        <v>0</v>
      </c>
      <c r="DO193" s="2">
        <v>0</v>
      </c>
      <c r="DP193" s="2">
        <v>1</v>
      </c>
      <c r="DQ193" s="2">
        <v>1</v>
      </c>
      <c r="DU193" s="2">
        <v>1007</v>
      </c>
      <c r="DV193" s="2" t="s">
        <v>68</v>
      </c>
      <c r="DW193" s="2" t="s">
        <v>68</v>
      </c>
      <c r="DX193" s="2">
        <v>100</v>
      </c>
      <c r="DZ193" s="2" t="s">
        <v>30</v>
      </c>
      <c r="EA193" s="2" t="s">
        <v>30</v>
      </c>
      <c r="EB193" s="2" t="s">
        <v>30</v>
      </c>
      <c r="EC193" s="2" t="s">
        <v>30</v>
      </c>
      <c r="EE193" s="2">
        <v>49661954</v>
      </c>
      <c r="EF193" s="2">
        <v>1</v>
      </c>
      <c r="EG193" s="2" t="s">
        <v>180</v>
      </c>
      <c r="EH193" s="2">
        <v>0</v>
      </c>
      <c r="EI193" s="2" t="s">
        <v>30</v>
      </c>
      <c r="EJ193" s="2">
        <v>4</v>
      </c>
      <c r="EK193" s="2">
        <v>0</v>
      </c>
      <c r="EL193" s="2" t="s">
        <v>181</v>
      </c>
      <c r="EM193" s="2" t="s">
        <v>182</v>
      </c>
      <c r="EO193" s="2" t="s">
        <v>30</v>
      </c>
      <c r="EQ193" s="2">
        <v>0</v>
      </c>
      <c r="ER193" s="2">
        <v>9542.6200000000008</v>
      </c>
      <c r="ES193" s="2">
        <v>0</v>
      </c>
      <c r="ET193" s="2">
        <v>9240.8700000000008</v>
      </c>
      <c r="EU193" s="2">
        <v>3605.56</v>
      </c>
      <c r="EV193" s="2">
        <v>301.75</v>
      </c>
      <c r="EW193" s="2">
        <v>1.59</v>
      </c>
      <c r="EX193" s="2">
        <v>0</v>
      </c>
      <c r="EY193" s="2">
        <v>0</v>
      </c>
      <c r="FQ193" s="2">
        <v>0</v>
      </c>
      <c r="FR193" s="2">
        <f t="shared" si="126"/>
        <v>0</v>
      </c>
      <c r="FS193" s="2">
        <v>0</v>
      </c>
      <c r="FX193" s="2">
        <v>70</v>
      </c>
      <c r="FY193" s="2">
        <v>10</v>
      </c>
      <c r="GA193" s="2" t="s">
        <v>30</v>
      </c>
      <c r="GD193" s="2">
        <v>0</v>
      </c>
      <c r="GF193" s="2">
        <v>385118111</v>
      </c>
      <c r="GG193" s="2">
        <v>2</v>
      </c>
      <c r="GH193" s="2">
        <v>1</v>
      </c>
      <c r="GI193" s="2">
        <v>-2</v>
      </c>
      <c r="GJ193" s="2">
        <v>0</v>
      </c>
      <c r="GK193" s="2">
        <f>ROUND(R193*(R12)/100,2)</f>
        <v>122.67</v>
      </c>
      <c r="GL193" s="2">
        <f t="shared" si="127"/>
        <v>0</v>
      </c>
      <c r="GM193" s="2">
        <f>ROUND(O193+X193+Y193+GK193,2)+GX193</f>
        <v>430.88</v>
      </c>
      <c r="GN193" s="2">
        <f>IF(OR(BI193=0,BI193=1),ROUND(O193+X193+Y193+GK193,2),0)</f>
        <v>0</v>
      </c>
      <c r="GO193" s="2">
        <f>IF(BI193=2,ROUND(O193+X193+Y193+GK193,2),0)</f>
        <v>0</v>
      </c>
      <c r="GP193" s="2">
        <f>IF(BI193=4,ROUND(O193+X193+Y193+GK193,2)+GX193,0)</f>
        <v>430.88</v>
      </c>
      <c r="GR193" s="2">
        <v>0</v>
      </c>
      <c r="GS193" s="2">
        <v>0</v>
      </c>
      <c r="GT193" s="2">
        <v>0</v>
      </c>
      <c r="GU193" s="2" t="s">
        <v>30</v>
      </c>
      <c r="GV193" s="2">
        <f t="shared" si="128"/>
        <v>0</v>
      </c>
      <c r="GW193" s="2">
        <v>1</v>
      </c>
      <c r="GX193" s="2">
        <f t="shared" si="129"/>
        <v>0</v>
      </c>
      <c r="HA193" s="2">
        <v>0</v>
      </c>
      <c r="HB193" s="2">
        <v>0</v>
      </c>
      <c r="HC193" s="2">
        <f t="shared" si="130"/>
        <v>0</v>
      </c>
      <c r="HE193" s="2" t="s">
        <v>30</v>
      </c>
      <c r="HF193" s="2" t="s">
        <v>30</v>
      </c>
      <c r="HM193" s="2" t="s">
        <v>30</v>
      </c>
      <c r="HN193" s="2" t="s">
        <v>30</v>
      </c>
      <c r="HO193" s="2" t="s">
        <v>30</v>
      </c>
      <c r="HP193" s="2" t="s">
        <v>30</v>
      </c>
      <c r="HQ193" s="2" t="s">
        <v>30</v>
      </c>
      <c r="IK193" s="2">
        <v>0</v>
      </c>
    </row>
    <row r="194" spans="1:245" x14ac:dyDescent="0.25">
      <c r="A194" s="2">
        <v>17</v>
      </c>
      <c r="B194" s="2">
        <v>1</v>
      </c>
      <c r="C194" s="2">
        <f>ROW('SmtRes (3)'!A71)</f>
        <v>71</v>
      </c>
      <c r="D194" s="2">
        <f>ROW('EtalonRes (3)'!A69)</f>
        <v>69</v>
      </c>
      <c r="E194" s="2" t="s">
        <v>347</v>
      </c>
      <c r="F194" s="2" t="s">
        <v>336</v>
      </c>
      <c r="G194" s="2" t="s">
        <v>440</v>
      </c>
      <c r="H194" s="2" t="s">
        <v>68</v>
      </c>
      <c r="I194" s="2">
        <f>ROUND(0.35/100,9)</f>
        <v>3.5000000000000001E-3</v>
      </c>
      <c r="J194" s="2">
        <v>0</v>
      </c>
      <c r="K194" s="2">
        <f>ROUND(0.35/100,9)</f>
        <v>3.5000000000000001E-3</v>
      </c>
      <c r="O194" s="2">
        <f t="shared" si="99"/>
        <v>40.03</v>
      </c>
      <c r="P194" s="2">
        <f t="shared" si="100"/>
        <v>0</v>
      </c>
      <c r="Q194" s="2">
        <f t="shared" si="101"/>
        <v>0</v>
      </c>
      <c r="R194" s="2">
        <f t="shared" si="102"/>
        <v>0</v>
      </c>
      <c r="S194" s="2">
        <f t="shared" si="103"/>
        <v>40.03</v>
      </c>
      <c r="T194" s="2">
        <f t="shared" si="104"/>
        <v>0</v>
      </c>
      <c r="U194" s="2">
        <f t="shared" si="105"/>
        <v>0.29049999999999998</v>
      </c>
      <c r="V194" s="2">
        <f t="shared" si="106"/>
        <v>0</v>
      </c>
      <c r="W194" s="2">
        <f t="shared" si="107"/>
        <v>0</v>
      </c>
      <c r="X194" s="2">
        <f t="shared" si="108"/>
        <v>28.02</v>
      </c>
      <c r="Y194" s="2">
        <f t="shared" si="108"/>
        <v>4</v>
      </c>
      <c r="AA194" s="2">
        <v>52286166</v>
      </c>
      <c r="AB194" s="2">
        <f t="shared" si="109"/>
        <v>11436.57</v>
      </c>
      <c r="AC194" s="2">
        <f>ROUND((ES194),6)</f>
        <v>0</v>
      </c>
      <c r="AD194" s="2">
        <f>ROUND((((ET194)-(EU194))+AE194),6)</f>
        <v>0</v>
      </c>
      <c r="AE194" s="2">
        <f t="shared" si="131"/>
        <v>0</v>
      </c>
      <c r="AF194" s="2">
        <f t="shared" si="131"/>
        <v>11436.57</v>
      </c>
      <c r="AG194" s="2">
        <f t="shared" si="113"/>
        <v>0</v>
      </c>
      <c r="AH194" s="2">
        <f t="shared" si="132"/>
        <v>83</v>
      </c>
      <c r="AI194" s="2">
        <f t="shared" si="132"/>
        <v>0</v>
      </c>
      <c r="AJ194" s="2">
        <f t="shared" si="115"/>
        <v>0</v>
      </c>
      <c r="AK194" s="2">
        <v>11436.57</v>
      </c>
      <c r="AL194" s="2">
        <v>0</v>
      </c>
      <c r="AM194" s="2">
        <v>0</v>
      </c>
      <c r="AN194" s="2">
        <v>0</v>
      </c>
      <c r="AO194" s="2">
        <v>11436.57</v>
      </c>
      <c r="AP194" s="2">
        <v>0</v>
      </c>
      <c r="AQ194" s="2">
        <v>83</v>
      </c>
      <c r="AR194" s="2">
        <v>0</v>
      </c>
      <c r="AS194" s="2">
        <v>0</v>
      </c>
      <c r="AT194" s="2">
        <v>70</v>
      </c>
      <c r="AU194" s="2">
        <v>10</v>
      </c>
      <c r="AV194" s="2">
        <v>1</v>
      </c>
      <c r="AW194" s="2">
        <v>1</v>
      </c>
      <c r="AZ194" s="2">
        <v>1</v>
      </c>
      <c r="BA194" s="2">
        <v>1</v>
      </c>
      <c r="BB194" s="2">
        <v>1</v>
      </c>
      <c r="BC194" s="2">
        <v>1</v>
      </c>
      <c r="BD194" s="2" t="s">
        <v>30</v>
      </c>
      <c r="BE194" s="2" t="s">
        <v>30</v>
      </c>
      <c r="BF194" s="2" t="s">
        <v>30</v>
      </c>
      <c r="BG194" s="2" t="s">
        <v>30</v>
      </c>
      <c r="BH194" s="2">
        <v>0</v>
      </c>
      <c r="BI194" s="2">
        <v>4</v>
      </c>
      <c r="BJ194" s="2" t="s">
        <v>338</v>
      </c>
      <c r="BM194" s="2">
        <v>0</v>
      </c>
      <c r="BN194" s="2">
        <v>0</v>
      </c>
      <c r="BO194" s="2" t="s">
        <v>30</v>
      </c>
      <c r="BP194" s="2">
        <v>0</v>
      </c>
      <c r="BQ194" s="2">
        <v>1</v>
      </c>
      <c r="BR194" s="2">
        <v>0</v>
      </c>
      <c r="BS194" s="2">
        <v>1</v>
      </c>
      <c r="BT194" s="2">
        <v>1</v>
      </c>
      <c r="BU194" s="2">
        <v>1</v>
      </c>
      <c r="BV194" s="2">
        <v>1</v>
      </c>
      <c r="BW194" s="2">
        <v>1</v>
      </c>
      <c r="BX194" s="2">
        <v>1</v>
      </c>
      <c r="BY194" s="2" t="s">
        <v>30</v>
      </c>
      <c r="BZ194" s="2">
        <v>70</v>
      </c>
      <c r="CA194" s="2">
        <v>10</v>
      </c>
      <c r="CB194" s="2" t="s">
        <v>30</v>
      </c>
      <c r="CE194" s="2">
        <v>0</v>
      </c>
      <c r="CF194" s="2">
        <v>0</v>
      </c>
      <c r="CG194" s="2">
        <v>0</v>
      </c>
      <c r="CM194" s="2">
        <v>0</v>
      </c>
      <c r="CN194" s="2" t="s">
        <v>30</v>
      </c>
      <c r="CO194" s="2">
        <v>0</v>
      </c>
      <c r="CP194" s="2">
        <f t="shared" si="116"/>
        <v>40.03</v>
      </c>
      <c r="CQ194" s="2">
        <f t="shared" si="117"/>
        <v>0</v>
      </c>
      <c r="CR194" s="2">
        <f>((((ET194)*BB194-(EU194)*BS194)+AE194*BS194)*AV194)</f>
        <v>0</v>
      </c>
      <c r="CS194" s="2">
        <f t="shared" si="119"/>
        <v>0</v>
      </c>
      <c r="CT194" s="2">
        <f t="shared" si="120"/>
        <v>11436.57</v>
      </c>
      <c r="CU194" s="2">
        <f t="shared" si="121"/>
        <v>0</v>
      </c>
      <c r="CV194" s="2">
        <f t="shared" si="122"/>
        <v>83</v>
      </c>
      <c r="CW194" s="2">
        <f t="shared" si="123"/>
        <v>0</v>
      </c>
      <c r="CX194" s="2">
        <f t="shared" si="123"/>
        <v>0</v>
      </c>
      <c r="CY194" s="2">
        <f t="shared" si="124"/>
        <v>28.021000000000001</v>
      </c>
      <c r="CZ194" s="2">
        <f t="shared" si="125"/>
        <v>4.0030000000000001</v>
      </c>
      <c r="DC194" s="2" t="s">
        <v>30</v>
      </c>
      <c r="DD194" s="2" t="s">
        <v>30</v>
      </c>
      <c r="DE194" s="2" t="s">
        <v>30</v>
      </c>
      <c r="DF194" s="2" t="s">
        <v>30</v>
      </c>
      <c r="DG194" s="2" t="s">
        <v>30</v>
      </c>
      <c r="DH194" s="2" t="s">
        <v>30</v>
      </c>
      <c r="DI194" s="2" t="s">
        <v>30</v>
      </c>
      <c r="DJ194" s="2" t="s">
        <v>30</v>
      </c>
      <c r="DK194" s="2" t="s">
        <v>30</v>
      </c>
      <c r="DL194" s="2" t="s">
        <v>30</v>
      </c>
      <c r="DM194" s="2" t="s">
        <v>30</v>
      </c>
      <c r="DN194" s="2">
        <v>0</v>
      </c>
      <c r="DO194" s="2">
        <v>0</v>
      </c>
      <c r="DP194" s="2">
        <v>1</v>
      </c>
      <c r="DQ194" s="2">
        <v>1</v>
      </c>
      <c r="DU194" s="2">
        <v>1007</v>
      </c>
      <c r="DV194" s="2" t="s">
        <v>68</v>
      </c>
      <c r="DW194" s="2" t="s">
        <v>68</v>
      </c>
      <c r="DX194" s="2">
        <v>100</v>
      </c>
      <c r="DZ194" s="2" t="s">
        <v>30</v>
      </c>
      <c r="EA194" s="2" t="s">
        <v>30</v>
      </c>
      <c r="EB194" s="2" t="s">
        <v>30</v>
      </c>
      <c r="EC194" s="2" t="s">
        <v>30</v>
      </c>
      <c r="EE194" s="2">
        <v>49661954</v>
      </c>
      <c r="EF194" s="2">
        <v>1</v>
      </c>
      <c r="EG194" s="2" t="s">
        <v>180</v>
      </c>
      <c r="EH194" s="2">
        <v>0</v>
      </c>
      <c r="EI194" s="2" t="s">
        <v>30</v>
      </c>
      <c r="EJ194" s="2">
        <v>4</v>
      </c>
      <c r="EK194" s="2">
        <v>0</v>
      </c>
      <c r="EL194" s="2" t="s">
        <v>181</v>
      </c>
      <c r="EM194" s="2" t="s">
        <v>182</v>
      </c>
      <c r="EO194" s="2" t="s">
        <v>30</v>
      </c>
      <c r="EQ194" s="2">
        <v>0</v>
      </c>
      <c r="ER194" s="2">
        <v>11436.57</v>
      </c>
      <c r="ES194" s="2">
        <v>0</v>
      </c>
      <c r="ET194" s="2">
        <v>0</v>
      </c>
      <c r="EU194" s="2">
        <v>0</v>
      </c>
      <c r="EV194" s="2">
        <v>11436.57</v>
      </c>
      <c r="EW194" s="2">
        <v>83</v>
      </c>
      <c r="EX194" s="2">
        <v>0</v>
      </c>
      <c r="EY194" s="2">
        <v>0</v>
      </c>
      <c r="FQ194" s="2">
        <v>0</v>
      </c>
      <c r="FR194" s="2">
        <f t="shared" si="126"/>
        <v>0</v>
      </c>
      <c r="FS194" s="2">
        <v>0</v>
      </c>
      <c r="FX194" s="2">
        <v>70</v>
      </c>
      <c r="FY194" s="2">
        <v>10</v>
      </c>
      <c r="GA194" s="2" t="s">
        <v>30</v>
      </c>
      <c r="GD194" s="2">
        <v>0</v>
      </c>
      <c r="GF194" s="2">
        <v>-720852605</v>
      </c>
      <c r="GG194" s="2">
        <v>2</v>
      </c>
      <c r="GH194" s="2">
        <v>1</v>
      </c>
      <c r="GI194" s="2">
        <v>-2</v>
      </c>
      <c r="GJ194" s="2">
        <v>0</v>
      </c>
      <c r="GK194" s="2">
        <f>ROUND(R194*(R12)/100,2)</f>
        <v>0</v>
      </c>
      <c r="GL194" s="2">
        <f t="shared" si="127"/>
        <v>0</v>
      </c>
      <c r="GM194" s="2">
        <f>ROUND(O194+X194+Y194+GK194,2)+GX194</f>
        <v>72.05</v>
      </c>
      <c r="GN194" s="2">
        <f>IF(OR(BI194=0,BI194=1),ROUND(O194+X194+Y194+GK194,2),0)</f>
        <v>0</v>
      </c>
      <c r="GO194" s="2">
        <f>IF(BI194=2,ROUND(O194+X194+Y194+GK194,2),0)</f>
        <v>0</v>
      </c>
      <c r="GP194" s="2">
        <f>IF(BI194=4,ROUND(O194+X194+Y194+GK194,2)+GX194,0)</f>
        <v>72.05</v>
      </c>
      <c r="GR194" s="2">
        <v>0</v>
      </c>
      <c r="GS194" s="2">
        <v>0</v>
      </c>
      <c r="GT194" s="2">
        <v>0</v>
      </c>
      <c r="GU194" s="2" t="s">
        <v>30</v>
      </c>
      <c r="GV194" s="2">
        <f t="shared" si="128"/>
        <v>0</v>
      </c>
      <c r="GW194" s="2">
        <v>1</v>
      </c>
      <c r="GX194" s="2">
        <f t="shared" si="129"/>
        <v>0</v>
      </c>
      <c r="HA194" s="2">
        <v>0</v>
      </c>
      <c r="HB194" s="2">
        <v>0</v>
      </c>
      <c r="HC194" s="2">
        <f t="shared" si="130"/>
        <v>0</v>
      </c>
      <c r="HE194" s="2" t="s">
        <v>30</v>
      </c>
      <c r="HF194" s="2" t="s">
        <v>30</v>
      </c>
      <c r="HM194" s="2" t="s">
        <v>30</v>
      </c>
      <c r="HN194" s="2" t="s">
        <v>30</v>
      </c>
      <c r="HO194" s="2" t="s">
        <v>30</v>
      </c>
      <c r="HP194" s="2" t="s">
        <v>30</v>
      </c>
      <c r="HQ194" s="2" t="s">
        <v>30</v>
      </c>
      <c r="IK194" s="2">
        <v>0</v>
      </c>
    </row>
    <row r="195" spans="1:245" x14ac:dyDescent="0.25">
      <c r="A195" s="2">
        <v>17</v>
      </c>
      <c r="B195" s="2">
        <v>1</v>
      </c>
      <c r="C195" s="2">
        <f>ROW('SmtRes (3)'!A72)</f>
        <v>72</v>
      </c>
      <c r="D195" s="2">
        <f>ROW('EtalonRes (3)'!A70)</f>
        <v>70</v>
      </c>
      <c r="E195" s="2" t="s">
        <v>351</v>
      </c>
      <c r="F195" s="2" t="s">
        <v>340</v>
      </c>
      <c r="G195" s="2" t="s">
        <v>341</v>
      </c>
      <c r="H195" s="2" t="s">
        <v>62</v>
      </c>
      <c r="I195" s="2">
        <v>35</v>
      </c>
      <c r="J195" s="2">
        <v>0</v>
      </c>
      <c r="K195" s="2">
        <v>35</v>
      </c>
      <c r="O195" s="2">
        <f t="shared" si="99"/>
        <v>1754.2</v>
      </c>
      <c r="P195" s="2">
        <f t="shared" si="100"/>
        <v>0</v>
      </c>
      <c r="Q195" s="2">
        <f t="shared" si="101"/>
        <v>1754.2</v>
      </c>
      <c r="R195" s="2">
        <f t="shared" si="102"/>
        <v>942.9</v>
      </c>
      <c r="S195" s="2">
        <f t="shared" si="103"/>
        <v>0</v>
      </c>
      <c r="T195" s="2">
        <f t="shared" si="104"/>
        <v>0</v>
      </c>
      <c r="U195" s="2">
        <f t="shared" si="105"/>
        <v>0</v>
      </c>
      <c r="V195" s="2">
        <f t="shared" si="106"/>
        <v>0</v>
      </c>
      <c r="W195" s="2">
        <f t="shared" si="107"/>
        <v>0</v>
      </c>
      <c r="X195" s="2">
        <f t="shared" si="108"/>
        <v>0</v>
      </c>
      <c r="Y195" s="2">
        <f t="shared" si="108"/>
        <v>0</v>
      </c>
      <c r="AA195" s="2">
        <v>52286166</v>
      </c>
      <c r="AB195" s="2">
        <f t="shared" si="109"/>
        <v>50.12</v>
      </c>
      <c r="AC195" s="2">
        <f>ROUND((ES195),6)</f>
        <v>0</v>
      </c>
      <c r="AD195" s="2">
        <f>ROUND((((ET195)-(EU195))+AE195),6)</f>
        <v>50.12</v>
      </c>
      <c r="AE195" s="2">
        <f t="shared" si="131"/>
        <v>26.94</v>
      </c>
      <c r="AF195" s="2">
        <f t="shared" si="131"/>
        <v>0</v>
      </c>
      <c r="AG195" s="2">
        <f t="shared" si="113"/>
        <v>0</v>
      </c>
      <c r="AH195" s="2">
        <f t="shared" si="132"/>
        <v>0</v>
      </c>
      <c r="AI195" s="2">
        <f t="shared" si="132"/>
        <v>0</v>
      </c>
      <c r="AJ195" s="2">
        <f t="shared" si="115"/>
        <v>0</v>
      </c>
      <c r="AK195" s="2">
        <v>50.12</v>
      </c>
      <c r="AL195" s="2">
        <v>0</v>
      </c>
      <c r="AM195" s="2">
        <v>50.12</v>
      </c>
      <c r="AN195" s="2">
        <v>26.94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1</v>
      </c>
      <c r="AW195" s="2">
        <v>1</v>
      </c>
      <c r="AZ195" s="2">
        <v>1</v>
      </c>
      <c r="BA195" s="2">
        <v>1</v>
      </c>
      <c r="BB195" s="2">
        <v>1</v>
      </c>
      <c r="BC195" s="2">
        <v>1</v>
      </c>
      <c r="BD195" s="2" t="s">
        <v>30</v>
      </c>
      <c r="BE195" s="2" t="s">
        <v>30</v>
      </c>
      <c r="BF195" s="2" t="s">
        <v>30</v>
      </c>
      <c r="BG195" s="2" t="s">
        <v>30</v>
      </c>
      <c r="BH195" s="2">
        <v>0</v>
      </c>
      <c r="BI195" s="2">
        <v>4</v>
      </c>
      <c r="BJ195" s="2" t="s">
        <v>342</v>
      </c>
      <c r="BM195" s="2">
        <v>1</v>
      </c>
      <c r="BN195" s="2">
        <v>0</v>
      </c>
      <c r="BO195" s="2" t="s">
        <v>30</v>
      </c>
      <c r="BP195" s="2">
        <v>0</v>
      </c>
      <c r="BQ195" s="2">
        <v>1</v>
      </c>
      <c r="BR195" s="2">
        <v>0</v>
      </c>
      <c r="BS195" s="2">
        <v>1</v>
      </c>
      <c r="BT195" s="2">
        <v>1</v>
      </c>
      <c r="BU195" s="2">
        <v>1</v>
      </c>
      <c r="BV195" s="2">
        <v>1</v>
      </c>
      <c r="BW195" s="2">
        <v>1</v>
      </c>
      <c r="BX195" s="2">
        <v>1</v>
      </c>
      <c r="BY195" s="2" t="s">
        <v>30</v>
      </c>
      <c r="BZ195" s="2">
        <v>0</v>
      </c>
      <c r="CA195" s="2">
        <v>0</v>
      </c>
      <c r="CB195" s="2" t="s">
        <v>30</v>
      </c>
      <c r="CE195" s="2">
        <v>0</v>
      </c>
      <c r="CF195" s="2">
        <v>0</v>
      </c>
      <c r="CG195" s="2">
        <v>0</v>
      </c>
      <c r="CM195" s="2">
        <v>0</v>
      </c>
      <c r="CN195" s="2" t="s">
        <v>30</v>
      </c>
      <c r="CO195" s="2">
        <v>0</v>
      </c>
      <c r="CP195" s="2">
        <f t="shared" si="116"/>
        <v>1754.2</v>
      </c>
      <c r="CQ195" s="2">
        <f t="shared" si="117"/>
        <v>0</v>
      </c>
      <c r="CR195" s="2">
        <f>((((ET195)*BB195-(EU195)*BS195)+AE195*BS195)*AV195)</f>
        <v>50.12</v>
      </c>
      <c r="CS195" s="2">
        <f t="shared" si="119"/>
        <v>26.94</v>
      </c>
      <c r="CT195" s="2">
        <f t="shared" si="120"/>
        <v>0</v>
      </c>
      <c r="CU195" s="2">
        <f t="shared" si="121"/>
        <v>0</v>
      </c>
      <c r="CV195" s="2">
        <f t="shared" si="122"/>
        <v>0</v>
      </c>
      <c r="CW195" s="2">
        <f t="shared" si="123"/>
        <v>0</v>
      </c>
      <c r="CX195" s="2">
        <f t="shared" si="123"/>
        <v>0</v>
      </c>
      <c r="CY195" s="2">
        <f t="shared" si="124"/>
        <v>0</v>
      </c>
      <c r="CZ195" s="2">
        <f t="shared" si="125"/>
        <v>0</v>
      </c>
      <c r="DC195" s="2" t="s">
        <v>30</v>
      </c>
      <c r="DD195" s="2" t="s">
        <v>30</v>
      </c>
      <c r="DE195" s="2" t="s">
        <v>30</v>
      </c>
      <c r="DF195" s="2" t="s">
        <v>30</v>
      </c>
      <c r="DG195" s="2" t="s">
        <v>30</v>
      </c>
      <c r="DH195" s="2" t="s">
        <v>30</v>
      </c>
      <c r="DI195" s="2" t="s">
        <v>30</v>
      </c>
      <c r="DJ195" s="2" t="s">
        <v>30</v>
      </c>
      <c r="DK195" s="2" t="s">
        <v>30</v>
      </c>
      <c r="DL195" s="2" t="s">
        <v>30</v>
      </c>
      <c r="DM195" s="2" t="s">
        <v>30</v>
      </c>
      <c r="DN195" s="2">
        <v>0</v>
      </c>
      <c r="DO195" s="2">
        <v>0</v>
      </c>
      <c r="DP195" s="2">
        <v>1</v>
      </c>
      <c r="DQ195" s="2">
        <v>1</v>
      </c>
      <c r="DU195" s="2">
        <v>1007</v>
      </c>
      <c r="DV195" s="2" t="s">
        <v>62</v>
      </c>
      <c r="DW195" s="2" t="s">
        <v>62</v>
      </c>
      <c r="DX195" s="2">
        <v>1</v>
      </c>
      <c r="DZ195" s="2" t="s">
        <v>30</v>
      </c>
      <c r="EA195" s="2" t="s">
        <v>30</v>
      </c>
      <c r="EB195" s="2" t="s">
        <v>30</v>
      </c>
      <c r="EC195" s="2" t="s">
        <v>30</v>
      </c>
      <c r="EE195" s="2">
        <v>49661956</v>
      </c>
      <c r="EF195" s="2">
        <v>1</v>
      </c>
      <c r="EG195" s="2" t="s">
        <v>180</v>
      </c>
      <c r="EH195" s="2">
        <v>0</v>
      </c>
      <c r="EI195" s="2" t="s">
        <v>30</v>
      </c>
      <c r="EJ195" s="2">
        <v>4</v>
      </c>
      <c r="EK195" s="2">
        <v>1</v>
      </c>
      <c r="EL195" s="2" t="s">
        <v>202</v>
      </c>
      <c r="EM195" s="2" t="s">
        <v>182</v>
      </c>
      <c r="EO195" s="2" t="s">
        <v>30</v>
      </c>
      <c r="EQ195" s="2">
        <v>0</v>
      </c>
      <c r="ER195" s="2">
        <v>50.12</v>
      </c>
      <c r="ES195" s="2">
        <v>0</v>
      </c>
      <c r="ET195" s="2">
        <v>50.12</v>
      </c>
      <c r="EU195" s="2">
        <v>26.94</v>
      </c>
      <c r="EV195" s="2">
        <v>0</v>
      </c>
      <c r="EW195" s="2">
        <v>0</v>
      </c>
      <c r="EX195" s="2">
        <v>0</v>
      </c>
      <c r="EY195" s="2">
        <v>0</v>
      </c>
      <c r="FQ195" s="2">
        <v>0</v>
      </c>
      <c r="FR195" s="2">
        <f t="shared" si="126"/>
        <v>0</v>
      </c>
      <c r="FS195" s="2">
        <v>0</v>
      </c>
      <c r="FX195" s="2">
        <v>0</v>
      </c>
      <c r="FY195" s="2">
        <v>0</v>
      </c>
      <c r="GA195" s="2" t="s">
        <v>30</v>
      </c>
      <c r="GD195" s="2">
        <v>1</v>
      </c>
      <c r="GF195" s="2">
        <v>-1370593741</v>
      </c>
      <c r="GG195" s="2">
        <v>2</v>
      </c>
      <c r="GH195" s="2">
        <v>1</v>
      </c>
      <c r="GI195" s="2">
        <v>-2</v>
      </c>
      <c r="GJ195" s="2">
        <v>0</v>
      </c>
      <c r="GK195" s="2">
        <v>0</v>
      </c>
      <c r="GL195" s="2">
        <f t="shared" si="127"/>
        <v>0</v>
      </c>
      <c r="GM195" s="2">
        <f>ROUND(O195+X195+Y195,2)+GX195</f>
        <v>1754.2</v>
      </c>
      <c r="GN195" s="2">
        <f>IF(OR(BI195=0,BI195=1),ROUND(O195+X195+Y195,2),0)</f>
        <v>0</v>
      </c>
      <c r="GO195" s="2">
        <f>IF(BI195=2,ROUND(O195+X195+Y195,2),0)</f>
        <v>0</v>
      </c>
      <c r="GP195" s="2">
        <f>IF(BI195=4,ROUND(O195+X195+Y195,2)+GX195,0)</f>
        <v>1754.2</v>
      </c>
      <c r="GR195" s="2">
        <v>0</v>
      </c>
      <c r="GS195" s="2">
        <v>0</v>
      </c>
      <c r="GT195" s="2">
        <v>0</v>
      </c>
      <c r="GU195" s="2" t="s">
        <v>30</v>
      </c>
      <c r="GV195" s="2">
        <f t="shared" si="128"/>
        <v>0</v>
      </c>
      <c r="GW195" s="2">
        <v>1</v>
      </c>
      <c r="GX195" s="2">
        <f t="shared" si="129"/>
        <v>0</v>
      </c>
      <c r="HA195" s="2">
        <v>0</v>
      </c>
      <c r="HB195" s="2">
        <v>0</v>
      </c>
      <c r="HC195" s="2">
        <f t="shared" si="130"/>
        <v>0</v>
      </c>
      <c r="HE195" s="2" t="s">
        <v>30</v>
      </c>
      <c r="HF195" s="2" t="s">
        <v>30</v>
      </c>
      <c r="HM195" s="2" t="s">
        <v>30</v>
      </c>
      <c r="HN195" s="2" t="s">
        <v>30</v>
      </c>
      <c r="HO195" s="2" t="s">
        <v>30</v>
      </c>
      <c r="HP195" s="2" t="s">
        <v>30</v>
      </c>
      <c r="HQ195" s="2" t="s">
        <v>30</v>
      </c>
      <c r="IK195" s="2">
        <v>0</v>
      </c>
    </row>
    <row r="196" spans="1:245" x14ac:dyDescent="0.25">
      <c r="A196" s="2">
        <v>17</v>
      </c>
      <c r="B196" s="2">
        <v>1</v>
      </c>
      <c r="C196" s="2">
        <f>ROW('SmtRes (3)'!A73)</f>
        <v>73</v>
      </c>
      <c r="D196" s="2">
        <f>ROW('EtalonRes (3)'!A71)</f>
        <v>71</v>
      </c>
      <c r="E196" s="2" t="s">
        <v>355</v>
      </c>
      <c r="F196" s="2" t="s">
        <v>344</v>
      </c>
      <c r="G196" s="2" t="s">
        <v>345</v>
      </c>
      <c r="H196" s="2" t="s">
        <v>62</v>
      </c>
      <c r="I196" s="2">
        <v>35</v>
      </c>
      <c r="J196" s="2">
        <v>0</v>
      </c>
      <c r="K196" s="2">
        <v>35</v>
      </c>
      <c r="O196" s="2">
        <f t="shared" si="99"/>
        <v>29429.4</v>
      </c>
      <c r="P196" s="2">
        <f t="shared" si="100"/>
        <v>0</v>
      </c>
      <c r="Q196" s="2">
        <f t="shared" si="101"/>
        <v>29429.4</v>
      </c>
      <c r="R196" s="2">
        <f t="shared" si="102"/>
        <v>15815.8</v>
      </c>
      <c r="S196" s="2">
        <f t="shared" si="103"/>
        <v>0</v>
      </c>
      <c r="T196" s="2">
        <f t="shared" si="104"/>
        <v>0</v>
      </c>
      <c r="U196" s="2">
        <f t="shared" si="105"/>
        <v>0</v>
      </c>
      <c r="V196" s="2">
        <f t="shared" si="106"/>
        <v>0</v>
      </c>
      <c r="W196" s="2">
        <f t="shared" si="107"/>
        <v>0</v>
      </c>
      <c r="X196" s="2">
        <f t="shared" si="108"/>
        <v>0</v>
      </c>
      <c r="Y196" s="2">
        <f t="shared" si="108"/>
        <v>0</v>
      </c>
      <c r="AA196" s="2">
        <v>52286166</v>
      </c>
      <c r="AB196" s="2">
        <f t="shared" si="109"/>
        <v>840.84</v>
      </c>
      <c r="AC196" s="2">
        <f>ROUND(((ES196*52)),6)</f>
        <v>0</v>
      </c>
      <c r="AD196" s="2">
        <f>ROUND(((((ET196*52))-((EU196*52)))+AE196),6)</f>
        <v>840.84</v>
      </c>
      <c r="AE196" s="2">
        <f>ROUND(((EU196*52)),6)</f>
        <v>451.88</v>
      </c>
      <c r="AF196" s="2">
        <f>ROUND(((EV196*52)),6)</f>
        <v>0</v>
      </c>
      <c r="AG196" s="2">
        <f t="shared" si="113"/>
        <v>0</v>
      </c>
      <c r="AH196" s="2">
        <f>((EW196*52))</f>
        <v>0</v>
      </c>
      <c r="AI196" s="2">
        <f>((EX196*52))</f>
        <v>0</v>
      </c>
      <c r="AJ196" s="2">
        <f t="shared" si="115"/>
        <v>0</v>
      </c>
      <c r="AK196" s="2">
        <v>16.170000000000002</v>
      </c>
      <c r="AL196" s="2">
        <v>0</v>
      </c>
      <c r="AM196" s="2">
        <v>16.170000000000002</v>
      </c>
      <c r="AN196" s="2">
        <v>8.69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1</v>
      </c>
      <c r="AW196" s="2">
        <v>1</v>
      </c>
      <c r="AZ196" s="2">
        <v>1</v>
      </c>
      <c r="BA196" s="2">
        <v>1</v>
      </c>
      <c r="BB196" s="2">
        <v>1</v>
      </c>
      <c r="BC196" s="2">
        <v>1</v>
      </c>
      <c r="BD196" s="2" t="s">
        <v>30</v>
      </c>
      <c r="BE196" s="2" t="s">
        <v>30</v>
      </c>
      <c r="BF196" s="2" t="s">
        <v>30</v>
      </c>
      <c r="BG196" s="2" t="s">
        <v>30</v>
      </c>
      <c r="BH196" s="2">
        <v>0</v>
      </c>
      <c r="BI196" s="2">
        <v>4</v>
      </c>
      <c r="BJ196" s="2" t="s">
        <v>346</v>
      </c>
      <c r="BM196" s="2">
        <v>1</v>
      </c>
      <c r="BN196" s="2">
        <v>0</v>
      </c>
      <c r="BO196" s="2" t="s">
        <v>30</v>
      </c>
      <c r="BP196" s="2">
        <v>0</v>
      </c>
      <c r="BQ196" s="2">
        <v>1</v>
      </c>
      <c r="BR196" s="2">
        <v>0</v>
      </c>
      <c r="BS196" s="2">
        <v>1</v>
      </c>
      <c r="BT196" s="2">
        <v>1</v>
      </c>
      <c r="BU196" s="2">
        <v>1</v>
      </c>
      <c r="BV196" s="2">
        <v>1</v>
      </c>
      <c r="BW196" s="2">
        <v>1</v>
      </c>
      <c r="BX196" s="2">
        <v>1</v>
      </c>
      <c r="BY196" s="2" t="s">
        <v>30</v>
      </c>
      <c r="BZ196" s="2">
        <v>0</v>
      </c>
      <c r="CA196" s="2">
        <v>0</v>
      </c>
      <c r="CB196" s="2" t="s">
        <v>30</v>
      </c>
      <c r="CE196" s="2">
        <v>0</v>
      </c>
      <c r="CF196" s="2">
        <v>0</v>
      </c>
      <c r="CG196" s="2">
        <v>0</v>
      </c>
      <c r="CM196" s="2">
        <v>0</v>
      </c>
      <c r="CN196" s="2" t="s">
        <v>30</v>
      </c>
      <c r="CO196" s="2">
        <v>0</v>
      </c>
      <c r="CP196" s="2">
        <f t="shared" si="116"/>
        <v>29429.4</v>
      </c>
      <c r="CQ196" s="2">
        <f t="shared" si="117"/>
        <v>0</v>
      </c>
      <c r="CR196" s="2">
        <f>(((((ET196*52))*BB196-((EU196*52))*BS196)+AE196*BS196)*AV196)</f>
        <v>840.84</v>
      </c>
      <c r="CS196" s="2">
        <f t="shared" si="119"/>
        <v>451.88</v>
      </c>
      <c r="CT196" s="2">
        <f t="shared" si="120"/>
        <v>0</v>
      </c>
      <c r="CU196" s="2">
        <f t="shared" si="121"/>
        <v>0</v>
      </c>
      <c r="CV196" s="2">
        <f t="shared" si="122"/>
        <v>0</v>
      </c>
      <c r="CW196" s="2">
        <f t="shared" si="123"/>
        <v>0</v>
      </c>
      <c r="CX196" s="2">
        <f t="shared" si="123"/>
        <v>0</v>
      </c>
      <c r="CY196" s="2">
        <f t="shared" si="124"/>
        <v>0</v>
      </c>
      <c r="CZ196" s="2">
        <f t="shared" si="125"/>
        <v>0</v>
      </c>
      <c r="DC196" s="2" t="s">
        <v>30</v>
      </c>
      <c r="DD196" s="2" t="s">
        <v>207</v>
      </c>
      <c r="DE196" s="2" t="s">
        <v>207</v>
      </c>
      <c r="DF196" s="2" t="s">
        <v>207</v>
      </c>
      <c r="DG196" s="2" t="s">
        <v>207</v>
      </c>
      <c r="DH196" s="2" t="s">
        <v>30</v>
      </c>
      <c r="DI196" s="2" t="s">
        <v>207</v>
      </c>
      <c r="DJ196" s="2" t="s">
        <v>207</v>
      </c>
      <c r="DK196" s="2" t="s">
        <v>30</v>
      </c>
      <c r="DL196" s="2" t="s">
        <v>30</v>
      </c>
      <c r="DM196" s="2" t="s">
        <v>30</v>
      </c>
      <c r="DN196" s="2">
        <v>0</v>
      </c>
      <c r="DO196" s="2">
        <v>0</v>
      </c>
      <c r="DP196" s="2">
        <v>1</v>
      </c>
      <c r="DQ196" s="2">
        <v>1</v>
      </c>
      <c r="DU196" s="2">
        <v>1007</v>
      </c>
      <c r="DV196" s="2" t="s">
        <v>62</v>
      </c>
      <c r="DW196" s="2" t="s">
        <v>62</v>
      </c>
      <c r="DX196" s="2">
        <v>1</v>
      </c>
      <c r="DZ196" s="2" t="s">
        <v>30</v>
      </c>
      <c r="EA196" s="2" t="s">
        <v>30</v>
      </c>
      <c r="EB196" s="2" t="s">
        <v>30</v>
      </c>
      <c r="EC196" s="2" t="s">
        <v>30</v>
      </c>
      <c r="EE196" s="2">
        <v>49661956</v>
      </c>
      <c r="EF196" s="2">
        <v>1</v>
      </c>
      <c r="EG196" s="2" t="s">
        <v>180</v>
      </c>
      <c r="EH196" s="2">
        <v>0</v>
      </c>
      <c r="EI196" s="2" t="s">
        <v>30</v>
      </c>
      <c r="EJ196" s="2">
        <v>4</v>
      </c>
      <c r="EK196" s="2">
        <v>1</v>
      </c>
      <c r="EL196" s="2" t="s">
        <v>202</v>
      </c>
      <c r="EM196" s="2" t="s">
        <v>182</v>
      </c>
      <c r="EO196" s="2" t="s">
        <v>30</v>
      </c>
      <c r="EQ196" s="2">
        <v>0</v>
      </c>
      <c r="ER196" s="2">
        <v>16.170000000000002</v>
      </c>
      <c r="ES196" s="2">
        <v>0</v>
      </c>
      <c r="ET196" s="2">
        <v>16.170000000000002</v>
      </c>
      <c r="EU196" s="2">
        <v>8.69</v>
      </c>
      <c r="EV196" s="2">
        <v>0</v>
      </c>
      <c r="EW196" s="2">
        <v>0</v>
      </c>
      <c r="EX196" s="2">
        <v>0</v>
      </c>
      <c r="EY196" s="2">
        <v>0</v>
      </c>
      <c r="FQ196" s="2">
        <v>0</v>
      </c>
      <c r="FR196" s="2">
        <f t="shared" si="126"/>
        <v>0</v>
      </c>
      <c r="FS196" s="2">
        <v>0</v>
      </c>
      <c r="FX196" s="2">
        <v>0</v>
      </c>
      <c r="FY196" s="2">
        <v>0</v>
      </c>
      <c r="GA196" s="2" t="s">
        <v>30</v>
      </c>
      <c r="GD196" s="2">
        <v>1</v>
      </c>
      <c r="GF196" s="2">
        <v>-1652846551</v>
      </c>
      <c r="GG196" s="2">
        <v>2</v>
      </c>
      <c r="GH196" s="2">
        <v>1</v>
      </c>
      <c r="GI196" s="2">
        <v>-2</v>
      </c>
      <c r="GJ196" s="2">
        <v>0</v>
      </c>
      <c r="GK196" s="2">
        <v>0</v>
      </c>
      <c r="GL196" s="2">
        <f t="shared" si="127"/>
        <v>0</v>
      </c>
      <c r="GM196" s="2">
        <f>ROUND(O196+X196+Y196,2)+GX196</f>
        <v>29429.4</v>
      </c>
      <c r="GN196" s="2">
        <f>IF(OR(BI196=0,BI196=1),ROUND(O196+X196+Y196,2),0)</f>
        <v>0</v>
      </c>
      <c r="GO196" s="2">
        <f>IF(BI196=2,ROUND(O196+X196+Y196,2),0)</f>
        <v>0</v>
      </c>
      <c r="GP196" s="2">
        <f>IF(BI196=4,ROUND(O196+X196+Y196,2)+GX196,0)</f>
        <v>29429.4</v>
      </c>
      <c r="GR196" s="2">
        <v>0</v>
      </c>
      <c r="GS196" s="2">
        <v>0</v>
      </c>
      <c r="GT196" s="2">
        <v>0</v>
      </c>
      <c r="GU196" s="2" t="s">
        <v>30</v>
      </c>
      <c r="GV196" s="2">
        <f t="shared" si="128"/>
        <v>0</v>
      </c>
      <c r="GW196" s="2">
        <v>1</v>
      </c>
      <c r="GX196" s="2">
        <f t="shared" si="129"/>
        <v>0</v>
      </c>
      <c r="HA196" s="2">
        <v>0</v>
      </c>
      <c r="HB196" s="2">
        <v>0</v>
      </c>
      <c r="HC196" s="2">
        <f t="shared" si="130"/>
        <v>0</v>
      </c>
      <c r="HE196" s="2" t="s">
        <v>30</v>
      </c>
      <c r="HF196" s="2" t="s">
        <v>30</v>
      </c>
      <c r="HM196" s="2" t="s">
        <v>30</v>
      </c>
      <c r="HN196" s="2" t="s">
        <v>30</v>
      </c>
      <c r="HO196" s="2" t="s">
        <v>30</v>
      </c>
      <c r="HP196" s="2" t="s">
        <v>30</v>
      </c>
      <c r="HQ196" s="2" t="s">
        <v>30</v>
      </c>
      <c r="IK196" s="2">
        <v>0</v>
      </c>
    </row>
    <row r="197" spans="1:245" x14ac:dyDescent="0.25">
      <c r="A197" s="2">
        <v>17</v>
      </c>
      <c r="B197" s="2">
        <v>1</v>
      </c>
      <c r="C197" s="2">
        <f>ROW('SmtRes (3)'!A81)</f>
        <v>81</v>
      </c>
      <c r="D197" s="2">
        <f>ROW('EtalonRes (3)'!A79)</f>
        <v>79</v>
      </c>
      <c r="E197" s="2" t="s">
        <v>441</v>
      </c>
      <c r="F197" s="2" t="s">
        <v>348</v>
      </c>
      <c r="G197" s="2" t="s">
        <v>349</v>
      </c>
      <c r="H197" s="2" t="s">
        <v>68</v>
      </c>
      <c r="I197" s="2">
        <f>ROUND(20.5/100,9)</f>
        <v>0.20499999999999999</v>
      </c>
      <c r="J197" s="2">
        <v>0</v>
      </c>
      <c r="K197" s="2">
        <f>ROUND(20.5/100,9)</f>
        <v>0.20499999999999999</v>
      </c>
      <c r="O197" s="2">
        <f t="shared" si="99"/>
        <v>13824.74</v>
      </c>
      <c r="P197" s="2">
        <f t="shared" si="100"/>
        <v>11538.17</v>
      </c>
      <c r="Q197" s="2">
        <f t="shared" si="101"/>
        <v>1619.39</v>
      </c>
      <c r="R197" s="2">
        <f t="shared" si="102"/>
        <v>693.75</v>
      </c>
      <c r="S197" s="2">
        <f t="shared" si="103"/>
        <v>667.18</v>
      </c>
      <c r="T197" s="2">
        <f t="shared" si="104"/>
        <v>0</v>
      </c>
      <c r="U197" s="2">
        <f t="shared" si="105"/>
        <v>3.3948</v>
      </c>
      <c r="V197" s="2">
        <f t="shared" si="106"/>
        <v>0</v>
      </c>
      <c r="W197" s="2">
        <f t="shared" si="107"/>
        <v>0</v>
      </c>
      <c r="X197" s="2">
        <f t="shared" si="108"/>
        <v>467.03</v>
      </c>
      <c r="Y197" s="2">
        <f t="shared" si="108"/>
        <v>66.72</v>
      </c>
      <c r="AA197" s="2">
        <v>52286166</v>
      </c>
      <c r="AB197" s="2">
        <f t="shared" si="109"/>
        <v>67437.73</v>
      </c>
      <c r="AC197" s="2">
        <f t="shared" ref="AC197:AC203" si="133">ROUND((ES197),6)</f>
        <v>56283.75</v>
      </c>
      <c r="AD197" s="2">
        <f t="shared" ref="AD197:AD203" si="134">ROUND((((ET197)-(EU197))+AE197),6)</f>
        <v>7899.44</v>
      </c>
      <c r="AE197" s="2">
        <f t="shared" ref="AE197:AF203" si="135">ROUND((EU197),6)</f>
        <v>3384.14</v>
      </c>
      <c r="AF197" s="2">
        <f t="shared" si="135"/>
        <v>3254.54</v>
      </c>
      <c r="AG197" s="2">
        <f t="shared" si="113"/>
        <v>0</v>
      </c>
      <c r="AH197" s="2">
        <f t="shared" ref="AH197:AI203" si="136">(EW197)</f>
        <v>16.559999999999999</v>
      </c>
      <c r="AI197" s="2">
        <f t="shared" si="136"/>
        <v>0</v>
      </c>
      <c r="AJ197" s="2">
        <f t="shared" si="115"/>
        <v>0</v>
      </c>
      <c r="AK197" s="2">
        <v>67437.73</v>
      </c>
      <c r="AL197" s="2">
        <v>56283.75</v>
      </c>
      <c r="AM197" s="2">
        <v>7899.44</v>
      </c>
      <c r="AN197" s="2">
        <v>3384.14</v>
      </c>
      <c r="AO197" s="2">
        <v>3254.54</v>
      </c>
      <c r="AP197" s="2">
        <v>0</v>
      </c>
      <c r="AQ197" s="2">
        <v>16.559999999999999</v>
      </c>
      <c r="AR197" s="2">
        <v>0</v>
      </c>
      <c r="AS197" s="2">
        <v>0</v>
      </c>
      <c r="AT197" s="2">
        <v>70</v>
      </c>
      <c r="AU197" s="2">
        <v>10</v>
      </c>
      <c r="AV197" s="2">
        <v>1</v>
      </c>
      <c r="AW197" s="2">
        <v>1</v>
      </c>
      <c r="AZ197" s="2">
        <v>1</v>
      </c>
      <c r="BA197" s="2">
        <v>1</v>
      </c>
      <c r="BB197" s="2">
        <v>1</v>
      </c>
      <c r="BC197" s="2">
        <v>1</v>
      </c>
      <c r="BD197" s="2" t="s">
        <v>30</v>
      </c>
      <c r="BE197" s="2" t="s">
        <v>30</v>
      </c>
      <c r="BF197" s="2" t="s">
        <v>30</v>
      </c>
      <c r="BG197" s="2" t="s">
        <v>30</v>
      </c>
      <c r="BH197" s="2">
        <v>0</v>
      </c>
      <c r="BI197" s="2">
        <v>4</v>
      </c>
      <c r="BJ197" s="2" t="s">
        <v>350</v>
      </c>
      <c r="BM197" s="2">
        <v>0</v>
      </c>
      <c r="BN197" s="2">
        <v>0</v>
      </c>
      <c r="BO197" s="2" t="s">
        <v>30</v>
      </c>
      <c r="BP197" s="2">
        <v>0</v>
      </c>
      <c r="BQ197" s="2">
        <v>1</v>
      </c>
      <c r="BR197" s="2">
        <v>0</v>
      </c>
      <c r="BS197" s="2">
        <v>1</v>
      </c>
      <c r="BT197" s="2">
        <v>1</v>
      </c>
      <c r="BU197" s="2">
        <v>1</v>
      </c>
      <c r="BV197" s="2">
        <v>1</v>
      </c>
      <c r="BW197" s="2">
        <v>1</v>
      </c>
      <c r="BX197" s="2">
        <v>1</v>
      </c>
      <c r="BY197" s="2" t="s">
        <v>30</v>
      </c>
      <c r="BZ197" s="2">
        <v>70</v>
      </c>
      <c r="CA197" s="2">
        <v>10</v>
      </c>
      <c r="CB197" s="2" t="s">
        <v>30</v>
      </c>
      <c r="CE197" s="2">
        <v>0</v>
      </c>
      <c r="CF197" s="2">
        <v>0</v>
      </c>
      <c r="CG197" s="2">
        <v>0</v>
      </c>
      <c r="CM197" s="2">
        <v>0</v>
      </c>
      <c r="CN197" s="2" t="s">
        <v>30</v>
      </c>
      <c r="CO197" s="2">
        <v>0</v>
      </c>
      <c r="CP197" s="2">
        <f t="shared" si="116"/>
        <v>13824.74</v>
      </c>
      <c r="CQ197" s="2">
        <f t="shared" si="117"/>
        <v>56283.75</v>
      </c>
      <c r="CR197" s="2">
        <f t="shared" ref="CR197:CR203" si="137">((((ET197)*BB197-(EU197)*BS197)+AE197*BS197)*AV197)</f>
        <v>7899.44</v>
      </c>
      <c r="CS197" s="2">
        <f t="shared" si="119"/>
        <v>3384.14</v>
      </c>
      <c r="CT197" s="2">
        <f t="shared" si="120"/>
        <v>3254.54</v>
      </c>
      <c r="CU197" s="2">
        <f t="shared" si="121"/>
        <v>0</v>
      </c>
      <c r="CV197" s="2">
        <f t="shared" si="122"/>
        <v>16.559999999999999</v>
      </c>
      <c r="CW197" s="2">
        <f t="shared" si="123"/>
        <v>0</v>
      </c>
      <c r="CX197" s="2">
        <f t="shared" si="123"/>
        <v>0</v>
      </c>
      <c r="CY197" s="2">
        <f t="shared" si="124"/>
        <v>467.02600000000001</v>
      </c>
      <c r="CZ197" s="2">
        <f t="shared" si="125"/>
        <v>66.718000000000004</v>
      </c>
      <c r="DC197" s="2" t="s">
        <v>30</v>
      </c>
      <c r="DD197" s="2" t="s">
        <v>30</v>
      </c>
      <c r="DE197" s="2" t="s">
        <v>30</v>
      </c>
      <c r="DF197" s="2" t="s">
        <v>30</v>
      </c>
      <c r="DG197" s="2" t="s">
        <v>30</v>
      </c>
      <c r="DH197" s="2" t="s">
        <v>30</v>
      </c>
      <c r="DI197" s="2" t="s">
        <v>30</v>
      </c>
      <c r="DJ197" s="2" t="s">
        <v>30</v>
      </c>
      <c r="DK197" s="2" t="s">
        <v>30</v>
      </c>
      <c r="DL197" s="2" t="s">
        <v>30</v>
      </c>
      <c r="DM197" s="2" t="s">
        <v>30</v>
      </c>
      <c r="DN197" s="2">
        <v>0</v>
      </c>
      <c r="DO197" s="2">
        <v>0</v>
      </c>
      <c r="DP197" s="2">
        <v>1</v>
      </c>
      <c r="DQ197" s="2">
        <v>1</v>
      </c>
      <c r="DU197" s="2">
        <v>1007</v>
      </c>
      <c r="DV197" s="2" t="s">
        <v>68</v>
      </c>
      <c r="DW197" s="2" t="s">
        <v>68</v>
      </c>
      <c r="DX197" s="2">
        <v>100</v>
      </c>
      <c r="DZ197" s="2" t="s">
        <v>30</v>
      </c>
      <c r="EA197" s="2" t="s">
        <v>30</v>
      </c>
      <c r="EB197" s="2" t="s">
        <v>30</v>
      </c>
      <c r="EC197" s="2" t="s">
        <v>30</v>
      </c>
      <c r="EE197" s="2">
        <v>49661954</v>
      </c>
      <c r="EF197" s="2">
        <v>1</v>
      </c>
      <c r="EG197" s="2" t="s">
        <v>180</v>
      </c>
      <c r="EH197" s="2">
        <v>0</v>
      </c>
      <c r="EI197" s="2" t="s">
        <v>30</v>
      </c>
      <c r="EJ197" s="2">
        <v>4</v>
      </c>
      <c r="EK197" s="2">
        <v>0</v>
      </c>
      <c r="EL197" s="2" t="s">
        <v>181</v>
      </c>
      <c r="EM197" s="2" t="s">
        <v>182</v>
      </c>
      <c r="EO197" s="2" t="s">
        <v>30</v>
      </c>
      <c r="EQ197" s="2">
        <v>0</v>
      </c>
      <c r="ER197" s="2">
        <v>67437.73</v>
      </c>
      <c r="ES197" s="2">
        <v>56283.75</v>
      </c>
      <c r="ET197" s="2">
        <v>7899.44</v>
      </c>
      <c r="EU197" s="2">
        <v>3384.14</v>
      </c>
      <c r="EV197" s="2">
        <v>3254.54</v>
      </c>
      <c r="EW197" s="2">
        <v>16.559999999999999</v>
      </c>
      <c r="EX197" s="2">
        <v>0</v>
      </c>
      <c r="EY197" s="2">
        <v>0</v>
      </c>
      <c r="FQ197" s="2">
        <v>0</v>
      </c>
      <c r="FR197" s="2">
        <f t="shared" si="126"/>
        <v>0</v>
      </c>
      <c r="FS197" s="2">
        <v>0</v>
      </c>
      <c r="FX197" s="2">
        <v>70</v>
      </c>
      <c r="FY197" s="2">
        <v>10</v>
      </c>
      <c r="GA197" s="2" t="s">
        <v>30</v>
      </c>
      <c r="GD197" s="2">
        <v>0</v>
      </c>
      <c r="GF197" s="2">
        <v>-30817540</v>
      </c>
      <c r="GG197" s="2">
        <v>2</v>
      </c>
      <c r="GH197" s="2">
        <v>1</v>
      </c>
      <c r="GI197" s="2">
        <v>-2</v>
      </c>
      <c r="GJ197" s="2">
        <v>0</v>
      </c>
      <c r="GK197" s="2">
        <f>ROUND(R197*(R12)/100,2)</f>
        <v>749.25</v>
      </c>
      <c r="GL197" s="2">
        <f t="shared" si="127"/>
        <v>0</v>
      </c>
      <c r="GM197" s="2">
        <f t="shared" ref="GM197:GM203" si="138">ROUND(O197+X197+Y197+GK197,2)+GX197</f>
        <v>15107.74</v>
      </c>
      <c r="GN197" s="2">
        <f t="shared" ref="GN197:GN203" si="139">IF(OR(BI197=0,BI197=1),ROUND(O197+X197+Y197+GK197,2),0)</f>
        <v>0</v>
      </c>
      <c r="GO197" s="2">
        <f t="shared" ref="GO197:GO203" si="140">IF(BI197=2,ROUND(O197+X197+Y197+GK197,2),0)</f>
        <v>0</v>
      </c>
      <c r="GP197" s="2">
        <f t="shared" ref="GP197:GP203" si="141">IF(BI197=4,ROUND(O197+X197+Y197+GK197,2)+GX197,0)</f>
        <v>15107.74</v>
      </c>
      <c r="GR197" s="2">
        <v>0</v>
      </c>
      <c r="GS197" s="2">
        <v>0</v>
      </c>
      <c r="GT197" s="2">
        <v>0</v>
      </c>
      <c r="GU197" s="2" t="s">
        <v>30</v>
      </c>
      <c r="GV197" s="2">
        <f t="shared" si="128"/>
        <v>0</v>
      </c>
      <c r="GW197" s="2">
        <v>1</v>
      </c>
      <c r="GX197" s="2">
        <f t="shared" si="129"/>
        <v>0</v>
      </c>
      <c r="HA197" s="2">
        <v>0</v>
      </c>
      <c r="HB197" s="2">
        <v>0</v>
      </c>
      <c r="HC197" s="2">
        <f t="shared" si="130"/>
        <v>0</v>
      </c>
      <c r="HE197" s="2" t="s">
        <v>30</v>
      </c>
      <c r="HF197" s="2" t="s">
        <v>30</v>
      </c>
      <c r="HM197" s="2" t="s">
        <v>30</v>
      </c>
      <c r="HN197" s="2" t="s">
        <v>30</v>
      </c>
      <c r="HO197" s="2" t="s">
        <v>30</v>
      </c>
      <c r="HP197" s="2" t="s">
        <v>30</v>
      </c>
      <c r="HQ197" s="2" t="s">
        <v>30</v>
      </c>
      <c r="IK197" s="2">
        <v>0</v>
      </c>
    </row>
    <row r="198" spans="1:245" x14ac:dyDescent="0.25">
      <c r="A198" s="2">
        <v>17</v>
      </c>
      <c r="B198" s="2">
        <v>1</v>
      </c>
      <c r="C198" s="2">
        <f>ROW('SmtRes (3)'!A91)</f>
        <v>91</v>
      </c>
      <c r="D198" s="2">
        <f>ROW('EtalonRes (3)'!A88)</f>
        <v>88</v>
      </c>
      <c r="E198" s="2" t="s">
        <v>442</v>
      </c>
      <c r="F198" s="2" t="s">
        <v>352</v>
      </c>
      <c r="G198" s="2" t="s">
        <v>353</v>
      </c>
      <c r="H198" s="2" t="s">
        <v>68</v>
      </c>
      <c r="I198" s="2">
        <f>ROUND(20.5/100,9)</f>
        <v>0.20499999999999999</v>
      </c>
      <c r="J198" s="2">
        <v>0</v>
      </c>
      <c r="K198" s="2">
        <f>ROUND(20.5/100,9)</f>
        <v>0.20499999999999999</v>
      </c>
      <c r="O198" s="2">
        <f t="shared" si="99"/>
        <v>52408.7</v>
      </c>
      <c r="P198" s="2">
        <f t="shared" si="100"/>
        <v>39901.339999999997</v>
      </c>
      <c r="Q198" s="2">
        <f t="shared" si="101"/>
        <v>11506.59</v>
      </c>
      <c r="R198" s="2">
        <f t="shared" si="102"/>
        <v>4566.5600000000004</v>
      </c>
      <c r="S198" s="2">
        <f t="shared" si="103"/>
        <v>1000.77</v>
      </c>
      <c r="T198" s="2">
        <f t="shared" si="104"/>
        <v>0</v>
      </c>
      <c r="U198" s="2">
        <f t="shared" si="105"/>
        <v>5.0922000000000001</v>
      </c>
      <c r="V198" s="2">
        <f t="shared" si="106"/>
        <v>0</v>
      </c>
      <c r="W198" s="2">
        <f t="shared" si="107"/>
        <v>0</v>
      </c>
      <c r="X198" s="2">
        <f t="shared" si="108"/>
        <v>700.54</v>
      </c>
      <c r="Y198" s="2">
        <f t="shared" si="108"/>
        <v>100.08</v>
      </c>
      <c r="AA198" s="2">
        <v>52286166</v>
      </c>
      <c r="AB198" s="2">
        <f t="shared" si="109"/>
        <v>255652.19</v>
      </c>
      <c r="AC198" s="2">
        <f t="shared" si="133"/>
        <v>194640.67</v>
      </c>
      <c r="AD198" s="2">
        <f t="shared" si="134"/>
        <v>56129.71</v>
      </c>
      <c r="AE198" s="2">
        <f t="shared" si="135"/>
        <v>22275.919999999998</v>
      </c>
      <c r="AF198" s="2">
        <f t="shared" si="135"/>
        <v>4881.8100000000004</v>
      </c>
      <c r="AG198" s="2">
        <f t="shared" si="113"/>
        <v>0</v>
      </c>
      <c r="AH198" s="2">
        <f t="shared" si="136"/>
        <v>24.84</v>
      </c>
      <c r="AI198" s="2">
        <f t="shared" si="136"/>
        <v>0</v>
      </c>
      <c r="AJ198" s="2">
        <f t="shared" si="115"/>
        <v>0</v>
      </c>
      <c r="AK198" s="2">
        <v>255652.19</v>
      </c>
      <c r="AL198" s="2">
        <v>194640.67</v>
      </c>
      <c r="AM198" s="2">
        <v>56129.71</v>
      </c>
      <c r="AN198" s="2">
        <v>22275.919999999998</v>
      </c>
      <c r="AO198" s="2">
        <v>4881.8100000000004</v>
      </c>
      <c r="AP198" s="2">
        <v>0</v>
      </c>
      <c r="AQ198" s="2">
        <v>24.84</v>
      </c>
      <c r="AR198" s="2">
        <v>0</v>
      </c>
      <c r="AS198" s="2">
        <v>0</v>
      </c>
      <c r="AT198" s="2">
        <v>70</v>
      </c>
      <c r="AU198" s="2">
        <v>10</v>
      </c>
      <c r="AV198" s="2">
        <v>1</v>
      </c>
      <c r="AW198" s="2">
        <v>1</v>
      </c>
      <c r="AZ198" s="2">
        <v>1</v>
      </c>
      <c r="BA198" s="2">
        <v>1</v>
      </c>
      <c r="BB198" s="2">
        <v>1</v>
      </c>
      <c r="BC198" s="2">
        <v>1</v>
      </c>
      <c r="BD198" s="2" t="s">
        <v>30</v>
      </c>
      <c r="BE198" s="2" t="s">
        <v>30</v>
      </c>
      <c r="BF198" s="2" t="s">
        <v>30</v>
      </c>
      <c r="BG198" s="2" t="s">
        <v>30</v>
      </c>
      <c r="BH198" s="2">
        <v>0</v>
      </c>
      <c r="BI198" s="2">
        <v>4</v>
      </c>
      <c r="BJ198" s="2" t="s">
        <v>354</v>
      </c>
      <c r="BM198" s="2">
        <v>0</v>
      </c>
      <c r="BN198" s="2">
        <v>0</v>
      </c>
      <c r="BO198" s="2" t="s">
        <v>30</v>
      </c>
      <c r="BP198" s="2">
        <v>0</v>
      </c>
      <c r="BQ198" s="2">
        <v>1</v>
      </c>
      <c r="BR198" s="2">
        <v>0</v>
      </c>
      <c r="BS198" s="2">
        <v>1</v>
      </c>
      <c r="BT198" s="2">
        <v>1</v>
      </c>
      <c r="BU198" s="2">
        <v>1</v>
      </c>
      <c r="BV198" s="2">
        <v>1</v>
      </c>
      <c r="BW198" s="2">
        <v>1</v>
      </c>
      <c r="BX198" s="2">
        <v>1</v>
      </c>
      <c r="BY198" s="2" t="s">
        <v>30</v>
      </c>
      <c r="BZ198" s="2">
        <v>70</v>
      </c>
      <c r="CA198" s="2">
        <v>10</v>
      </c>
      <c r="CB198" s="2" t="s">
        <v>30</v>
      </c>
      <c r="CE198" s="2">
        <v>0</v>
      </c>
      <c r="CF198" s="2">
        <v>0</v>
      </c>
      <c r="CG198" s="2">
        <v>0</v>
      </c>
      <c r="CM198" s="2">
        <v>0</v>
      </c>
      <c r="CN198" s="2" t="s">
        <v>30</v>
      </c>
      <c r="CO198" s="2">
        <v>0</v>
      </c>
      <c r="CP198" s="2">
        <f t="shared" si="116"/>
        <v>52408.7</v>
      </c>
      <c r="CQ198" s="2">
        <f t="shared" si="117"/>
        <v>194640.67</v>
      </c>
      <c r="CR198" s="2">
        <f t="shared" si="137"/>
        <v>56129.71</v>
      </c>
      <c r="CS198" s="2">
        <f t="shared" si="119"/>
        <v>22275.919999999998</v>
      </c>
      <c r="CT198" s="2">
        <f t="shared" si="120"/>
        <v>4881.8100000000004</v>
      </c>
      <c r="CU198" s="2">
        <f t="shared" si="121"/>
        <v>0</v>
      </c>
      <c r="CV198" s="2">
        <f t="shared" si="122"/>
        <v>24.84</v>
      </c>
      <c r="CW198" s="2">
        <f t="shared" si="123"/>
        <v>0</v>
      </c>
      <c r="CX198" s="2">
        <f t="shared" si="123"/>
        <v>0</v>
      </c>
      <c r="CY198" s="2">
        <f t="shared" si="124"/>
        <v>700.53899999999999</v>
      </c>
      <c r="CZ198" s="2">
        <f t="shared" si="125"/>
        <v>100.077</v>
      </c>
      <c r="DC198" s="2" t="s">
        <v>30</v>
      </c>
      <c r="DD198" s="2" t="s">
        <v>30</v>
      </c>
      <c r="DE198" s="2" t="s">
        <v>30</v>
      </c>
      <c r="DF198" s="2" t="s">
        <v>30</v>
      </c>
      <c r="DG198" s="2" t="s">
        <v>30</v>
      </c>
      <c r="DH198" s="2" t="s">
        <v>30</v>
      </c>
      <c r="DI198" s="2" t="s">
        <v>30</v>
      </c>
      <c r="DJ198" s="2" t="s">
        <v>30</v>
      </c>
      <c r="DK198" s="2" t="s">
        <v>30</v>
      </c>
      <c r="DL198" s="2" t="s">
        <v>30</v>
      </c>
      <c r="DM198" s="2" t="s">
        <v>30</v>
      </c>
      <c r="DN198" s="2">
        <v>0</v>
      </c>
      <c r="DO198" s="2">
        <v>0</v>
      </c>
      <c r="DP198" s="2">
        <v>1</v>
      </c>
      <c r="DQ198" s="2">
        <v>1</v>
      </c>
      <c r="DU198" s="2">
        <v>1007</v>
      </c>
      <c r="DV198" s="2" t="s">
        <v>68</v>
      </c>
      <c r="DW198" s="2" t="s">
        <v>68</v>
      </c>
      <c r="DX198" s="2">
        <v>100</v>
      </c>
      <c r="DZ198" s="2" t="s">
        <v>30</v>
      </c>
      <c r="EA198" s="2" t="s">
        <v>30</v>
      </c>
      <c r="EB198" s="2" t="s">
        <v>30</v>
      </c>
      <c r="EC198" s="2" t="s">
        <v>30</v>
      </c>
      <c r="EE198" s="2">
        <v>49661954</v>
      </c>
      <c r="EF198" s="2">
        <v>1</v>
      </c>
      <c r="EG198" s="2" t="s">
        <v>180</v>
      </c>
      <c r="EH198" s="2">
        <v>0</v>
      </c>
      <c r="EI198" s="2" t="s">
        <v>30</v>
      </c>
      <c r="EJ198" s="2">
        <v>4</v>
      </c>
      <c r="EK198" s="2">
        <v>0</v>
      </c>
      <c r="EL198" s="2" t="s">
        <v>181</v>
      </c>
      <c r="EM198" s="2" t="s">
        <v>182</v>
      </c>
      <c r="EO198" s="2" t="s">
        <v>30</v>
      </c>
      <c r="EQ198" s="2">
        <v>0</v>
      </c>
      <c r="ER198" s="2">
        <v>255652.19</v>
      </c>
      <c r="ES198" s="2">
        <v>194640.67</v>
      </c>
      <c r="ET198" s="2">
        <v>56129.71</v>
      </c>
      <c r="EU198" s="2">
        <v>22275.919999999998</v>
      </c>
      <c r="EV198" s="2">
        <v>4881.8100000000004</v>
      </c>
      <c r="EW198" s="2">
        <v>24.84</v>
      </c>
      <c r="EX198" s="2">
        <v>0</v>
      </c>
      <c r="EY198" s="2">
        <v>0</v>
      </c>
      <c r="FQ198" s="2">
        <v>0</v>
      </c>
      <c r="FR198" s="2">
        <f t="shared" si="126"/>
        <v>0</v>
      </c>
      <c r="FS198" s="2">
        <v>0</v>
      </c>
      <c r="FX198" s="2">
        <v>70</v>
      </c>
      <c r="FY198" s="2">
        <v>10</v>
      </c>
      <c r="GA198" s="2" t="s">
        <v>30</v>
      </c>
      <c r="GD198" s="2">
        <v>0</v>
      </c>
      <c r="GF198" s="2">
        <v>1179529940</v>
      </c>
      <c r="GG198" s="2">
        <v>2</v>
      </c>
      <c r="GH198" s="2">
        <v>1</v>
      </c>
      <c r="GI198" s="2">
        <v>-2</v>
      </c>
      <c r="GJ198" s="2">
        <v>0</v>
      </c>
      <c r="GK198" s="2">
        <f>ROUND(R198*(R12)/100,2)</f>
        <v>4931.88</v>
      </c>
      <c r="GL198" s="2">
        <f t="shared" si="127"/>
        <v>0</v>
      </c>
      <c r="GM198" s="2">
        <f t="shared" si="138"/>
        <v>58141.2</v>
      </c>
      <c r="GN198" s="2">
        <f t="shared" si="139"/>
        <v>0</v>
      </c>
      <c r="GO198" s="2">
        <f t="shared" si="140"/>
        <v>0</v>
      </c>
      <c r="GP198" s="2">
        <f t="shared" si="141"/>
        <v>58141.2</v>
      </c>
      <c r="GR198" s="2">
        <v>0</v>
      </c>
      <c r="GS198" s="2">
        <v>0</v>
      </c>
      <c r="GT198" s="2">
        <v>0</v>
      </c>
      <c r="GU198" s="2" t="s">
        <v>30</v>
      </c>
      <c r="GV198" s="2">
        <f t="shared" si="128"/>
        <v>0</v>
      </c>
      <c r="GW198" s="2">
        <v>1</v>
      </c>
      <c r="GX198" s="2">
        <f t="shared" si="129"/>
        <v>0</v>
      </c>
      <c r="HA198" s="2">
        <v>0</v>
      </c>
      <c r="HB198" s="2">
        <v>0</v>
      </c>
      <c r="HC198" s="2">
        <f t="shared" si="130"/>
        <v>0</v>
      </c>
      <c r="HE198" s="2" t="s">
        <v>30</v>
      </c>
      <c r="HF198" s="2" t="s">
        <v>30</v>
      </c>
      <c r="HM198" s="2" t="s">
        <v>30</v>
      </c>
      <c r="HN198" s="2" t="s">
        <v>30</v>
      </c>
      <c r="HO198" s="2" t="s">
        <v>30</v>
      </c>
      <c r="HP198" s="2" t="s">
        <v>30</v>
      </c>
      <c r="HQ198" s="2" t="s">
        <v>30</v>
      </c>
      <c r="IK198" s="2">
        <v>0</v>
      </c>
    </row>
    <row r="199" spans="1:245" x14ac:dyDescent="0.25">
      <c r="A199" s="2">
        <v>18</v>
      </c>
      <c r="B199" s="2">
        <v>1</v>
      </c>
      <c r="C199" s="2">
        <v>90</v>
      </c>
      <c r="E199" s="2" t="s">
        <v>401</v>
      </c>
      <c r="F199" s="2" t="s">
        <v>194</v>
      </c>
      <c r="G199" s="2" t="s">
        <v>195</v>
      </c>
      <c r="H199" s="2" t="s">
        <v>62</v>
      </c>
      <c r="I199" s="2">
        <f>I198*J199</f>
        <v>-25.83</v>
      </c>
      <c r="J199" s="2">
        <v>-126</v>
      </c>
      <c r="K199" s="2">
        <v>-126</v>
      </c>
      <c r="O199" s="2">
        <f t="shared" si="99"/>
        <v>-39849.230000000003</v>
      </c>
      <c r="P199" s="2">
        <f t="shared" si="100"/>
        <v>-39849.230000000003</v>
      </c>
      <c r="Q199" s="2">
        <f t="shared" si="101"/>
        <v>0</v>
      </c>
      <c r="R199" s="2">
        <f t="shared" si="102"/>
        <v>0</v>
      </c>
      <c r="S199" s="2">
        <f t="shared" si="103"/>
        <v>0</v>
      </c>
      <c r="T199" s="2">
        <f t="shared" si="104"/>
        <v>0</v>
      </c>
      <c r="U199" s="2">
        <f t="shared" si="105"/>
        <v>0</v>
      </c>
      <c r="V199" s="2">
        <f t="shared" si="106"/>
        <v>0</v>
      </c>
      <c r="W199" s="2">
        <f t="shared" si="107"/>
        <v>0</v>
      </c>
      <c r="X199" s="2">
        <f t="shared" si="108"/>
        <v>0</v>
      </c>
      <c r="Y199" s="2">
        <f t="shared" si="108"/>
        <v>0</v>
      </c>
      <c r="AA199" s="2">
        <v>52286166</v>
      </c>
      <c r="AB199" s="2">
        <f t="shared" si="109"/>
        <v>1542.75</v>
      </c>
      <c r="AC199" s="2">
        <f t="shared" si="133"/>
        <v>1542.75</v>
      </c>
      <c r="AD199" s="2">
        <f t="shared" si="134"/>
        <v>0</v>
      </c>
      <c r="AE199" s="2">
        <f t="shared" si="135"/>
        <v>0</v>
      </c>
      <c r="AF199" s="2">
        <f t="shared" si="135"/>
        <v>0</v>
      </c>
      <c r="AG199" s="2">
        <f t="shared" si="113"/>
        <v>0</v>
      </c>
      <c r="AH199" s="2">
        <f t="shared" si="136"/>
        <v>0</v>
      </c>
      <c r="AI199" s="2">
        <f t="shared" si="136"/>
        <v>0</v>
      </c>
      <c r="AJ199" s="2">
        <f t="shared" si="115"/>
        <v>0</v>
      </c>
      <c r="AK199" s="2">
        <v>1542.75</v>
      </c>
      <c r="AL199" s="2">
        <v>1542.75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70</v>
      </c>
      <c r="AU199" s="2">
        <v>10</v>
      </c>
      <c r="AV199" s="2">
        <v>1</v>
      </c>
      <c r="AW199" s="2">
        <v>1</v>
      </c>
      <c r="AZ199" s="2">
        <v>1</v>
      </c>
      <c r="BA199" s="2">
        <v>1</v>
      </c>
      <c r="BB199" s="2">
        <v>1</v>
      </c>
      <c r="BC199" s="2">
        <v>1</v>
      </c>
      <c r="BD199" s="2" t="s">
        <v>30</v>
      </c>
      <c r="BE199" s="2" t="s">
        <v>30</v>
      </c>
      <c r="BF199" s="2" t="s">
        <v>30</v>
      </c>
      <c r="BG199" s="2" t="s">
        <v>30</v>
      </c>
      <c r="BH199" s="2">
        <v>3</v>
      </c>
      <c r="BI199" s="2">
        <v>4</v>
      </c>
      <c r="BJ199" s="2" t="s">
        <v>196</v>
      </c>
      <c r="BM199" s="2">
        <v>0</v>
      </c>
      <c r="BN199" s="2">
        <v>0</v>
      </c>
      <c r="BO199" s="2" t="s">
        <v>30</v>
      </c>
      <c r="BP199" s="2">
        <v>0</v>
      </c>
      <c r="BQ199" s="2">
        <v>1</v>
      </c>
      <c r="BR199" s="2">
        <v>1</v>
      </c>
      <c r="BS199" s="2">
        <v>1</v>
      </c>
      <c r="BT199" s="2">
        <v>1</v>
      </c>
      <c r="BU199" s="2">
        <v>1</v>
      </c>
      <c r="BV199" s="2">
        <v>1</v>
      </c>
      <c r="BW199" s="2">
        <v>1</v>
      </c>
      <c r="BX199" s="2">
        <v>1</v>
      </c>
      <c r="BY199" s="2" t="s">
        <v>30</v>
      </c>
      <c r="BZ199" s="2">
        <v>70</v>
      </c>
      <c r="CA199" s="2">
        <v>10</v>
      </c>
      <c r="CB199" s="2" t="s">
        <v>30</v>
      </c>
      <c r="CE199" s="2">
        <v>0</v>
      </c>
      <c r="CF199" s="2">
        <v>0</v>
      </c>
      <c r="CG199" s="2">
        <v>0</v>
      </c>
      <c r="CM199" s="2">
        <v>0</v>
      </c>
      <c r="CN199" s="2" t="s">
        <v>30</v>
      </c>
      <c r="CO199" s="2">
        <v>0</v>
      </c>
      <c r="CP199" s="2">
        <f t="shared" si="116"/>
        <v>-39849.230000000003</v>
      </c>
      <c r="CQ199" s="2">
        <f t="shared" si="117"/>
        <v>1542.75</v>
      </c>
      <c r="CR199" s="2">
        <f t="shared" si="137"/>
        <v>0</v>
      </c>
      <c r="CS199" s="2">
        <f t="shared" si="119"/>
        <v>0</v>
      </c>
      <c r="CT199" s="2">
        <f t="shared" si="120"/>
        <v>0</v>
      </c>
      <c r="CU199" s="2">
        <f t="shared" si="121"/>
        <v>0</v>
      </c>
      <c r="CV199" s="2">
        <f t="shared" si="122"/>
        <v>0</v>
      </c>
      <c r="CW199" s="2">
        <f t="shared" si="123"/>
        <v>0</v>
      </c>
      <c r="CX199" s="2">
        <f t="shared" si="123"/>
        <v>0</v>
      </c>
      <c r="CY199" s="2">
        <f t="shared" si="124"/>
        <v>0</v>
      </c>
      <c r="CZ199" s="2">
        <f t="shared" si="125"/>
        <v>0</v>
      </c>
      <c r="DC199" s="2" t="s">
        <v>30</v>
      </c>
      <c r="DD199" s="2" t="s">
        <v>30</v>
      </c>
      <c r="DE199" s="2" t="s">
        <v>30</v>
      </c>
      <c r="DF199" s="2" t="s">
        <v>30</v>
      </c>
      <c r="DG199" s="2" t="s">
        <v>30</v>
      </c>
      <c r="DH199" s="2" t="s">
        <v>30</v>
      </c>
      <c r="DI199" s="2" t="s">
        <v>30</v>
      </c>
      <c r="DJ199" s="2" t="s">
        <v>30</v>
      </c>
      <c r="DK199" s="2" t="s">
        <v>30</v>
      </c>
      <c r="DL199" s="2" t="s">
        <v>30</v>
      </c>
      <c r="DM199" s="2" t="s">
        <v>30</v>
      </c>
      <c r="DN199" s="2">
        <v>0</v>
      </c>
      <c r="DO199" s="2">
        <v>0</v>
      </c>
      <c r="DP199" s="2">
        <v>1</v>
      </c>
      <c r="DQ199" s="2">
        <v>1</v>
      </c>
      <c r="DU199" s="2">
        <v>1007</v>
      </c>
      <c r="DV199" s="2" t="s">
        <v>62</v>
      </c>
      <c r="DW199" s="2" t="s">
        <v>62</v>
      </c>
      <c r="DX199" s="2">
        <v>1</v>
      </c>
      <c r="DZ199" s="2" t="s">
        <v>30</v>
      </c>
      <c r="EA199" s="2" t="s">
        <v>30</v>
      </c>
      <c r="EB199" s="2" t="s">
        <v>30</v>
      </c>
      <c r="EC199" s="2" t="s">
        <v>30</v>
      </c>
      <c r="EE199" s="2">
        <v>49661954</v>
      </c>
      <c r="EF199" s="2">
        <v>1</v>
      </c>
      <c r="EG199" s="2" t="s">
        <v>180</v>
      </c>
      <c r="EH199" s="2">
        <v>0</v>
      </c>
      <c r="EI199" s="2" t="s">
        <v>30</v>
      </c>
      <c r="EJ199" s="2">
        <v>4</v>
      </c>
      <c r="EK199" s="2">
        <v>0</v>
      </c>
      <c r="EL199" s="2" t="s">
        <v>181</v>
      </c>
      <c r="EM199" s="2" t="s">
        <v>182</v>
      </c>
      <c r="EO199" s="2" t="s">
        <v>30</v>
      </c>
      <c r="EQ199" s="2">
        <v>32768</v>
      </c>
      <c r="ER199" s="2">
        <v>1542.75</v>
      </c>
      <c r="ES199" s="2">
        <v>1542.75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FQ199" s="2">
        <v>0</v>
      </c>
      <c r="FR199" s="2">
        <f t="shared" si="126"/>
        <v>0</v>
      </c>
      <c r="FS199" s="2">
        <v>0</v>
      </c>
      <c r="FX199" s="2">
        <v>70</v>
      </c>
      <c r="FY199" s="2">
        <v>10</v>
      </c>
      <c r="GA199" s="2" t="s">
        <v>30</v>
      </c>
      <c r="GD199" s="2">
        <v>0</v>
      </c>
      <c r="GF199" s="2">
        <v>-1914292201</v>
      </c>
      <c r="GG199" s="2">
        <v>2</v>
      </c>
      <c r="GH199" s="2">
        <v>1</v>
      </c>
      <c r="GI199" s="2">
        <v>-2</v>
      </c>
      <c r="GJ199" s="2">
        <v>0</v>
      </c>
      <c r="GK199" s="2">
        <f>ROUND(R199*(R12)/100,2)</f>
        <v>0</v>
      </c>
      <c r="GL199" s="2">
        <f t="shared" si="127"/>
        <v>0</v>
      </c>
      <c r="GM199" s="2">
        <f t="shared" si="138"/>
        <v>-39849.230000000003</v>
      </c>
      <c r="GN199" s="2">
        <f t="shared" si="139"/>
        <v>0</v>
      </c>
      <c r="GO199" s="2">
        <f t="shared" si="140"/>
        <v>0</v>
      </c>
      <c r="GP199" s="2">
        <f t="shared" si="141"/>
        <v>-39849.230000000003</v>
      </c>
      <c r="GR199" s="2">
        <v>0</v>
      </c>
      <c r="GS199" s="2">
        <v>0</v>
      </c>
      <c r="GT199" s="2">
        <v>0</v>
      </c>
      <c r="GU199" s="2" t="s">
        <v>30</v>
      </c>
      <c r="GV199" s="2">
        <f t="shared" si="128"/>
        <v>0</v>
      </c>
      <c r="GW199" s="2">
        <v>1</v>
      </c>
      <c r="GX199" s="2">
        <f t="shared" si="129"/>
        <v>0</v>
      </c>
      <c r="HA199" s="2">
        <v>0</v>
      </c>
      <c r="HB199" s="2">
        <v>0</v>
      </c>
      <c r="HC199" s="2">
        <f t="shared" si="130"/>
        <v>0</v>
      </c>
      <c r="HE199" s="2" t="s">
        <v>30</v>
      </c>
      <c r="HF199" s="2" t="s">
        <v>30</v>
      </c>
      <c r="HM199" s="2" t="s">
        <v>30</v>
      </c>
      <c r="HN199" s="2" t="s">
        <v>30</v>
      </c>
      <c r="HO199" s="2" t="s">
        <v>30</v>
      </c>
      <c r="HP199" s="2" t="s">
        <v>30</v>
      </c>
      <c r="HQ199" s="2" t="s">
        <v>30</v>
      </c>
      <c r="IK199" s="2">
        <v>0</v>
      </c>
    </row>
    <row r="200" spans="1:245" x14ac:dyDescent="0.25">
      <c r="A200" s="2">
        <v>18</v>
      </c>
      <c r="B200" s="2">
        <v>1</v>
      </c>
      <c r="C200" s="2">
        <v>89</v>
      </c>
      <c r="E200" s="2" t="s">
        <v>402</v>
      </c>
      <c r="F200" s="2" t="s">
        <v>107</v>
      </c>
      <c r="G200" s="2" t="s">
        <v>108</v>
      </c>
      <c r="H200" s="2" t="s">
        <v>62</v>
      </c>
      <c r="I200" s="2">
        <f>I198*J200</f>
        <v>25.83</v>
      </c>
      <c r="J200" s="2">
        <v>126</v>
      </c>
      <c r="K200" s="2">
        <v>126</v>
      </c>
      <c r="O200" s="2">
        <f t="shared" si="99"/>
        <v>31835.48</v>
      </c>
      <c r="P200" s="2">
        <f t="shared" si="100"/>
        <v>31835.48</v>
      </c>
      <c r="Q200" s="2">
        <f t="shared" si="101"/>
        <v>0</v>
      </c>
      <c r="R200" s="2">
        <f t="shared" si="102"/>
        <v>0</v>
      </c>
      <c r="S200" s="2">
        <f t="shared" si="103"/>
        <v>0</v>
      </c>
      <c r="T200" s="2">
        <f t="shared" si="104"/>
        <v>0</v>
      </c>
      <c r="U200" s="2">
        <f t="shared" si="105"/>
        <v>0</v>
      </c>
      <c r="V200" s="2">
        <f t="shared" si="106"/>
        <v>0</v>
      </c>
      <c r="W200" s="2">
        <f t="shared" si="107"/>
        <v>0</v>
      </c>
      <c r="X200" s="2">
        <f t="shared" si="108"/>
        <v>0</v>
      </c>
      <c r="Y200" s="2">
        <f t="shared" si="108"/>
        <v>0</v>
      </c>
      <c r="AA200" s="2">
        <v>52286166</v>
      </c>
      <c r="AB200" s="2">
        <f t="shared" si="109"/>
        <v>1232.5</v>
      </c>
      <c r="AC200" s="2">
        <f t="shared" si="133"/>
        <v>1232.5</v>
      </c>
      <c r="AD200" s="2">
        <f t="shared" si="134"/>
        <v>0</v>
      </c>
      <c r="AE200" s="2">
        <f t="shared" si="135"/>
        <v>0</v>
      </c>
      <c r="AF200" s="2">
        <f t="shared" si="135"/>
        <v>0</v>
      </c>
      <c r="AG200" s="2">
        <f t="shared" si="113"/>
        <v>0</v>
      </c>
      <c r="AH200" s="2">
        <f t="shared" si="136"/>
        <v>0</v>
      </c>
      <c r="AI200" s="2">
        <f t="shared" si="136"/>
        <v>0</v>
      </c>
      <c r="AJ200" s="2">
        <f t="shared" si="115"/>
        <v>0</v>
      </c>
      <c r="AK200" s="2">
        <v>1232.5</v>
      </c>
      <c r="AL200" s="2">
        <v>1232.5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70</v>
      </c>
      <c r="AU200" s="2">
        <v>10</v>
      </c>
      <c r="AV200" s="2">
        <v>1</v>
      </c>
      <c r="AW200" s="2">
        <v>1</v>
      </c>
      <c r="AZ200" s="2">
        <v>1</v>
      </c>
      <c r="BA200" s="2">
        <v>1</v>
      </c>
      <c r="BB200" s="2">
        <v>1</v>
      </c>
      <c r="BC200" s="2">
        <v>1</v>
      </c>
      <c r="BD200" s="2" t="s">
        <v>30</v>
      </c>
      <c r="BE200" s="2" t="s">
        <v>30</v>
      </c>
      <c r="BF200" s="2" t="s">
        <v>30</v>
      </c>
      <c r="BG200" s="2" t="s">
        <v>30</v>
      </c>
      <c r="BH200" s="2">
        <v>3</v>
      </c>
      <c r="BI200" s="2">
        <v>4</v>
      </c>
      <c r="BJ200" s="2" t="s">
        <v>197</v>
      </c>
      <c r="BM200" s="2">
        <v>0</v>
      </c>
      <c r="BN200" s="2">
        <v>0</v>
      </c>
      <c r="BO200" s="2" t="s">
        <v>30</v>
      </c>
      <c r="BP200" s="2">
        <v>0</v>
      </c>
      <c r="BQ200" s="2">
        <v>1</v>
      </c>
      <c r="BR200" s="2">
        <v>0</v>
      </c>
      <c r="BS200" s="2">
        <v>1</v>
      </c>
      <c r="BT200" s="2">
        <v>1</v>
      </c>
      <c r="BU200" s="2">
        <v>1</v>
      </c>
      <c r="BV200" s="2">
        <v>1</v>
      </c>
      <c r="BW200" s="2">
        <v>1</v>
      </c>
      <c r="BX200" s="2">
        <v>1</v>
      </c>
      <c r="BY200" s="2" t="s">
        <v>30</v>
      </c>
      <c r="BZ200" s="2">
        <v>70</v>
      </c>
      <c r="CA200" s="2">
        <v>10</v>
      </c>
      <c r="CB200" s="2" t="s">
        <v>30</v>
      </c>
      <c r="CE200" s="2">
        <v>0</v>
      </c>
      <c r="CF200" s="2">
        <v>0</v>
      </c>
      <c r="CG200" s="2">
        <v>0</v>
      </c>
      <c r="CM200" s="2">
        <v>0</v>
      </c>
      <c r="CN200" s="2" t="s">
        <v>30</v>
      </c>
      <c r="CO200" s="2">
        <v>0</v>
      </c>
      <c r="CP200" s="2">
        <f t="shared" si="116"/>
        <v>31835.48</v>
      </c>
      <c r="CQ200" s="2">
        <f t="shared" si="117"/>
        <v>1232.5</v>
      </c>
      <c r="CR200" s="2">
        <f t="shared" si="137"/>
        <v>0</v>
      </c>
      <c r="CS200" s="2">
        <f t="shared" si="119"/>
        <v>0</v>
      </c>
      <c r="CT200" s="2">
        <f t="shared" si="120"/>
        <v>0</v>
      </c>
      <c r="CU200" s="2">
        <f t="shared" si="121"/>
        <v>0</v>
      </c>
      <c r="CV200" s="2">
        <f t="shared" si="122"/>
        <v>0</v>
      </c>
      <c r="CW200" s="2">
        <f t="shared" si="123"/>
        <v>0</v>
      </c>
      <c r="CX200" s="2">
        <f t="shared" si="123"/>
        <v>0</v>
      </c>
      <c r="CY200" s="2">
        <f t="shared" si="124"/>
        <v>0</v>
      </c>
      <c r="CZ200" s="2">
        <f t="shared" si="125"/>
        <v>0</v>
      </c>
      <c r="DC200" s="2" t="s">
        <v>30</v>
      </c>
      <c r="DD200" s="2" t="s">
        <v>30</v>
      </c>
      <c r="DE200" s="2" t="s">
        <v>30</v>
      </c>
      <c r="DF200" s="2" t="s">
        <v>30</v>
      </c>
      <c r="DG200" s="2" t="s">
        <v>30</v>
      </c>
      <c r="DH200" s="2" t="s">
        <v>30</v>
      </c>
      <c r="DI200" s="2" t="s">
        <v>30</v>
      </c>
      <c r="DJ200" s="2" t="s">
        <v>30</v>
      </c>
      <c r="DK200" s="2" t="s">
        <v>30</v>
      </c>
      <c r="DL200" s="2" t="s">
        <v>30</v>
      </c>
      <c r="DM200" s="2" t="s">
        <v>30</v>
      </c>
      <c r="DN200" s="2">
        <v>0</v>
      </c>
      <c r="DO200" s="2">
        <v>0</v>
      </c>
      <c r="DP200" s="2">
        <v>1</v>
      </c>
      <c r="DQ200" s="2">
        <v>1</v>
      </c>
      <c r="DU200" s="2">
        <v>1007</v>
      </c>
      <c r="DV200" s="2" t="s">
        <v>62</v>
      </c>
      <c r="DW200" s="2" t="s">
        <v>62</v>
      </c>
      <c r="DX200" s="2">
        <v>1</v>
      </c>
      <c r="DZ200" s="2" t="s">
        <v>30</v>
      </c>
      <c r="EA200" s="2" t="s">
        <v>30</v>
      </c>
      <c r="EB200" s="2" t="s">
        <v>30</v>
      </c>
      <c r="EC200" s="2" t="s">
        <v>30</v>
      </c>
      <c r="EE200" s="2">
        <v>49661954</v>
      </c>
      <c r="EF200" s="2">
        <v>1</v>
      </c>
      <c r="EG200" s="2" t="s">
        <v>180</v>
      </c>
      <c r="EH200" s="2">
        <v>0</v>
      </c>
      <c r="EI200" s="2" t="s">
        <v>30</v>
      </c>
      <c r="EJ200" s="2">
        <v>4</v>
      </c>
      <c r="EK200" s="2">
        <v>0</v>
      </c>
      <c r="EL200" s="2" t="s">
        <v>181</v>
      </c>
      <c r="EM200" s="2" t="s">
        <v>182</v>
      </c>
      <c r="EO200" s="2" t="s">
        <v>30</v>
      </c>
      <c r="EQ200" s="2">
        <v>0</v>
      </c>
      <c r="ER200" s="2">
        <v>1232.5</v>
      </c>
      <c r="ES200" s="2">
        <v>1232.5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FQ200" s="2">
        <v>0</v>
      </c>
      <c r="FR200" s="2">
        <f t="shared" si="126"/>
        <v>0</v>
      </c>
      <c r="FS200" s="2">
        <v>0</v>
      </c>
      <c r="FX200" s="2">
        <v>70</v>
      </c>
      <c r="FY200" s="2">
        <v>10</v>
      </c>
      <c r="GA200" s="2" t="s">
        <v>30</v>
      </c>
      <c r="GD200" s="2">
        <v>0</v>
      </c>
      <c r="GF200" s="2">
        <v>-579596608</v>
      </c>
      <c r="GG200" s="2">
        <v>2</v>
      </c>
      <c r="GH200" s="2">
        <v>1</v>
      </c>
      <c r="GI200" s="2">
        <v>-2</v>
      </c>
      <c r="GJ200" s="2">
        <v>0</v>
      </c>
      <c r="GK200" s="2">
        <f>ROUND(R200*(R12)/100,2)</f>
        <v>0</v>
      </c>
      <c r="GL200" s="2">
        <f t="shared" si="127"/>
        <v>0</v>
      </c>
      <c r="GM200" s="2">
        <f t="shared" si="138"/>
        <v>31835.48</v>
      </c>
      <c r="GN200" s="2">
        <f t="shared" si="139"/>
        <v>0</v>
      </c>
      <c r="GO200" s="2">
        <f t="shared" si="140"/>
        <v>0</v>
      </c>
      <c r="GP200" s="2">
        <f t="shared" si="141"/>
        <v>31835.48</v>
      </c>
      <c r="GR200" s="2">
        <v>0</v>
      </c>
      <c r="GS200" s="2">
        <v>0</v>
      </c>
      <c r="GT200" s="2">
        <v>0</v>
      </c>
      <c r="GU200" s="2" t="s">
        <v>30</v>
      </c>
      <c r="GV200" s="2">
        <f t="shared" si="128"/>
        <v>0</v>
      </c>
      <c r="GW200" s="2">
        <v>1</v>
      </c>
      <c r="GX200" s="2">
        <f t="shared" si="129"/>
        <v>0</v>
      </c>
      <c r="HA200" s="2">
        <v>0</v>
      </c>
      <c r="HB200" s="2">
        <v>0</v>
      </c>
      <c r="HC200" s="2">
        <f t="shared" si="130"/>
        <v>0</v>
      </c>
      <c r="HE200" s="2" t="s">
        <v>30</v>
      </c>
      <c r="HF200" s="2" t="s">
        <v>30</v>
      </c>
      <c r="HM200" s="2" t="s">
        <v>30</v>
      </c>
      <c r="HN200" s="2" t="s">
        <v>30</v>
      </c>
      <c r="HO200" s="2" t="s">
        <v>30</v>
      </c>
      <c r="HP200" s="2" t="s">
        <v>30</v>
      </c>
      <c r="HQ200" s="2" t="s">
        <v>30</v>
      </c>
      <c r="IK200" s="2">
        <v>0</v>
      </c>
    </row>
    <row r="201" spans="1:245" x14ac:dyDescent="0.25">
      <c r="A201" s="2">
        <v>17</v>
      </c>
      <c r="B201" s="2">
        <v>1</v>
      </c>
      <c r="C201" s="2">
        <f>ROW('SmtRes (3)'!A96)</f>
        <v>96</v>
      </c>
      <c r="D201" s="2">
        <f>ROW('EtalonRes (3)'!A92)</f>
        <v>92</v>
      </c>
      <c r="E201" s="2" t="s">
        <v>443</v>
      </c>
      <c r="F201" s="2" t="s">
        <v>209</v>
      </c>
      <c r="G201" s="2" t="s">
        <v>356</v>
      </c>
      <c r="H201" s="2" t="s">
        <v>60</v>
      </c>
      <c r="I201" s="2">
        <f>ROUND(205/100,9)</f>
        <v>2.0499999999999998</v>
      </c>
      <c r="J201" s="2">
        <v>0</v>
      </c>
      <c r="K201" s="2">
        <f>ROUND(205/100,9)</f>
        <v>2.0499999999999998</v>
      </c>
      <c r="O201" s="2">
        <f t="shared" si="99"/>
        <v>55084.76</v>
      </c>
      <c r="P201" s="2">
        <f t="shared" si="100"/>
        <v>47525.81</v>
      </c>
      <c r="Q201" s="2">
        <f t="shared" si="101"/>
        <v>2489.87</v>
      </c>
      <c r="R201" s="2">
        <f t="shared" si="102"/>
        <v>1015.37</v>
      </c>
      <c r="S201" s="2">
        <f t="shared" si="103"/>
        <v>5069.08</v>
      </c>
      <c r="T201" s="2">
        <f t="shared" si="104"/>
        <v>0</v>
      </c>
      <c r="U201" s="2">
        <f t="shared" si="105"/>
        <v>21.114999999999998</v>
      </c>
      <c r="V201" s="2">
        <f t="shared" si="106"/>
        <v>0</v>
      </c>
      <c r="W201" s="2">
        <f t="shared" si="107"/>
        <v>0</v>
      </c>
      <c r="X201" s="2">
        <f t="shared" si="108"/>
        <v>3548.36</v>
      </c>
      <c r="Y201" s="2">
        <f t="shared" si="108"/>
        <v>506.91</v>
      </c>
      <c r="AA201" s="2">
        <v>52286166</v>
      </c>
      <c r="AB201" s="2">
        <f t="shared" si="109"/>
        <v>26870.61</v>
      </c>
      <c r="AC201" s="2">
        <f t="shared" si="133"/>
        <v>23183.32</v>
      </c>
      <c r="AD201" s="2">
        <f t="shared" si="134"/>
        <v>1214.57</v>
      </c>
      <c r="AE201" s="2">
        <f t="shared" si="135"/>
        <v>495.3</v>
      </c>
      <c r="AF201" s="2">
        <f t="shared" si="135"/>
        <v>2472.7199999999998</v>
      </c>
      <c r="AG201" s="2">
        <f t="shared" si="113"/>
        <v>0</v>
      </c>
      <c r="AH201" s="2">
        <f t="shared" si="136"/>
        <v>10.3</v>
      </c>
      <c r="AI201" s="2">
        <f t="shared" si="136"/>
        <v>0</v>
      </c>
      <c r="AJ201" s="2">
        <f t="shared" si="115"/>
        <v>0</v>
      </c>
      <c r="AK201" s="2">
        <v>26870.61</v>
      </c>
      <c r="AL201" s="2">
        <v>23183.32</v>
      </c>
      <c r="AM201" s="2">
        <v>1214.57</v>
      </c>
      <c r="AN201" s="2">
        <v>495.3</v>
      </c>
      <c r="AO201" s="2">
        <v>2472.7199999999998</v>
      </c>
      <c r="AP201" s="2">
        <v>0</v>
      </c>
      <c r="AQ201" s="2">
        <v>10.3</v>
      </c>
      <c r="AR201" s="2">
        <v>0</v>
      </c>
      <c r="AS201" s="2">
        <v>0</v>
      </c>
      <c r="AT201" s="2">
        <v>70</v>
      </c>
      <c r="AU201" s="2">
        <v>10</v>
      </c>
      <c r="AV201" s="2">
        <v>1</v>
      </c>
      <c r="AW201" s="2">
        <v>1</v>
      </c>
      <c r="AZ201" s="2">
        <v>1</v>
      </c>
      <c r="BA201" s="2">
        <v>1</v>
      </c>
      <c r="BB201" s="2">
        <v>1</v>
      </c>
      <c r="BC201" s="2">
        <v>1</v>
      </c>
      <c r="BD201" s="2" t="s">
        <v>30</v>
      </c>
      <c r="BE201" s="2" t="s">
        <v>30</v>
      </c>
      <c r="BF201" s="2" t="s">
        <v>30</v>
      </c>
      <c r="BG201" s="2" t="s">
        <v>30</v>
      </c>
      <c r="BH201" s="2">
        <v>0</v>
      </c>
      <c r="BI201" s="2">
        <v>4</v>
      </c>
      <c r="BJ201" s="2" t="s">
        <v>211</v>
      </c>
      <c r="BM201" s="2">
        <v>0</v>
      </c>
      <c r="BN201" s="2">
        <v>0</v>
      </c>
      <c r="BO201" s="2" t="s">
        <v>30</v>
      </c>
      <c r="BP201" s="2">
        <v>0</v>
      </c>
      <c r="BQ201" s="2">
        <v>1</v>
      </c>
      <c r="BR201" s="2">
        <v>0</v>
      </c>
      <c r="BS201" s="2">
        <v>1</v>
      </c>
      <c r="BT201" s="2">
        <v>1</v>
      </c>
      <c r="BU201" s="2">
        <v>1</v>
      </c>
      <c r="BV201" s="2">
        <v>1</v>
      </c>
      <c r="BW201" s="2">
        <v>1</v>
      </c>
      <c r="BX201" s="2">
        <v>1</v>
      </c>
      <c r="BY201" s="2" t="s">
        <v>30</v>
      </c>
      <c r="BZ201" s="2">
        <v>70</v>
      </c>
      <c r="CA201" s="2">
        <v>10</v>
      </c>
      <c r="CB201" s="2" t="s">
        <v>30</v>
      </c>
      <c r="CE201" s="2">
        <v>0</v>
      </c>
      <c r="CF201" s="2">
        <v>0</v>
      </c>
      <c r="CG201" s="2">
        <v>0</v>
      </c>
      <c r="CM201" s="2">
        <v>0</v>
      </c>
      <c r="CN201" s="2" t="s">
        <v>30</v>
      </c>
      <c r="CO201" s="2">
        <v>0</v>
      </c>
      <c r="CP201" s="2">
        <f t="shared" si="116"/>
        <v>55084.76</v>
      </c>
      <c r="CQ201" s="2">
        <f t="shared" si="117"/>
        <v>23183.32</v>
      </c>
      <c r="CR201" s="2">
        <f t="shared" si="137"/>
        <v>1214.57</v>
      </c>
      <c r="CS201" s="2">
        <f t="shared" si="119"/>
        <v>495.3</v>
      </c>
      <c r="CT201" s="2">
        <f t="shared" si="120"/>
        <v>2472.7199999999998</v>
      </c>
      <c r="CU201" s="2">
        <f t="shared" si="121"/>
        <v>0</v>
      </c>
      <c r="CV201" s="2">
        <f t="shared" si="122"/>
        <v>10.3</v>
      </c>
      <c r="CW201" s="2">
        <f t="shared" si="123"/>
        <v>0</v>
      </c>
      <c r="CX201" s="2">
        <f t="shared" si="123"/>
        <v>0</v>
      </c>
      <c r="CY201" s="2">
        <f t="shared" si="124"/>
        <v>3548.3560000000002</v>
      </c>
      <c r="CZ201" s="2">
        <f t="shared" si="125"/>
        <v>506.90800000000002</v>
      </c>
      <c r="DC201" s="2" t="s">
        <v>30</v>
      </c>
      <c r="DD201" s="2" t="s">
        <v>30</v>
      </c>
      <c r="DE201" s="2" t="s">
        <v>30</v>
      </c>
      <c r="DF201" s="2" t="s">
        <v>30</v>
      </c>
      <c r="DG201" s="2" t="s">
        <v>30</v>
      </c>
      <c r="DH201" s="2" t="s">
        <v>30</v>
      </c>
      <c r="DI201" s="2" t="s">
        <v>30</v>
      </c>
      <c r="DJ201" s="2" t="s">
        <v>30</v>
      </c>
      <c r="DK201" s="2" t="s">
        <v>30</v>
      </c>
      <c r="DL201" s="2" t="s">
        <v>30</v>
      </c>
      <c r="DM201" s="2" t="s">
        <v>30</v>
      </c>
      <c r="DN201" s="2">
        <v>0</v>
      </c>
      <c r="DO201" s="2">
        <v>0</v>
      </c>
      <c r="DP201" s="2">
        <v>1</v>
      </c>
      <c r="DQ201" s="2">
        <v>1</v>
      </c>
      <c r="DU201" s="2">
        <v>1005</v>
      </c>
      <c r="DV201" s="2" t="s">
        <v>60</v>
      </c>
      <c r="DW201" s="2" t="s">
        <v>60</v>
      </c>
      <c r="DX201" s="2">
        <v>100</v>
      </c>
      <c r="DZ201" s="2" t="s">
        <v>30</v>
      </c>
      <c r="EA201" s="2" t="s">
        <v>30</v>
      </c>
      <c r="EB201" s="2" t="s">
        <v>30</v>
      </c>
      <c r="EC201" s="2" t="s">
        <v>30</v>
      </c>
      <c r="EE201" s="2">
        <v>49661954</v>
      </c>
      <c r="EF201" s="2">
        <v>1</v>
      </c>
      <c r="EG201" s="2" t="s">
        <v>180</v>
      </c>
      <c r="EH201" s="2">
        <v>0</v>
      </c>
      <c r="EI201" s="2" t="s">
        <v>30</v>
      </c>
      <c r="EJ201" s="2">
        <v>4</v>
      </c>
      <c r="EK201" s="2">
        <v>0</v>
      </c>
      <c r="EL201" s="2" t="s">
        <v>181</v>
      </c>
      <c r="EM201" s="2" t="s">
        <v>182</v>
      </c>
      <c r="EO201" s="2" t="s">
        <v>30</v>
      </c>
      <c r="EQ201" s="2">
        <v>0</v>
      </c>
      <c r="ER201" s="2">
        <v>26870.61</v>
      </c>
      <c r="ES201" s="2">
        <v>23183.32</v>
      </c>
      <c r="ET201" s="2">
        <v>1214.57</v>
      </c>
      <c r="EU201" s="2">
        <v>495.3</v>
      </c>
      <c r="EV201" s="2">
        <v>2472.7199999999998</v>
      </c>
      <c r="EW201" s="2">
        <v>10.3</v>
      </c>
      <c r="EX201" s="2">
        <v>0</v>
      </c>
      <c r="EY201" s="2">
        <v>0</v>
      </c>
      <c r="FQ201" s="2">
        <v>0</v>
      </c>
      <c r="FR201" s="2">
        <f t="shared" si="126"/>
        <v>0</v>
      </c>
      <c r="FS201" s="2">
        <v>0</v>
      </c>
      <c r="FX201" s="2">
        <v>70</v>
      </c>
      <c r="FY201" s="2">
        <v>10</v>
      </c>
      <c r="GA201" s="2" t="s">
        <v>30</v>
      </c>
      <c r="GD201" s="2">
        <v>0</v>
      </c>
      <c r="GF201" s="2">
        <v>536898593</v>
      </c>
      <c r="GG201" s="2">
        <v>2</v>
      </c>
      <c r="GH201" s="2">
        <v>1</v>
      </c>
      <c r="GI201" s="2">
        <v>-2</v>
      </c>
      <c r="GJ201" s="2">
        <v>0</v>
      </c>
      <c r="GK201" s="2">
        <f>ROUND(R201*(R12)/100,2)</f>
        <v>1096.5999999999999</v>
      </c>
      <c r="GL201" s="2">
        <f t="shared" si="127"/>
        <v>0</v>
      </c>
      <c r="GM201" s="2">
        <f t="shared" si="138"/>
        <v>60236.63</v>
      </c>
      <c r="GN201" s="2">
        <f t="shared" si="139"/>
        <v>0</v>
      </c>
      <c r="GO201" s="2">
        <f t="shared" si="140"/>
        <v>0</v>
      </c>
      <c r="GP201" s="2">
        <f t="shared" si="141"/>
        <v>60236.63</v>
      </c>
      <c r="GR201" s="2">
        <v>0</v>
      </c>
      <c r="GS201" s="2">
        <v>0</v>
      </c>
      <c r="GT201" s="2">
        <v>0</v>
      </c>
      <c r="GU201" s="2" t="s">
        <v>30</v>
      </c>
      <c r="GV201" s="2">
        <f t="shared" si="128"/>
        <v>0</v>
      </c>
      <c r="GW201" s="2">
        <v>1</v>
      </c>
      <c r="GX201" s="2">
        <f t="shared" si="129"/>
        <v>0</v>
      </c>
      <c r="HA201" s="2">
        <v>0</v>
      </c>
      <c r="HB201" s="2">
        <v>0</v>
      </c>
      <c r="HC201" s="2">
        <f t="shared" si="130"/>
        <v>0</v>
      </c>
      <c r="HE201" s="2" t="s">
        <v>30</v>
      </c>
      <c r="HF201" s="2" t="s">
        <v>30</v>
      </c>
      <c r="HM201" s="2" t="s">
        <v>30</v>
      </c>
      <c r="HN201" s="2" t="s">
        <v>30</v>
      </c>
      <c r="HO201" s="2" t="s">
        <v>30</v>
      </c>
      <c r="HP201" s="2" t="s">
        <v>30</v>
      </c>
      <c r="HQ201" s="2" t="s">
        <v>30</v>
      </c>
      <c r="IK201" s="2">
        <v>0</v>
      </c>
    </row>
    <row r="202" spans="1:245" x14ac:dyDescent="0.25">
      <c r="A202" s="2">
        <v>18</v>
      </c>
      <c r="B202" s="2">
        <v>1</v>
      </c>
      <c r="C202" s="2">
        <v>95</v>
      </c>
      <c r="E202" s="2" t="s">
        <v>403</v>
      </c>
      <c r="F202" s="2" t="s">
        <v>160</v>
      </c>
      <c r="G202" s="2" t="s">
        <v>212</v>
      </c>
      <c r="H202" s="2" t="s">
        <v>63</v>
      </c>
      <c r="I202" s="2">
        <f>I201*J202</f>
        <v>-14.637</v>
      </c>
      <c r="J202" s="2">
        <v>-7.14</v>
      </c>
      <c r="K202" s="2">
        <v>-7.14</v>
      </c>
      <c r="O202" s="2">
        <f t="shared" si="99"/>
        <v>-43241.21</v>
      </c>
      <c r="P202" s="2">
        <f t="shared" si="100"/>
        <v>-43241.21</v>
      </c>
      <c r="Q202" s="2">
        <f t="shared" si="101"/>
        <v>0</v>
      </c>
      <c r="R202" s="2">
        <f t="shared" si="102"/>
        <v>0</v>
      </c>
      <c r="S202" s="2">
        <f t="shared" si="103"/>
        <v>0</v>
      </c>
      <c r="T202" s="2">
        <f t="shared" si="104"/>
        <v>0</v>
      </c>
      <c r="U202" s="2">
        <f t="shared" si="105"/>
        <v>0</v>
      </c>
      <c r="V202" s="2">
        <f t="shared" si="106"/>
        <v>0</v>
      </c>
      <c r="W202" s="2">
        <f t="shared" si="107"/>
        <v>0</v>
      </c>
      <c r="X202" s="2">
        <f t="shared" si="108"/>
        <v>0</v>
      </c>
      <c r="Y202" s="2">
        <f t="shared" si="108"/>
        <v>0</v>
      </c>
      <c r="AA202" s="2">
        <v>52286166</v>
      </c>
      <c r="AB202" s="2">
        <f t="shared" si="109"/>
        <v>2954.24</v>
      </c>
      <c r="AC202" s="2">
        <f t="shared" si="133"/>
        <v>2954.24</v>
      </c>
      <c r="AD202" s="2">
        <f t="shared" si="134"/>
        <v>0</v>
      </c>
      <c r="AE202" s="2">
        <f t="shared" si="135"/>
        <v>0</v>
      </c>
      <c r="AF202" s="2">
        <f t="shared" si="135"/>
        <v>0</v>
      </c>
      <c r="AG202" s="2">
        <f t="shared" si="113"/>
        <v>0</v>
      </c>
      <c r="AH202" s="2">
        <f t="shared" si="136"/>
        <v>0</v>
      </c>
      <c r="AI202" s="2">
        <f t="shared" si="136"/>
        <v>0</v>
      </c>
      <c r="AJ202" s="2">
        <f t="shared" si="115"/>
        <v>0</v>
      </c>
      <c r="AK202" s="2">
        <v>2954.24</v>
      </c>
      <c r="AL202" s="2">
        <v>2954.24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70</v>
      </c>
      <c r="AU202" s="2">
        <v>10</v>
      </c>
      <c r="AV202" s="2">
        <v>1</v>
      </c>
      <c r="AW202" s="2">
        <v>1</v>
      </c>
      <c r="AZ202" s="2">
        <v>1</v>
      </c>
      <c r="BA202" s="2">
        <v>1</v>
      </c>
      <c r="BB202" s="2">
        <v>1</v>
      </c>
      <c r="BC202" s="2">
        <v>1</v>
      </c>
      <c r="BD202" s="2" t="s">
        <v>30</v>
      </c>
      <c r="BE202" s="2" t="s">
        <v>30</v>
      </c>
      <c r="BF202" s="2" t="s">
        <v>30</v>
      </c>
      <c r="BG202" s="2" t="s">
        <v>30</v>
      </c>
      <c r="BH202" s="2">
        <v>3</v>
      </c>
      <c r="BI202" s="2">
        <v>4</v>
      </c>
      <c r="BJ202" s="2" t="s">
        <v>213</v>
      </c>
      <c r="BM202" s="2">
        <v>0</v>
      </c>
      <c r="BN202" s="2">
        <v>0</v>
      </c>
      <c r="BO202" s="2" t="s">
        <v>30</v>
      </c>
      <c r="BP202" s="2">
        <v>0</v>
      </c>
      <c r="BQ202" s="2">
        <v>1</v>
      </c>
      <c r="BR202" s="2">
        <v>1</v>
      </c>
      <c r="BS202" s="2">
        <v>1</v>
      </c>
      <c r="BT202" s="2">
        <v>1</v>
      </c>
      <c r="BU202" s="2">
        <v>1</v>
      </c>
      <c r="BV202" s="2">
        <v>1</v>
      </c>
      <c r="BW202" s="2">
        <v>1</v>
      </c>
      <c r="BX202" s="2">
        <v>1</v>
      </c>
      <c r="BY202" s="2" t="s">
        <v>30</v>
      </c>
      <c r="BZ202" s="2">
        <v>70</v>
      </c>
      <c r="CA202" s="2">
        <v>10</v>
      </c>
      <c r="CB202" s="2" t="s">
        <v>30</v>
      </c>
      <c r="CE202" s="2">
        <v>0</v>
      </c>
      <c r="CF202" s="2">
        <v>0</v>
      </c>
      <c r="CG202" s="2">
        <v>0</v>
      </c>
      <c r="CM202" s="2">
        <v>0</v>
      </c>
      <c r="CN202" s="2" t="s">
        <v>30</v>
      </c>
      <c r="CO202" s="2">
        <v>0</v>
      </c>
      <c r="CP202" s="2">
        <f t="shared" si="116"/>
        <v>-43241.21</v>
      </c>
      <c r="CQ202" s="2">
        <f t="shared" si="117"/>
        <v>2954.24</v>
      </c>
      <c r="CR202" s="2">
        <f t="shared" si="137"/>
        <v>0</v>
      </c>
      <c r="CS202" s="2">
        <f t="shared" si="119"/>
        <v>0</v>
      </c>
      <c r="CT202" s="2">
        <f t="shared" si="120"/>
        <v>0</v>
      </c>
      <c r="CU202" s="2">
        <f t="shared" si="121"/>
        <v>0</v>
      </c>
      <c r="CV202" s="2">
        <f t="shared" si="122"/>
        <v>0</v>
      </c>
      <c r="CW202" s="2">
        <f t="shared" si="123"/>
        <v>0</v>
      </c>
      <c r="CX202" s="2">
        <f t="shared" si="123"/>
        <v>0</v>
      </c>
      <c r="CY202" s="2">
        <f t="shared" si="124"/>
        <v>0</v>
      </c>
      <c r="CZ202" s="2">
        <f t="shared" si="125"/>
        <v>0</v>
      </c>
      <c r="DC202" s="2" t="s">
        <v>30</v>
      </c>
      <c r="DD202" s="2" t="s">
        <v>30</v>
      </c>
      <c r="DE202" s="2" t="s">
        <v>30</v>
      </c>
      <c r="DF202" s="2" t="s">
        <v>30</v>
      </c>
      <c r="DG202" s="2" t="s">
        <v>30</v>
      </c>
      <c r="DH202" s="2" t="s">
        <v>30</v>
      </c>
      <c r="DI202" s="2" t="s">
        <v>30</v>
      </c>
      <c r="DJ202" s="2" t="s">
        <v>30</v>
      </c>
      <c r="DK202" s="2" t="s">
        <v>30</v>
      </c>
      <c r="DL202" s="2" t="s">
        <v>30</v>
      </c>
      <c r="DM202" s="2" t="s">
        <v>30</v>
      </c>
      <c r="DN202" s="2">
        <v>0</v>
      </c>
      <c r="DO202" s="2">
        <v>0</v>
      </c>
      <c r="DP202" s="2">
        <v>1</v>
      </c>
      <c r="DQ202" s="2">
        <v>1</v>
      </c>
      <c r="DU202" s="2">
        <v>1009</v>
      </c>
      <c r="DV202" s="2" t="s">
        <v>63</v>
      </c>
      <c r="DW202" s="2" t="s">
        <v>63</v>
      </c>
      <c r="DX202" s="2">
        <v>1000</v>
      </c>
      <c r="DZ202" s="2" t="s">
        <v>30</v>
      </c>
      <c r="EA202" s="2" t="s">
        <v>30</v>
      </c>
      <c r="EB202" s="2" t="s">
        <v>30</v>
      </c>
      <c r="EC202" s="2" t="s">
        <v>30</v>
      </c>
      <c r="EE202" s="2">
        <v>49661954</v>
      </c>
      <c r="EF202" s="2">
        <v>1</v>
      </c>
      <c r="EG202" s="2" t="s">
        <v>180</v>
      </c>
      <c r="EH202" s="2">
        <v>0</v>
      </c>
      <c r="EI202" s="2" t="s">
        <v>30</v>
      </c>
      <c r="EJ202" s="2">
        <v>4</v>
      </c>
      <c r="EK202" s="2">
        <v>0</v>
      </c>
      <c r="EL202" s="2" t="s">
        <v>181</v>
      </c>
      <c r="EM202" s="2" t="s">
        <v>182</v>
      </c>
      <c r="EO202" s="2" t="s">
        <v>30</v>
      </c>
      <c r="EQ202" s="2">
        <v>32768</v>
      </c>
      <c r="ER202" s="2">
        <v>2954.24</v>
      </c>
      <c r="ES202" s="2">
        <v>2954.24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FQ202" s="2">
        <v>0</v>
      </c>
      <c r="FR202" s="2">
        <f t="shared" si="126"/>
        <v>0</v>
      </c>
      <c r="FS202" s="2">
        <v>0</v>
      </c>
      <c r="FX202" s="2">
        <v>70</v>
      </c>
      <c r="FY202" s="2">
        <v>10</v>
      </c>
      <c r="GA202" s="2" t="s">
        <v>30</v>
      </c>
      <c r="GD202" s="2">
        <v>0</v>
      </c>
      <c r="GF202" s="2">
        <v>-58237108</v>
      </c>
      <c r="GG202" s="2">
        <v>2</v>
      </c>
      <c r="GH202" s="2">
        <v>1</v>
      </c>
      <c r="GI202" s="2">
        <v>-2</v>
      </c>
      <c r="GJ202" s="2">
        <v>0</v>
      </c>
      <c r="GK202" s="2">
        <f>ROUND(R202*(R12)/100,2)</f>
        <v>0</v>
      </c>
      <c r="GL202" s="2">
        <f t="shared" si="127"/>
        <v>0</v>
      </c>
      <c r="GM202" s="2">
        <f t="shared" si="138"/>
        <v>-43241.21</v>
      </c>
      <c r="GN202" s="2">
        <f t="shared" si="139"/>
        <v>0</v>
      </c>
      <c r="GO202" s="2">
        <f t="shared" si="140"/>
        <v>0</v>
      </c>
      <c r="GP202" s="2">
        <f t="shared" si="141"/>
        <v>-43241.21</v>
      </c>
      <c r="GR202" s="2">
        <v>0</v>
      </c>
      <c r="GS202" s="2">
        <v>0</v>
      </c>
      <c r="GT202" s="2">
        <v>0</v>
      </c>
      <c r="GU202" s="2" t="s">
        <v>30</v>
      </c>
      <c r="GV202" s="2">
        <f t="shared" si="128"/>
        <v>0</v>
      </c>
      <c r="GW202" s="2">
        <v>1</v>
      </c>
      <c r="GX202" s="2">
        <f t="shared" si="129"/>
        <v>0</v>
      </c>
      <c r="HA202" s="2">
        <v>0</v>
      </c>
      <c r="HB202" s="2">
        <v>0</v>
      </c>
      <c r="HC202" s="2">
        <f t="shared" si="130"/>
        <v>0</v>
      </c>
      <c r="HE202" s="2" t="s">
        <v>30</v>
      </c>
      <c r="HF202" s="2" t="s">
        <v>30</v>
      </c>
      <c r="HM202" s="2" t="s">
        <v>30</v>
      </c>
      <c r="HN202" s="2" t="s">
        <v>30</v>
      </c>
      <c r="HO202" s="2" t="s">
        <v>30</v>
      </c>
      <c r="HP202" s="2" t="s">
        <v>30</v>
      </c>
      <c r="HQ202" s="2" t="s">
        <v>30</v>
      </c>
      <c r="IK202" s="2">
        <v>0</v>
      </c>
    </row>
    <row r="203" spans="1:245" x14ac:dyDescent="0.25">
      <c r="A203" s="2">
        <v>18</v>
      </c>
      <c r="B203" s="2">
        <v>1</v>
      </c>
      <c r="C203" s="2">
        <v>96</v>
      </c>
      <c r="E203" s="2" t="s">
        <v>404</v>
      </c>
      <c r="F203" s="2" t="s">
        <v>160</v>
      </c>
      <c r="G203" s="2" t="s">
        <v>161</v>
      </c>
      <c r="H203" s="2" t="s">
        <v>63</v>
      </c>
      <c r="I203" s="2">
        <f>I201*J203</f>
        <v>23.923500000000001</v>
      </c>
      <c r="J203" s="2">
        <v>11.67</v>
      </c>
      <c r="K203" s="2">
        <v>11.67</v>
      </c>
      <c r="O203" s="2">
        <f t="shared" si="99"/>
        <v>70675.759999999995</v>
      </c>
      <c r="P203" s="2">
        <f t="shared" si="100"/>
        <v>70675.759999999995</v>
      </c>
      <c r="Q203" s="2">
        <f t="shared" si="101"/>
        <v>0</v>
      </c>
      <c r="R203" s="2">
        <f t="shared" si="102"/>
        <v>0</v>
      </c>
      <c r="S203" s="2">
        <f t="shared" si="103"/>
        <v>0</v>
      </c>
      <c r="T203" s="2">
        <f t="shared" si="104"/>
        <v>0</v>
      </c>
      <c r="U203" s="2">
        <f t="shared" si="105"/>
        <v>0</v>
      </c>
      <c r="V203" s="2">
        <f t="shared" si="106"/>
        <v>0</v>
      </c>
      <c r="W203" s="2">
        <f t="shared" si="107"/>
        <v>0</v>
      </c>
      <c r="X203" s="2">
        <f t="shared" si="108"/>
        <v>0</v>
      </c>
      <c r="Y203" s="2">
        <f t="shared" si="108"/>
        <v>0</v>
      </c>
      <c r="AA203" s="2">
        <v>52286166</v>
      </c>
      <c r="AB203" s="2">
        <f t="shared" si="109"/>
        <v>2954.24</v>
      </c>
      <c r="AC203" s="2">
        <f t="shared" si="133"/>
        <v>2954.24</v>
      </c>
      <c r="AD203" s="2">
        <f t="shared" si="134"/>
        <v>0</v>
      </c>
      <c r="AE203" s="2">
        <f t="shared" si="135"/>
        <v>0</v>
      </c>
      <c r="AF203" s="2">
        <f t="shared" si="135"/>
        <v>0</v>
      </c>
      <c r="AG203" s="2">
        <f t="shared" si="113"/>
        <v>0</v>
      </c>
      <c r="AH203" s="2">
        <f t="shared" si="136"/>
        <v>0</v>
      </c>
      <c r="AI203" s="2">
        <f t="shared" si="136"/>
        <v>0</v>
      </c>
      <c r="AJ203" s="2">
        <f t="shared" si="115"/>
        <v>0</v>
      </c>
      <c r="AK203" s="2">
        <v>2954.24</v>
      </c>
      <c r="AL203" s="2">
        <v>2954.24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70</v>
      </c>
      <c r="AU203" s="2">
        <v>10</v>
      </c>
      <c r="AV203" s="2">
        <v>1</v>
      </c>
      <c r="AW203" s="2">
        <v>1</v>
      </c>
      <c r="AZ203" s="2">
        <v>1</v>
      </c>
      <c r="BA203" s="2">
        <v>1</v>
      </c>
      <c r="BB203" s="2">
        <v>1</v>
      </c>
      <c r="BC203" s="2">
        <v>1</v>
      </c>
      <c r="BD203" s="2" t="s">
        <v>30</v>
      </c>
      <c r="BE203" s="2" t="s">
        <v>30</v>
      </c>
      <c r="BF203" s="2" t="s">
        <v>30</v>
      </c>
      <c r="BG203" s="2" t="s">
        <v>30</v>
      </c>
      <c r="BH203" s="2">
        <v>3</v>
      </c>
      <c r="BI203" s="2">
        <v>4</v>
      </c>
      <c r="BJ203" s="2" t="s">
        <v>213</v>
      </c>
      <c r="BM203" s="2">
        <v>0</v>
      </c>
      <c r="BN203" s="2">
        <v>0</v>
      </c>
      <c r="BO203" s="2" t="s">
        <v>30</v>
      </c>
      <c r="BP203" s="2">
        <v>0</v>
      </c>
      <c r="BQ203" s="2">
        <v>1</v>
      </c>
      <c r="BR203" s="2">
        <v>0</v>
      </c>
      <c r="BS203" s="2">
        <v>1</v>
      </c>
      <c r="BT203" s="2">
        <v>1</v>
      </c>
      <c r="BU203" s="2">
        <v>1</v>
      </c>
      <c r="BV203" s="2">
        <v>1</v>
      </c>
      <c r="BW203" s="2">
        <v>1</v>
      </c>
      <c r="BX203" s="2">
        <v>1</v>
      </c>
      <c r="BY203" s="2" t="s">
        <v>30</v>
      </c>
      <c r="BZ203" s="2">
        <v>70</v>
      </c>
      <c r="CA203" s="2">
        <v>10</v>
      </c>
      <c r="CB203" s="2" t="s">
        <v>30</v>
      </c>
      <c r="CE203" s="2">
        <v>0</v>
      </c>
      <c r="CF203" s="2">
        <v>0</v>
      </c>
      <c r="CG203" s="2">
        <v>0</v>
      </c>
      <c r="CM203" s="2">
        <v>0</v>
      </c>
      <c r="CN203" s="2" t="s">
        <v>30</v>
      </c>
      <c r="CO203" s="2">
        <v>0</v>
      </c>
      <c r="CP203" s="2">
        <f t="shared" si="116"/>
        <v>70675.759999999995</v>
      </c>
      <c r="CQ203" s="2">
        <f t="shared" si="117"/>
        <v>2954.24</v>
      </c>
      <c r="CR203" s="2">
        <f t="shared" si="137"/>
        <v>0</v>
      </c>
      <c r="CS203" s="2">
        <f t="shared" si="119"/>
        <v>0</v>
      </c>
      <c r="CT203" s="2">
        <f t="shared" si="120"/>
        <v>0</v>
      </c>
      <c r="CU203" s="2">
        <f t="shared" si="121"/>
        <v>0</v>
      </c>
      <c r="CV203" s="2">
        <f t="shared" si="122"/>
        <v>0</v>
      </c>
      <c r="CW203" s="2">
        <f t="shared" si="123"/>
        <v>0</v>
      </c>
      <c r="CX203" s="2">
        <f t="shared" si="123"/>
        <v>0</v>
      </c>
      <c r="CY203" s="2">
        <f t="shared" si="124"/>
        <v>0</v>
      </c>
      <c r="CZ203" s="2">
        <f t="shared" si="125"/>
        <v>0</v>
      </c>
      <c r="DC203" s="2" t="s">
        <v>30</v>
      </c>
      <c r="DD203" s="2" t="s">
        <v>30</v>
      </c>
      <c r="DE203" s="2" t="s">
        <v>30</v>
      </c>
      <c r="DF203" s="2" t="s">
        <v>30</v>
      </c>
      <c r="DG203" s="2" t="s">
        <v>30</v>
      </c>
      <c r="DH203" s="2" t="s">
        <v>30</v>
      </c>
      <c r="DI203" s="2" t="s">
        <v>30</v>
      </c>
      <c r="DJ203" s="2" t="s">
        <v>30</v>
      </c>
      <c r="DK203" s="2" t="s">
        <v>30</v>
      </c>
      <c r="DL203" s="2" t="s">
        <v>30</v>
      </c>
      <c r="DM203" s="2" t="s">
        <v>30</v>
      </c>
      <c r="DN203" s="2">
        <v>0</v>
      </c>
      <c r="DO203" s="2">
        <v>0</v>
      </c>
      <c r="DP203" s="2">
        <v>1</v>
      </c>
      <c r="DQ203" s="2">
        <v>1</v>
      </c>
      <c r="DU203" s="2">
        <v>1009</v>
      </c>
      <c r="DV203" s="2" t="s">
        <v>63</v>
      </c>
      <c r="DW203" s="2" t="s">
        <v>63</v>
      </c>
      <c r="DX203" s="2">
        <v>1000</v>
      </c>
      <c r="DZ203" s="2" t="s">
        <v>30</v>
      </c>
      <c r="EA203" s="2" t="s">
        <v>30</v>
      </c>
      <c r="EB203" s="2" t="s">
        <v>30</v>
      </c>
      <c r="EC203" s="2" t="s">
        <v>30</v>
      </c>
      <c r="EE203" s="2">
        <v>49661954</v>
      </c>
      <c r="EF203" s="2">
        <v>1</v>
      </c>
      <c r="EG203" s="2" t="s">
        <v>180</v>
      </c>
      <c r="EH203" s="2">
        <v>0</v>
      </c>
      <c r="EI203" s="2" t="s">
        <v>30</v>
      </c>
      <c r="EJ203" s="2">
        <v>4</v>
      </c>
      <c r="EK203" s="2">
        <v>0</v>
      </c>
      <c r="EL203" s="2" t="s">
        <v>181</v>
      </c>
      <c r="EM203" s="2" t="s">
        <v>182</v>
      </c>
      <c r="EO203" s="2" t="s">
        <v>30</v>
      </c>
      <c r="EQ203" s="2">
        <v>0</v>
      </c>
      <c r="ER203" s="2">
        <v>2954.24</v>
      </c>
      <c r="ES203" s="2">
        <v>2954.24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FQ203" s="2">
        <v>0</v>
      </c>
      <c r="FR203" s="2">
        <f t="shared" si="126"/>
        <v>0</v>
      </c>
      <c r="FS203" s="2">
        <v>0</v>
      </c>
      <c r="FX203" s="2">
        <v>70</v>
      </c>
      <c r="FY203" s="2">
        <v>10</v>
      </c>
      <c r="GA203" s="2" t="s">
        <v>30</v>
      </c>
      <c r="GD203" s="2">
        <v>0</v>
      </c>
      <c r="GF203" s="2">
        <v>946953562</v>
      </c>
      <c r="GG203" s="2">
        <v>2</v>
      </c>
      <c r="GH203" s="2">
        <v>1</v>
      </c>
      <c r="GI203" s="2">
        <v>-2</v>
      </c>
      <c r="GJ203" s="2">
        <v>0</v>
      </c>
      <c r="GK203" s="2">
        <f>ROUND(R203*(R12)/100,2)</f>
        <v>0</v>
      </c>
      <c r="GL203" s="2">
        <f t="shared" si="127"/>
        <v>0</v>
      </c>
      <c r="GM203" s="2">
        <f t="shared" si="138"/>
        <v>70675.759999999995</v>
      </c>
      <c r="GN203" s="2">
        <f t="shared" si="139"/>
        <v>0</v>
      </c>
      <c r="GO203" s="2">
        <f t="shared" si="140"/>
        <v>0</v>
      </c>
      <c r="GP203" s="2">
        <f t="shared" si="141"/>
        <v>70675.759999999995</v>
      </c>
      <c r="GR203" s="2">
        <v>0</v>
      </c>
      <c r="GS203" s="2">
        <v>0</v>
      </c>
      <c r="GT203" s="2">
        <v>0</v>
      </c>
      <c r="GU203" s="2" t="s">
        <v>30</v>
      </c>
      <c r="GV203" s="2">
        <f t="shared" si="128"/>
        <v>0</v>
      </c>
      <c r="GW203" s="2">
        <v>1</v>
      </c>
      <c r="GX203" s="2">
        <f t="shared" si="129"/>
        <v>0</v>
      </c>
      <c r="HA203" s="2">
        <v>0</v>
      </c>
      <c r="HB203" s="2">
        <v>0</v>
      </c>
      <c r="HC203" s="2">
        <f t="shared" si="130"/>
        <v>0</v>
      </c>
      <c r="HE203" s="2" t="s">
        <v>30</v>
      </c>
      <c r="HF203" s="2" t="s">
        <v>30</v>
      </c>
      <c r="HM203" s="2" t="s">
        <v>30</v>
      </c>
      <c r="HN203" s="2" t="s">
        <v>30</v>
      </c>
      <c r="HO203" s="2" t="s">
        <v>30</v>
      </c>
      <c r="HP203" s="2" t="s">
        <v>30</v>
      </c>
      <c r="HQ203" s="2" t="s">
        <v>30</v>
      </c>
      <c r="IK203" s="2">
        <v>0</v>
      </c>
    </row>
    <row r="205" spans="1:245" ht="13" x14ac:dyDescent="0.3">
      <c r="A205" s="52">
        <v>51</v>
      </c>
      <c r="B205" s="52">
        <f>B180</f>
        <v>1</v>
      </c>
      <c r="C205" s="52">
        <f>A180</f>
        <v>4</v>
      </c>
      <c r="D205" s="52">
        <f>ROW(A180)</f>
        <v>180</v>
      </c>
      <c r="E205" s="52"/>
      <c r="F205" s="52" t="str">
        <f>IF(F180&lt;&gt;"",F180,"")</f>
        <v>Новый раздел</v>
      </c>
      <c r="G205" s="52" t="str">
        <f>IF(G180&lt;&gt;"",G180,"")</f>
        <v>Устройство дорожно-тропиночной сети с асфальтобетонным покрытием -205 м2  ( в том числе площадка отдыха- 65,0 м2, дорожки -140м2)</v>
      </c>
      <c r="H205" s="52">
        <v>0</v>
      </c>
      <c r="I205" s="52"/>
      <c r="J205" s="52"/>
      <c r="K205" s="52"/>
      <c r="L205" s="52"/>
      <c r="M205" s="52"/>
      <c r="N205" s="52"/>
      <c r="O205" s="52">
        <f t="shared" ref="O205:T205" si="142">ROUND(AB205,2)</f>
        <v>235587.35</v>
      </c>
      <c r="P205" s="52">
        <f t="shared" si="142"/>
        <v>118386.12</v>
      </c>
      <c r="Q205" s="52">
        <f t="shared" si="142"/>
        <v>107651.7</v>
      </c>
      <c r="R205" s="52">
        <f t="shared" si="142"/>
        <v>54773.86</v>
      </c>
      <c r="S205" s="52">
        <f t="shared" si="142"/>
        <v>9549.5300000000007</v>
      </c>
      <c r="T205" s="52">
        <f t="shared" si="142"/>
        <v>0</v>
      </c>
      <c r="U205" s="52">
        <f>AH205</f>
        <v>46.477730999999999</v>
      </c>
      <c r="V205" s="52">
        <f>AI205</f>
        <v>0</v>
      </c>
      <c r="W205" s="52">
        <f>ROUND(AJ205,2)</f>
        <v>0</v>
      </c>
      <c r="X205" s="52">
        <f>ROUND(AK205,2)</f>
        <v>6684.69</v>
      </c>
      <c r="Y205" s="52">
        <f>ROUND(AL205,2)</f>
        <v>954.96</v>
      </c>
      <c r="Z205" s="52"/>
      <c r="AA205" s="52"/>
      <c r="AB205" s="52">
        <f>ROUND(SUMIF(AA184:AA203,"=52286166",O184:O203),2)</f>
        <v>235587.35</v>
      </c>
      <c r="AC205" s="52">
        <f>ROUND(SUMIF(AA184:AA203,"=52286166",P184:P203),2)</f>
        <v>118386.12</v>
      </c>
      <c r="AD205" s="52">
        <f>ROUND(SUMIF(AA184:AA203,"=52286166",Q184:Q203),2)</f>
        <v>107651.7</v>
      </c>
      <c r="AE205" s="52">
        <f>ROUND(SUMIF(AA184:AA203,"=52286166",R184:R203),2)</f>
        <v>54773.86</v>
      </c>
      <c r="AF205" s="52">
        <f>ROUND(SUMIF(AA184:AA203,"=52286166",S184:S203),2)</f>
        <v>9549.5300000000007</v>
      </c>
      <c r="AG205" s="52">
        <f>ROUND(SUMIF(AA184:AA203,"=52286166",T184:T203),2)</f>
        <v>0</v>
      </c>
      <c r="AH205" s="52">
        <f>SUMIF(AA184:AA203,"=52286166",U184:U203)</f>
        <v>46.477730999999999</v>
      </c>
      <c r="AI205" s="52">
        <f>SUMIF(AA184:AA203,"=52286166",V184:V203)</f>
        <v>0</v>
      </c>
      <c r="AJ205" s="52">
        <f>ROUND(SUMIF(AA184:AA203,"=52286166",W184:W203),2)</f>
        <v>0</v>
      </c>
      <c r="AK205" s="52">
        <f>ROUND(SUMIF(AA184:AA203,"=52286166",X184:X203),2)</f>
        <v>6684.69</v>
      </c>
      <c r="AL205" s="52">
        <f>ROUND(SUMIF(AA184:AA203,"=52286166",Y184:Y203),2)</f>
        <v>954.96</v>
      </c>
      <c r="AM205" s="52"/>
      <c r="AN205" s="52"/>
      <c r="AO205" s="52">
        <f t="shared" ref="AO205:BD205" si="143">ROUND(BX205,2)</f>
        <v>0</v>
      </c>
      <c r="AP205" s="52">
        <f t="shared" si="143"/>
        <v>0</v>
      </c>
      <c r="AQ205" s="52">
        <f t="shared" si="143"/>
        <v>0</v>
      </c>
      <c r="AR205" s="52">
        <f t="shared" si="143"/>
        <v>252686.5</v>
      </c>
      <c r="AS205" s="52">
        <f t="shared" si="143"/>
        <v>0</v>
      </c>
      <c r="AT205" s="52">
        <f t="shared" si="143"/>
        <v>0</v>
      </c>
      <c r="AU205" s="52">
        <f t="shared" si="143"/>
        <v>252686.5</v>
      </c>
      <c r="AV205" s="52">
        <f t="shared" si="143"/>
        <v>118386.12</v>
      </c>
      <c r="AW205" s="52">
        <f t="shared" si="143"/>
        <v>118386.12</v>
      </c>
      <c r="AX205" s="52">
        <f t="shared" si="143"/>
        <v>0</v>
      </c>
      <c r="AY205" s="52">
        <f t="shared" si="143"/>
        <v>118386.12</v>
      </c>
      <c r="AZ205" s="52">
        <f t="shared" si="143"/>
        <v>0</v>
      </c>
      <c r="BA205" s="52">
        <f t="shared" si="143"/>
        <v>0</v>
      </c>
      <c r="BB205" s="52">
        <f t="shared" si="143"/>
        <v>0</v>
      </c>
      <c r="BC205" s="52">
        <f t="shared" si="143"/>
        <v>0</v>
      </c>
      <c r="BD205" s="52">
        <f t="shared" si="143"/>
        <v>0</v>
      </c>
      <c r="BE205" s="52"/>
      <c r="BF205" s="52"/>
      <c r="BG205" s="52"/>
      <c r="BH205" s="52"/>
      <c r="BI205" s="52"/>
      <c r="BJ205" s="52"/>
      <c r="BK205" s="52"/>
      <c r="BL205" s="52"/>
      <c r="BM205" s="52"/>
      <c r="BN205" s="52"/>
      <c r="BO205" s="52"/>
      <c r="BP205" s="52"/>
      <c r="BQ205" s="52"/>
      <c r="BR205" s="52"/>
      <c r="BS205" s="52"/>
      <c r="BT205" s="52"/>
      <c r="BU205" s="52"/>
      <c r="BV205" s="52"/>
      <c r="BW205" s="52"/>
      <c r="BX205" s="52">
        <f>ROUND(SUMIF(AA184:AA203,"=52286166",FQ184:FQ203),2)</f>
        <v>0</v>
      </c>
      <c r="BY205" s="52">
        <f>ROUND(SUMIF(AA184:AA203,"=52286166",FR184:FR203),2)</f>
        <v>0</v>
      </c>
      <c r="BZ205" s="52">
        <f>ROUND(SUMIF(AA184:AA203,"=52286166",GL184:GL203),2)</f>
        <v>0</v>
      </c>
      <c r="CA205" s="52">
        <f>ROUND(SUMIF(AA184:AA203,"=52286166",GM184:GM203),2)</f>
        <v>252686.5</v>
      </c>
      <c r="CB205" s="52">
        <f>ROUND(SUMIF(AA184:AA203,"=52286166",GN184:GN203),2)</f>
        <v>0</v>
      </c>
      <c r="CC205" s="52">
        <f>ROUND(SUMIF(AA184:AA203,"=52286166",GO184:GO203),2)</f>
        <v>0</v>
      </c>
      <c r="CD205" s="52">
        <f>ROUND(SUMIF(AA184:AA203,"=52286166",GP184:GP203),2)</f>
        <v>252686.5</v>
      </c>
      <c r="CE205" s="52">
        <f>AC205-BX205</f>
        <v>118386.12</v>
      </c>
      <c r="CF205" s="52">
        <f>AC205-BY205</f>
        <v>118386.12</v>
      </c>
      <c r="CG205" s="52">
        <f>BX205-BZ205</f>
        <v>0</v>
      </c>
      <c r="CH205" s="52">
        <f>AC205-BX205-BY205+BZ205</f>
        <v>118386.12</v>
      </c>
      <c r="CI205" s="52">
        <f>BY205-BZ205</f>
        <v>0</v>
      </c>
      <c r="CJ205" s="52">
        <f>ROUND(SUMIF(AA184:AA203,"=52286166",GX184:GX203),2)</f>
        <v>0</v>
      </c>
      <c r="CK205" s="52">
        <f>ROUND(SUMIF(AA184:AA203,"=52286166",GY184:GY203),2)</f>
        <v>0</v>
      </c>
      <c r="CL205" s="52">
        <f>ROUND(SUMIF(AA184:AA203,"=52286166",GZ184:GZ203),2)</f>
        <v>0</v>
      </c>
      <c r="CM205" s="52">
        <f>ROUND(SUMIF(AA184:AA203,"=52286166",HD184:HD203),2)</f>
        <v>0</v>
      </c>
      <c r="CN205" s="52"/>
      <c r="CO205" s="52"/>
      <c r="CP205" s="52"/>
      <c r="CQ205" s="52"/>
      <c r="CR205" s="52"/>
      <c r="CS205" s="52"/>
      <c r="CT205" s="52"/>
      <c r="CU205" s="52"/>
      <c r="CV205" s="52"/>
      <c r="CW205" s="52"/>
      <c r="CX205" s="52"/>
      <c r="CY205" s="52"/>
      <c r="CZ205" s="52"/>
      <c r="DA205" s="52"/>
      <c r="DB205" s="52"/>
      <c r="DC205" s="52"/>
      <c r="DD205" s="52"/>
      <c r="DE205" s="52"/>
      <c r="DF205" s="52"/>
      <c r="DG205" s="53"/>
      <c r="DH205" s="53"/>
      <c r="DI205" s="53"/>
      <c r="DJ205" s="53"/>
      <c r="DK205" s="53"/>
      <c r="DL205" s="53"/>
      <c r="DM205" s="53"/>
      <c r="DN205" s="53"/>
      <c r="DO205" s="53"/>
      <c r="DP205" s="53"/>
      <c r="DQ205" s="53"/>
      <c r="DR205" s="53"/>
      <c r="DS205" s="53"/>
      <c r="DT205" s="53"/>
      <c r="DU205" s="53"/>
      <c r="DV205" s="53"/>
      <c r="DW205" s="53"/>
      <c r="DX205" s="53"/>
      <c r="DY205" s="53"/>
      <c r="DZ205" s="53"/>
      <c r="EA205" s="53"/>
      <c r="EB205" s="53"/>
      <c r="EC205" s="53"/>
      <c r="ED205" s="53"/>
      <c r="EE205" s="53"/>
      <c r="EF205" s="53"/>
      <c r="EG205" s="53"/>
      <c r="EH205" s="53"/>
      <c r="EI205" s="53"/>
      <c r="EJ205" s="53"/>
      <c r="EK205" s="53"/>
      <c r="EL205" s="53"/>
      <c r="EM205" s="53"/>
      <c r="EN205" s="53"/>
      <c r="EO205" s="53"/>
      <c r="EP205" s="53"/>
      <c r="EQ205" s="53"/>
      <c r="ER205" s="53"/>
      <c r="ES205" s="53"/>
      <c r="ET205" s="53"/>
      <c r="EU205" s="53"/>
      <c r="EV205" s="53"/>
      <c r="EW205" s="53"/>
      <c r="EX205" s="53"/>
      <c r="EY205" s="53"/>
      <c r="EZ205" s="53"/>
      <c r="FA205" s="53"/>
      <c r="FB205" s="53"/>
      <c r="FC205" s="53"/>
      <c r="FD205" s="53"/>
      <c r="FE205" s="53"/>
      <c r="FF205" s="53"/>
      <c r="FG205" s="53"/>
      <c r="FH205" s="53"/>
      <c r="FI205" s="53"/>
      <c r="FJ205" s="53"/>
      <c r="FK205" s="53"/>
      <c r="FL205" s="53"/>
      <c r="FM205" s="53"/>
      <c r="FN205" s="53"/>
      <c r="FO205" s="53"/>
      <c r="FP205" s="53"/>
      <c r="FQ205" s="53"/>
      <c r="FR205" s="53"/>
      <c r="FS205" s="53"/>
      <c r="FT205" s="53"/>
      <c r="FU205" s="53"/>
      <c r="FV205" s="53"/>
      <c r="FW205" s="53"/>
      <c r="FX205" s="53"/>
      <c r="FY205" s="53"/>
      <c r="FZ205" s="53"/>
      <c r="GA205" s="53"/>
      <c r="GB205" s="53"/>
      <c r="GC205" s="53"/>
      <c r="GD205" s="53"/>
      <c r="GE205" s="53"/>
      <c r="GF205" s="53"/>
      <c r="GG205" s="53"/>
      <c r="GH205" s="53"/>
      <c r="GI205" s="53"/>
      <c r="GJ205" s="53"/>
      <c r="GK205" s="53"/>
      <c r="GL205" s="53"/>
      <c r="GM205" s="53"/>
      <c r="GN205" s="53"/>
      <c r="GO205" s="53"/>
      <c r="GP205" s="53"/>
      <c r="GQ205" s="53"/>
      <c r="GR205" s="53"/>
      <c r="GS205" s="53"/>
      <c r="GT205" s="53"/>
      <c r="GU205" s="53"/>
      <c r="GV205" s="53"/>
      <c r="GW205" s="53"/>
      <c r="GX205" s="53">
        <v>0</v>
      </c>
    </row>
    <row r="207" spans="1:245" ht="13" x14ac:dyDescent="0.3">
      <c r="A207" s="54">
        <v>50</v>
      </c>
      <c r="B207" s="54">
        <v>0</v>
      </c>
      <c r="C207" s="54">
        <v>0</v>
      </c>
      <c r="D207" s="54">
        <v>1</v>
      </c>
      <c r="E207" s="54">
        <v>201</v>
      </c>
      <c r="F207" s="54">
        <f>ROUND('Source (3)'!O205,O207)</f>
        <v>235587.35</v>
      </c>
      <c r="G207" s="54" t="s">
        <v>214</v>
      </c>
      <c r="H207" s="54" t="s">
        <v>215</v>
      </c>
      <c r="I207" s="54"/>
      <c r="J207" s="54"/>
      <c r="K207" s="54">
        <v>201</v>
      </c>
      <c r="L207" s="54">
        <v>1</v>
      </c>
      <c r="M207" s="54">
        <v>3</v>
      </c>
      <c r="N207" s="54" t="s">
        <v>30</v>
      </c>
      <c r="O207" s="54">
        <v>2</v>
      </c>
      <c r="P207" s="54"/>
      <c r="Q207" s="54"/>
      <c r="R207" s="54"/>
      <c r="S207" s="54"/>
      <c r="T207" s="54"/>
      <c r="U207" s="54"/>
      <c r="V207" s="54"/>
      <c r="W207" s="54">
        <v>235587.35</v>
      </c>
      <c r="X207" s="54">
        <v>1</v>
      </c>
      <c r="Y207" s="54">
        <v>235587.35</v>
      </c>
      <c r="Z207" s="54"/>
      <c r="AA207" s="54"/>
      <c r="AB207" s="54"/>
    </row>
    <row r="208" spans="1:245" ht="13" x14ac:dyDescent="0.3">
      <c r="A208" s="54">
        <v>50</v>
      </c>
      <c r="B208" s="54">
        <v>0</v>
      </c>
      <c r="C208" s="54">
        <v>0</v>
      </c>
      <c r="D208" s="54">
        <v>1</v>
      </c>
      <c r="E208" s="54">
        <v>202</v>
      </c>
      <c r="F208" s="54">
        <f>ROUND('Source (3)'!P205,O208)</f>
        <v>118386.12</v>
      </c>
      <c r="G208" s="54" t="s">
        <v>216</v>
      </c>
      <c r="H208" s="54" t="s">
        <v>217</v>
      </c>
      <c r="I208" s="54"/>
      <c r="J208" s="54"/>
      <c r="K208" s="54">
        <v>202</v>
      </c>
      <c r="L208" s="54">
        <v>2</v>
      </c>
      <c r="M208" s="54">
        <v>3</v>
      </c>
      <c r="N208" s="54" t="s">
        <v>30</v>
      </c>
      <c r="O208" s="54">
        <v>2</v>
      </c>
      <c r="P208" s="54"/>
      <c r="Q208" s="54"/>
      <c r="R208" s="54"/>
      <c r="S208" s="54"/>
      <c r="T208" s="54"/>
      <c r="U208" s="54"/>
      <c r="V208" s="54"/>
      <c r="W208" s="54">
        <v>118386.12</v>
      </c>
      <c r="X208" s="54">
        <v>1</v>
      </c>
      <c r="Y208" s="54">
        <v>118386.12</v>
      </c>
      <c r="Z208" s="54"/>
      <c r="AA208" s="54"/>
      <c r="AB208" s="54"/>
    </row>
    <row r="209" spans="1:28" ht="13" x14ac:dyDescent="0.3">
      <c r="A209" s="54">
        <v>50</v>
      </c>
      <c r="B209" s="54">
        <v>0</v>
      </c>
      <c r="C209" s="54">
        <v>0</v>
      </c>
      <c r="D209" s="54">
        <v>1</v>
      </c>
      <c r="E209" s="54">
        <v>222</v>
      </c>
      <c r="F209" s="54">
        <f>ROUND('Source (3)'!AO205,O209)</f>
        <v>0</v>
      </c>
      <c r="G209" s="54" t="s">
        <v>218</v>
      </c>
      <c r="H209" s="54" t="s">
        <v>219</v>
      </c>
      <c r="I209" s="54"/>
      <c r="J209" s="54"/>
      <c r="K209" s="54">
        <v>222</v>
      </c>
      <c r="L209" s="54">
        <v>3</v>
      </c>
      <c r="M209" s="54">
        <v>3</v>
      </c>
      <c r="N209" s="54" t="s">
        <v>30</v>
      </c>
      <c r="O209" s="54">
        <v>2</v>
      </c>
      <c r="P209" s="54"/>
      <c r="Q209" s="54"/>
      <c r="R209" s="54"/>
      <c r="S209" s="54"/>
      <c r="T209" s="54"/>
      <c r="U209" s="54"/>
      <c r="V209" s="54"/>
      <c r="W209" s="54">
        <v>0</v>
      </c>
      <c r="X209" s="54">
        <v>1</v>
      </c>
      <c r="Y209" s="54">
        <v>0</v>
      </c>
      <c r="Z209" s="54"/>
      <c r="AA209" s="54"/>
      <c r="AB209" s="54"/>
    </row>
    <row r="210" spans="1:28" ht="13" x14ac:dyDescent="0.3">
      <c r="A210" s="54">
        <v>50</v>
      </c>
      <c r="B210" s="54">
        <v>0</v>
      </c>
      <c r="C210" s="54">
        <v>0</v>
      </c>
      <c r="D210" s="54">
        <v>1</v>
      </c>
      <c r="E210" s="54">
        <v>225</v>
      </c>
      <c r="F210" s="54">
        <f>ROUND('Source (3)'!AV205,O210)</f>
        <v>118386.12</v>
      </c>
      <c r="G210" s="54" t="s">
        <v>220</v>
      </c>
      <c r="H210" s="54" t="s">
        <v>221</v>
      </c>
      <c r="I210" s="54"/>
      <c r="J210" s="54"/>
      <c r="K210" s="54">
        <v>225</v>
      </c>
      <c r="L210" s="54">
        <v>4</v>
      </c>
      <c r="M210" s="54">
        <v>3</v>
      </c>
      <c r="N210" s="54" t="s">
        <v>30</v>
      </c>
      <c r="O210" s="54">
        <v>2</v>
      </c>
      <c r="P210" s="54"/>
      <c r="Q210" s="54"/>
      <c r="R210" s="54"/>
      <c r="S210" s="54"/>
      <c r="T210" s="54"/>
      <c r="U210" s="54"/>
      <c r="V210" s="54"/>
      <c r="W210" s="54">
        <v>118386.12</v>
      </c>
      <c r="X210" s="54">
        <v>1</v>
      </c>
      <c r="Y210" s="54">
        <v>118386.12</v>
      </c>
      <c r="Z210" s="54"/>
      <c r="AA210" s="54"/>
      <c r="AB210" s="54"/>
    </row>
    <row r="211" spans="1:28" ht="13" x14ac:dyDescent="0.3">
      <c r="A211" s="54">
        <v>50</v>
      </c>
      <c r="B211" s="54">
        <v>0</v>
      </c>
      <c r="C211" s="54">
        <v>0</v>
      </c>
      <c r="D211" s="54">
        <v>1</v>
      </c>
      <c r="E211" s="54">
        <v>226</v>
      </c>
      <c r="F211" s="54">
        <f>ROUND('Source (3)'!AW205,O211)</f>
        <v>118386.12</v>
      </c>
      <c r="G211" s="54" t="s">
        <v>222</v>
      </c>
      <c r="H211" s="54" t="s">
        <v>223</v>
      </c>
      <c r="I211" s="54"/>
      <c r="J211" s="54"/>
      <c r="K211" s="54">
        <v>226</v>
      </c>
      <c r="L211" s="54">
        <v>5</v>
      </c>
      <c r="M211" s="54">
        <v>3</v>
      </c>
      <c r="N211" s="54" t="s">
        <v>30</v>
      </c>
      <c r="O211" s="54">
        <v>2</v>
      </c>
      <c r="P211" s="54"/>
      <c r="Q211" s="54"/>
      <c r="R211" s="54"/>
      <c r="S211" s="54"/>
      <c r="T211" s="54"/>
      <c r="U211" s="54"/>
      <c r="V211" s="54"/>
      <c r="W211" s="54">
        <v>118386.12</v>
      </c>
      <c r="X211" s="54">
        <v>1</v>
      </c>
      <c r="Y211" s="54">
        <v>118386.12</v>
      </c>
      <c r="Z211" s="54"/>
      <c r="AA211" s="54"/>
      <c r="AB211" s="54"/>
    </row>
    <row r="212" spans="1:28" ht="13" x14ac:dyDescent="0.3">
      <c r="A212" s="54">
        <v>50</v>
      </c>
      <c r="B212" s="54">
        <v>0</v>
      </c>
      <c r="C212" s="54">
        <v>0</v>
      </c>
      <c r="D212" s="54">
        <v>1</v>
      </c>
      <c r="E212" s="54">
        <v>227</v>
      </c>
      <c r="F212" s="54">
        <f>ROUND('Source (3)'!AX205,O212)</f>
        <v>0</v>
      </c>
      <c r="G212" s="54" t="s">
        <v>224</v>
      </c>
      <c r="H212" s="54" t="s">
        <v>225</v>
      </c>
      <c r="I212" s="54"/>
      <c r="J212" s="54"/>
      <c r="K212" s="54">
        <v>227</v>
      </c>
      <c r="L212" s="54">
        <v>6</v>
      </c>
      <c r="M212" s="54">
        <v>3</v>
      </c>
      <c r="N212" s="54" t="s">
        <v>30</v>
      </c>
      <c r="O212" s="54">
        <v>2</v>
      </c>
      <c r="P212" s="54"/>
      <c r="Q212" s="54"/>
      <c r="R212" s="54"/>
      <c r="S212" s="54"/>
      <c r="T212" s="54"/>
      <c r="U212" s="54"/>
      <c r="V212" s="54"/>
      <c r="W212" s="54">
        <v>0</v>
      </c>
      <c r="X212" s="54">
        <v>1</v>
      </c>
      <c r="Y212" s="54">
        <v>0</v>
      </c>
      <c r="Z212" s="54"/>
      <c r="AA212" s="54"/>
      <c r="AB212" s="54"/>
    </row>
    <row r="213" spans="1:28" ht="13" x14ac:dyDescent="0.3">
      <c r="A213" s="54">
        <v>50</v>
      </c>
      <c r="B213" s="54">
        <v>0</v>
      </c>
      <c r="C213" s="54">
        <v>0</v>
      </c>
      <c r="D213" s="54">
        <v>1</v>
      </c>
      <c r="E213" s="54">
        <v>228</v>
      </c>
      <c r="F213" s="54">
        <f>ROUND('Source (3)'!AY205,O213)</f>
        <v>118386.12</v>
      </c>
      <c r="G213" s="54" t="s">
        <v>226</v>
      </c>
      <c r="H213" s="54" t="s">
        <v>227</v>
      </c>
      <c r="I213" s="54"/>
      <c r="J213" s="54"/>
      <c r="K213" s="54">
        <v>228</v>
      </c>
      <c r="L213" s="54">
        <v>7</v>
      </c>
      <c r="M213" s="54">
        <v>3</v>
      </c>
      <c r="N213" s="54" t="s">
        <v>30</v>
      </c>
      <c r="O213" s="54">
        <v>2</v>
      </c>
      <c r="P213" s="54"/>
      <c r="Q213" s="54"/>
      <c r="R213" s="54"/>
      <c r="S213" s="54"/>
      <c r="T213" s="54"/>
      <c r="U213" s="54"/>
      <c r="V213" s="54"/>
      <c r="W213" s="54">
        <v>118386.12</v>
      </c>
      <c r="X213" s="54">
        <v>1</v>
      </c>
      <c r="Y213" s="54">
        <v>118386.12</v>
      </c>
      <c r="Z213" s="54"/>
      <c r="AA213" s="54"/>
      <c r="AB213" s="54"/>
    </row>
    <row r="214" spans="1:28" ht="13" x14ac:dyDescent="0.3">
      <c r="A214" s="54">
        <v>50</v>
      </c>
      <c r="B214" s="54">
        <v>0</v>
      </c>
      <c r="C214" s="54">
        <v>0</v>
      </c>
      <c r="D214" s="54">
        <v>1</v>
      </c>
      <c r="E214" s="54">
        <v>216</v>
      </c>
      <c r="F214" s="54">
        <f>ROUND('Source (3)'!AP205,O214)</f>
        <v>0</v>
      </c>
      <c r="G214" s="54" t="s">
        <v>228</v>
      </c>
      <c r="H214" s="54" t="s">
        <v>229</v>
      </c>
      <c r="I214" s="54"/>
      <c r="J214" s="54"/>
      <c r="K214" s="54">
        <v>216</v>
      </c>
      <c r="L214" s="54">
        <v>8</v>
      </c>
      <c r="M214" s="54">
        <v>3</v>
      </c>
      <c r="N214" s="54" t="s">
        <v>30</v>
      </c>
      <c r="O214" s="54">
        <v>2</v>
      </c>
      <c r="P214" s="54"/>
      <c r="Q214" s="54"/>
      <c r="R214" s="54"/>
      <c r="S214" s="54"/>
      <c r="T214" s="54"/>
      <c r="U214" s="54"/>
      <c r="V214" s="54"/>
      <c r="W214" s="54">
        <v>0</v>
      </c>
      <c r="X214" s="54">
        <v>1</v>
      </c>
      <c r="Y214" s="54">
        <v>0</v>
      </c>
      <c r="Z214" s="54"/>
      <c r="AA214" s="54"/>
      <c r="AB214" s="54"/>
    </row>
    <row r="215" spans="1:28" ht="13" x14ac:dyDescent="0.3">
      <c r="A215" s="54">
        <v>50</v>
      </c>
      <c r="B215" s="54">
        <v>0</v>
      </c>
      <c r="C215" s="54">
        <v>0</v>
      </c>
      <c r="D215" s="54">
        <v>1</v>
      </c>
      <c r="E215" s="54">
        <v>223</v>
      </c>
      <c r="F215" s="54">
        <f>ROUND('Source (3)'!AQ205,O215)</f>
        <v>0</v>
      </c>
      <c r="G215" s="54" t="s">
        <v>230</v>
      </c>
      <c r="H215" s="54" t="s">
        <v>231</v>
      </c>
      <c r="I215" s="54"/>
      <c r="J215" s="54"/>
      <c r="K215" s="54">
        <v>223</v>
      </c>
      <c r="L215" s="54">
        <v>9</v>
      </c>
      <c r="M215" s="54">
        <v>3</v>
      </c>
      <c r="N215" s="54" t="s">
        <v>30</v>
      </c>
      <c r="O215" s="54">
        <v>2</v>
      </c>
      <c r="P215" s="54"/>
      <c r="Q215" s="54"/>
      <c r="R215" s="54"/>
      <c r="S215" s="54"/>
      <c r="T215" s="54"/>
      <c r="U215" s="54"/>
      <c r="V215" s="54"/>
      <c r="W215" s="54">
        <v>0</v>
      </c>
      <c r="X215" s="54">
        <v>1</v>
      </c>
      <c r="Y215" s="54">
        <v>0</v>
      </c>
      <c r="Z215" s="54"/>
      <c r="AA215" s="54"/>
      <c r="AB215" s="54"/>
    </row>
    <row r="216" spans="1:28" ht="13" x14ac:dyDescent="0.3">
      <c r="A216" s="54">
        <v>50</v>
      </c>
      <c r="B216" s="54">
        <v>0</v>
      </c>
      <c r="C216" s="54">
        <v>0</v>
      </c>
      <c r="D216" s="54">
        <v>1</v>
      </c>
      <c r="E216" s="54">
        <v>229</v>
      </c>
      <c r="F216" s="54">
        <f>ROUND('Source (3)'!AZ205,O216)</f>
        <v>0</v>
      </c>
      <c r="G216" s="54" t="s">
        <v>232</v>
      </c>
      <c r="H216" s="54" t="s">
        <v>233</v>
      </c>
      <c r="I216" s="54"/>
      <c r="J216" s="54"/>
      <c r="K216" s="54">
        <v>229</v>
      </c>
      <c r="L216" s="54">
        <v>10</v>
      </c>
      <c r="M216" s="54">
        <v>3</v>
      </c>
      <c r="N216" s="54" t="s">
        <v>30</v>
      </c>
      <c r="O216" s="54">
        <v>2</v>
      </c>
      <c r="P216" s="54"/>
      <c r="Q216" s="54"/>
      <c r="R216" s="54"/>
      <c r="S216" s="54"/>
      <c r="T216" s="54"/>
      <c r="U216" s="54"/>
      <c r="V216" s="54"/>
      <c r="W216" s="54">
        <v>0</v>
      </c>
      <c r="X216" s="54">
        <v>1</v>
      </c>
      <c r="Y216" s="54">
        <v>0</v>
      </c>
      <c r="Z216" s="54"/>
      <c r="AA216" s="54"/>
      <c r="AB216" s="54"/>
    </row>
    <row r="217" spans="1:28" ht="13" x14ac:dyDescent="0.3">
      <c r="A217" s="54">
        <v>50</v>
      </c>
      <c r="B217" s="54">
        <v>0</v>
      </c>
      <c r="C217" s="54">
        <v>0</v>
      </c>
      <c r="D217" s="54">
        <v>1</v>
      </c>
      <c r="E217" s="54">
        <v>203</v>
      </c>
      <c r="F217" s="54">
        <f>ROUND('Source (3)'!Q205,O217)</f>
        <v>107651.7</v>
      </c>
      <c r="G217" s="54" t="s">
        <v>234</v>
      </c>
      <c r="H217" s="54" t="s">
        <v>235</v>
      </c>
      <c r="I217" s="54"/>
      <c r="J217" s="54"/>
      <c r="K217" s="54">
        <v>203</v>
      </c>
      <c r="L217" s="54">
        <v>11</v>
      </c>
      <c r="M217" s="54">
        <v>3</v>
      </c>
      <c r="N217" s="54" t="s">
        <v>30</v>
      </c>
      <c r="O217" s="54">
        <v>2</v>
      </c>
      <c r="P217" s="54"/>
      <c r="Q217" s="54"/>
      <c r="R217" s="54"/>
      <c r="S217" s="54"/>
      <c r="T217" s="54"/>
      <c r="U217" s="54"/>
      <c r="V217" s="54"/>
      <c r="W217" s="54">
        <v>107651.7</v>
      </c>
      <c r="X217" s="54">
        <v>1</v>
      </c>
      <c r="Y217" s="54">
        <v>107651.7</v>
      </c>
      <c r="Z217" s="54"/>
      <c r="AA217" s="54"/>
      <c r="AB217" s="54"/>
    </row>
    <row r="218" spans="1:28" ht="13" x14ac:dyDescent="0.3">
      <c r="A218" s="54">
        <v>50</v>
      </c>
      <c r="B218" s="54">
        <v>0</v>
      </c>
      <c r="C218" s="54">
        <v>0</v>
      </c>
      <c r="D218" s="54">
        <v>1</v>
      </c>
      <c r="E218" s="54">
        <v>231</v>
      </c>
      <c r="F218" s="54">
        <f>ROUND('Source (3)'!BB205,O218)</f>
        <v>0</v>
      </c>
      <c r="G218" s="54" t="s">
        <v>236</v>
      </c>
      <c r="H218" s="54" t="s">
        <v>237</v>
      </c>
      <c r="I218" s="54"/>
      <c r="J218" s="54"/>
      <c r="K218" s="54">
        <v>231</v>
      </c>
      <c r="L218" s="54">
        <v>12</v>
      </c>
      <c r="M218" s="54">
        <v>3</v>
      </c>
      <c r="N218" s="54" t="s">
        <v>30</v>
      </c>
      <c r="O218" s="54">
        <v>2</v>
      </c>
      <c r="P218" s="54"/>
      <c r="Q218" s="54"/>
      <c r="R218" s="54"/>
      <c r="S218" s="54"/>
      <c r="T218" s="54"/>
      <c r="U218" s="54"/>
      <c r="V218" s="54"/>
      <c r="W218" s="54">
        <v>0</v>
      </c>
      <c r="X218" s="54">
        <v>1</v>
      </c>
      <c r="Y218" s="54">
        <v>0</v>
      </c>
      <c r="Z218" s="54"/>
      <c r="AA218" s="54"/>
      <c r="AB218" s="54"/>
    </row>
    <row r="219" spans="1:28" ht="13" x14ac:dyDescent="0.3">
      <c r="A219" s="54">
        <v>50</v>
      </c>
      <c r="B219" s="54">
        <v>0</v>
      </c>
      <c r="C219" s="54">
        <v>0</v>
      </c>
      <c r="D219" s="54">
        <v>1</v>
      </c>
      <c r="E219" s="54">
        <v>204</v>
      </c>
      <c r="F219" s="54">
        <f>ROUND('Source (3)'!R205,O219)</f>
        <v>54773.86</v>
      </c>
      <c r="G219" s="54" t="s">
        <v>238</v>
      </c>
      <c r="H219" s="54" t="s">
        <v>239</v>
      </c>
      <c r="I219" s="54"/>
      <c r="J219" s="54"/>
      <c r="K219" s="54">
        <v>204</v>
      </c>
      <c r="L219" s="54">
        <v>13</v>
      </c>
      <c r="M219" s="54">
        <v>3</v>
      </c>
      <c r="N219" s="54" t="s">
        <v>30</v>
      </c>
      <c r="O219" s="54">
        <v>2</v>
      </c>
      <c r="P219" s="54"/>
      <c r="Q219" s="54"/>
      <c r="R219" s="54"/>
      <c r="S219" s="54"/>
      <c r="T219" s="54"/>
      <c r="U219" s="54"/>
      <c r="V219" s="54"/>
      <c r="W219" s="54">
        <v>54773.86</v>
      </c>
      <c r="X219" s="54">
        <v>1</v>
      </c>
      <c r="Y219" s="54">
        <v>54773.86</v>
      </c>
      <c r="Z219" s="54"/>
      <c r="AA219" s="54"/>
      <c r="AB219" s="54"/>
    </row>
    <row r="220" spans="1:28" ht="13" x14ac:dyDescent="0.3">
      <c r="A220" s="54">
        <v>50</v>
      </c>
      <c r="B220" s="54">
        <v>0</v>
      </c>
      <c r="C220" s="54">
        <v>0</v>
      </c>
      <c r="D220" s="54">
        <v>1</v>
      </c>
      <c r="E220" s="54">
        <v>205</v>
      </c>
      <c r="F220" s="54">
        <f>ROUND('Source (3)'!S205,O220)</f>
        <v>9549.5300000000007</v>
      </c>
      <c r="G220" s="54" t="s">
        <v>240</v>
      </c>
      <c r="H220" s="54" t="s">
        <v>241</v>
      </c>
      <c r="I220" s="54"/>
      <c r="J220" s="54"/>
      <c r="K220" s="54">
        <v>205</v>
      </c>
      <c r="L220" s="54">
        <v>14</v>
      </c>
      <c r="M220" s="54">
        <v>3</v>
      </c>
      <c r="N220" s="54" t="s">
        <v>30</v>
      </c>
      <c r="O220" s="54">
        <v>2</v>
      </c>
      <c r="P220" s="54"/>
      <c r="Q220" s="54"/>
      <c r="R220" s="54"/>
      <c r="S220" s="54"/>
      <c r="T220" s="54"/>
      <c r="U220" s="54"/>
      <c r="V220" s="54"/>
      <c r="W220" s="54">
        <v>9549.5300000000007</v>
      </c>
      <c r="X220" s="54">
        <v>1</v>
      </c>
      <c r="Y220" s="54">
        <v>9549.5300000000007</v>
      </c>
      <c r="Z220" s="54"/>
      <c r="AA220" s="54"/>
      <c r="AB220" s="54"/>
    </row>
    <row r="221" spans="1:28" ht="13" x14ac:dyDescent="0.3">
      <c r="A221" s="54">
        <v>50</v>
      </c>
      <c r="B221" s="54">
        <v>0</v>
      </c>
      <c r="C221" s="54">
        <v>0</v>
      </c>
      <c r="D221" s="54">
        <v>1</v>
      </c>
      <c r="E221" s="54">
        <v>232</v>
      </c>
      <c r="F221" s="54">
        <f>ROUND('Source (3)'!BC205,O221)</f>
        <v>0</v>
      </c>
      <c r="G221" s="54" t="s">
        <v>242</v>
      </c>
      <c r="H221" s="54" t="s">
        <v>243</v>
      </c>
      <c r="I221" s="54"/>
      <c r="J221" s="54"/>
      <c r="K221" s="54">
        <v>232</v>
      </c>
      <c r="L221" s="54">
        <v>15</v>
      </c>
      <c r="M221" s="54">
        <v>3</v>
      </c>
      <c r="N221" s="54" t="s">
        <v>30</v>
      </c>
      <c r="O221" s="54">
        <v>2</v>
      </c>
      <c r="P221" s="54"/>
      <c r="Q221" s="54"/>
      <c r="R221" s="54"/>
      <c r="S221" s="54"/>
      <c r="T221" s="54"/>
      <c r="U221" s="54"/>
      <c r="V221" s="54"/>
      <c r="W221" s="54">
        <v>0</v>
      </c>
      <c r="X221" s="54">
        <v>1</v>
      </c>
      <c r="Y221" s="54">
        <v>0</v>
      </c>
      <c r="Z221" s="54"/>
      <c r="AA221" s="54"/>
      <c r="AB221" s="54"/>
    </row>
    <row r="222" spans="1:28" ht="13" x14ac:dyDescent="0.3">
      <c r="A222" s="54">
        <v>50</v>
      </c>
      <c r="B222" s="54">
        <v>0</v>
      </c>
      <c r="C222" s="54">
        <v>0</v>
      </c>
      <c r="D222" s="54">
        <v>1</v>
      </c>
      <c r="E222" s="54">
        <v>214</v>
      </c>
      <c r="F222" s="54">
        <f>ROUND('Source (3)'!AS205,O222)</f>
        <v>0</v>
      </c>
      <c r="G222" s="54" t="s">
        <v>244</v>
      </c>
      <c r="H222" s="54" t="s">
        <v>245</v>
      </c>
      <c r="I222" s="54"/>
      <c r="J222" s="54"/>
      <c r="K222" s="54">
        <v>214</v>
      </c>
      <c r="L222" s="54">
        <v>16</v>
      </c>
      <c r="M222" s="54">
        <v>3</v>
      </c>
      <c r="N222" s="54" t="s">
        <v>30</v>
      </c>
      <c r="O222" s="54">
        <v>2</v>
      </c>
      <c r="P222" s="54"/>
      <c r="Q222" s="54"/>
      <c r="R222" s="54"/>
      <c r="S222" s="54"/>
      <c r="T222" s="54"/>
      <c r="U222" s="54"/>
      <c r="V222" s="54"/>
      <c r="W222" s="54">
        <v>0</v>
      </c>
      <c r="X222" s="54">
        <v>1</v>
      </c>
      <c r="Y222" s="54">
        <v>0</v>
      </c>
      <c r="Z222" s="54"/>
      <c r="AA222" s="54"/>
      <c r="AB222" s="54"/>
    </row>
    <row r="223" spans="1:28" ht="13" x14ac:dyDescent="0.3">
      <c r="A223" s="54">
        <v>50</v>
      </c>
      <c r="B223" s="54">
        <v>0</v>
      </c>
      <c r="C223" s="54">
        <v>0</v>
      </c>
      <c r="D223" s="54">
        <v>1</v>
      </c>
      <c r="E223" s="54">
        <v>215</v>
      </c>
      <c r="F223" s="54">
        <f>ROUND('Source (3)'!AT205,O223)</f>
        <v>0</v>
      </c>
      <c r="G223" s="54" t="s">
        <v>246</v>
      </c>
      <c r="H223" s="54" t="s">
        <v>247</v>
      </c>
      <c r="I223" s="54"/>
      <c r="J223" s="54"/>
      <c r="K223" s="54">
        <v>215</v>
      </c>
      <c r="L223" s="54">
        <v>17</v>
      </c>
      <c r="M223" s="54">
        <v>3</v>
      </c>
      <c r="N223" s="54" t="s">
        <v>30</v>
      </c>
      <c r="O223" s="54">
        <v>2</v>
      </c>
      <c r="P223" s="54"/>
      <c r="Q223" s="54"/>
      <c r="R223" s="54"/>
      <c r="S223" s="54"/>
      <c r="T223" s="54"/>
      <c r="U223" s="54"/>
      <c r="V223" s="54"/>
      <c r="W223" s="54">
        <v>0</v>
      </c>
      <c r="X223" s="54">
        <v>1</v>
      </c>
      <c r="Y223" s="54">
        <v>0</v>
      </c>
      <c r="Z223" s="54"/>
      <c r="AA223" s="54"/>
      <c r="AB223" s="54"/>
    </row>
    <row r="224" spans="1:28" ht="13" x14ac:dyDescent="0.3">
      <c r="A224" s="54">
        <v>50</v>
      </c>
      <c r="B224" s="54">
        <v>0</v>
      </c>
      <c r="C224" s="54">
        <v>0</v>
      </c>
      <c r="D224" s="54">
        <v>1</v>
      </c>
      <c r="E224" s="54">
        <v>217</v>
      </c>
      <c r="F224" s="54">
        <f>ROUND('Source (3)'!AU205,O224)</f>
        <v>252686.5</v>
      </c>
      <c r="G224" s="54" t="s">
        <v>248</v>
      </c>
      <c r="H224" s="54" t="s">
        <v>249</v>
      </c>
      <c r="I224" s="54"/>
      <c r="J224" s="54"/>
      <c r="K224" s="54">
        <v>217</v>
      </c>
      <c r="L224" s="54">
        <v>18</v>
      </c>
      <c r="M224" s="54">
        <v>3</v>
      </c>
      <c r="N224" s="54" t="s">
        <v>30</v>
      </c>
      <c r="O224" s="54">
        <v>2</v>
      </c>
      <c r="P224" s="54"/>
      <c r="Q224" s="54"/>
      <c r="R224" s="54"/>
      <c r="S224" s="54"/>
      <c r="T224" s="54"/>
      <c r="U224" s="54"/>
      <c r="V224" s="54"/>
      <c r="W224" s="54">
        <v>252686.5</v>
      </c>
      <c r="X224" s="54">
        <v>1</v>
      </c>
      <c r="Y224" s="54">
        <v>252686.5</v>
      </c>
      <c r="Z224" s="54"/>
      <c r="AA224" s="54"/>
      <c r="AB224" s="54"/>
    </row>
    <row r="225" spans="1:245" ht="13" x14ac:dyDescent="0.3">
      <c r="A225" s="54">
        <v>50</v>
      </c>
      <c r="B225" s="54">
        <v>0</v>
      </c>
      <c r="C225" s="54">
        <v>0</v>
      </c>
      <c r="D225" s="54">
        <v>1</v>
      </c>
      <c r="E225" s="54">
        <v>230</v>
      </c>
      <c r="F225" s="54">
        <f>ROUND('Source (3)'!BA205,O225)</f>
        <v>0</v>
      </c>
      <c r="G225" s="54" t="s">
        <v>250</v>
      </c>
      <c r="H225" s="54" t="s">
        <v>251</v>
      </c>
      <c r="I225" s="54"/>
      <c r="J225" s="54"/>
      <c r="K225" s="54">
        <v>230</v>
      </c>
      <c r="L225" s="54">
        <v>19</v>
      </c>
      <c r="M225" s="54">
        <v>3</v>
      </c>
      <c r="N225" s="54" t="s">
        <v>30</v>
      </c>
      <c r="O225" s="54">
        <v>2</v>
      </c>
      <c r="P225" s="54"/>
      <c r="Q225" s="54"/>
      <c r="R225" s="54"/>
      <c r="S225" s="54"/>
      <c r="T225" s="54"/>
      <c r="U225" s="54"/>
      <c r="V225" s="54"/>
      <c r="W225" s="54">
        <v>0</v>
      </c>
      <c r="X225" s="54">
        <v>1</v>
      </c>
      <c r="Y225" s="54">
        <v>0</v>
      </c>
      <c r="Z225" s="54"/>
      <c r="AA225" s="54"/>
      <c r="AB225" s="54"/>
    </row>
    <row r="226" spans="1:245" ht="13" x14ac:dyDescent="0.3">
      <c r="A226" s="54">
        <v>50</v>
      </c>
      <c r="B226" s="54">
        <v>0</v>
      </c>
      <c r="C226" s="54">
        <v>0</v>
      </c>
      <c r="D226" s="54">
        <v>1</v>
      </c>
      <c r="E226" s="54">
        <v>206</v>
      </c>
      <c r="F226" s="54">
        <f>ROUND('Source (3)'!T205,O226)</f>
        <v>0</v>
      </c>
      <c r="G226" s="54" t="s">
        <v>252</v>
      </c>
      <c r="H226" s="54" t="s">
        <v>253</v>
      </c>
      <c r="I226" s="54"/>
      <c r="J226" s="54"/>
      <c r="K226" s="54">
        <v>206</v>
      </c>
      <c r="L226" s="54">
        <v>20</v>
      </c>
      <c r="M226" s="54">
        <v>3</v>
      </c>
      <c r="N226" s="54" t="s">
        <v>30</v>
      </c>
      <c r="O226" s="54">
        <v>2</v>
      </c>
      <c r="P226" s="54"/>
      <c r="Q226" s="54"/>
      <c r="R226" s="54"/>
      <c r="S226" s="54"/>
      <c r="T226" s="54"/>
      <c r="U226" s="54"/>
      <c r="V226" s="54"/>
      <c r="W226" s="54">
        <v>0</v>
      </c>
      <c r="X226" s="54">
        <v>1</v>
      </c>
      <c r="Y226" s="54">
        <v>0</v>
      </c>
      <c r="Z226" s="54"/>
      <c r="AA226" s="54"/>
      <c r="AB226" s="54"/>
    </row>
    <row r="227" spans="1:245" ht="13" x14ac:dyDescent="0.3">
      <c r="A227" s="54">
        <v>50</v>
      </c>
      <c r="B227" s="54">
        <v>0</v>
      </c>
      <c r="C227" s="54">
        <v>0</v>
      </c>
      <c r="D227" s="54">
        <v>1</v>
      </c>
      <c r="E227" s="54">
        <v>207</v>
      </c>
      <c r="F227" s="54">
        <f>'Source (3)'!U205</f>
        <v>46.477730999999999</v>
      </c>
      <c r="G227" s="54" t="s">
        <v>254</v>
      </c>
      <c r="H227" s="54" t="s">
        <v>255</v>
      </c>
      <c r="I227" s="54"/>
      <c r="J227" s="54"/>
      <c r="K227" s="54">
        <v>207</v>
      </c>
      <c r="L227" s="54">
        <v>21</v>
      </c>
      <c r="M227" s="54">
        <v>3</v>
      </c>
      <c r="N227" s="54" t="s">
        <v>30</v>
      </c>
      <c r="O227" s="54">
        <v>-1</v>
      </c>
      <c r="P227" s="54"/>
      <c r="Q227" s="54"/>
      <c r="R227" s="54"/>
      <c r="S227" s="54"/>
      <c r="T227" s="54"/>
      <c r="U227" s="54"/>
      <c r="V227" s="54"/>
      <c r="W227" s="54">
        <v>46.477730999999999</v>
      </c>
      <c r="X227" s="54">
        <v>1</v>
      </c>
      <c r="Y227" s="54">
        <v>46.477730999999999</v>
      </c>
      <c r="Z227" s="54"/>
      <c r="AA227" s="54"/>
      <c r="AB227" s="54"/>
    </row>
    <row r="228" spans="1:245" ht="13" x14ac:dyDescent="0.3">
      <c r="A228" s="54">
        <v>50</v>
      </c>
      <c r="B228" s="54">
        <v>0</v>
      </c>
      <c r="C228" s="54">
        <v>0</v>
      </c>
      <c r="D228" s="54">
        <v>1</v>
      </c>
      <c r="E228" s="54">
        <v>208</v>
      </c>
      <c r="F228" s="54">
        <f>'Source (3)'!V205</f>
        <v>0</v>
      </c>
      <c r="G228" s="54" t="s">
        <v>256</v>
      </c>
      <c r="H228" s="54" t="s">
        <v>257</v>
      </c>
      <c r="I228" s="54"/>
      <c r="J228" s="54"/>
      <c r="K228" s="54">
        <v>208</v>
      </c>
      <c r="L228" s="54">
        <v>22</v>
      </c>
      <c r="M228" s="54">
        <v>3</v>
      </c>
      <c r="N228" s="54" t="s">
        <v>30</v>
      </c>
      <c r="O228" s="54">
        <v>-1</v>
      </c>
      <c r="P228" s="54"/>
      <c r="Q228" s="54"/>
      <c r="R228" s="54"/>
      <c r="S228" s="54"/>
      <c r="T228" s="54"/>
      <c r="U228" s="54"/>
      <c r="V228" s="54"/>
      <c r="W228" s="54">
        <v>0</v>
      </c>
      <c r="X228" s="54">
        <v>1</v>
      </c>
      <c r="Y228" s="54">
        <v>0</v>
      </c>
      <c r="Z228" s="54"/>
      <c r="AA228" s="54"/>
      <c r="AB228" s="54"/>
    </row>
    <row r="229" spans="1:245" ht="13" x14ac:dyDescent="0.3">
      <c r="A229" s="54">
        <v>50</v>
      </c>
      <c r="B229" s="54">
        <v>0</v>
      </c>
      <c r="C229" s="54">
        <v>0</v>
      </c>
      <c r="D229" s="54">
        <v>1</v>
      </c>
      <c r="E229" s="54">
        <v>209</v>
      </c>
      <c r="F229" s="54">
        <f>ROUND('Source (3)'!W205,O229)</f>
        <v>0</v>
      </c>
      <c r="G229" s="54" t="s">
        <v>258</v>
      </c>
      <c r="H229" s="54" t="s">
        <v>259</v>
      </c>
      <c r="I229" s="54"/>
      <c r="J229" s="54"/>
      <c r="K229" s="54">
        <v>209</v>
      </c>
      <c r="L229" s="54">
        <v>23</v>
      </c>
      <c r="M229" s="54">
        <v>3</v>
      </c>
      <c r="N229" s="54" t="s">
        <v>30</v>
      </c>
      <c r="O229" s="54">
        <v>2</v>
      </c>
      <c r="P229" s="54"/>
      <c r="Q229" s="54"/>
      <c r="R229" s="54"/>
      <c r="S229" s="54"/>
      <c r="T229" s="54"/>
      <c r="U229" s="54"/>
      <c r="V229" s="54"/>
      <c r="W229" s="54">
        <v>0</v>
      </c>
      <c r="X229" s="54">
        <v>1</v>
      </c>
      <c r="Y229" s="54">
        <v>0</v>
      </c>
      <c r="Z229" s="54"/>
      <c r="AA229" s="54"/>
      <c r="AB229" s="54"/>
    </row>
    <row r="230" spans="1:245" ht="13" x14ac:dyDescent="0.3">
      <c r="A230" s="54">
        <v>50</v>
      </c>
      <c r="B230" s="54">
        <v>0</v>
      </c>
      <c r="C230" s="54">
        <v>0</v>
      </c>
      <c r="D230" s="54">
        <v>1</v>
      </c>
      <c r="E230" s="54">
        <v>233</v>
      </c>
      <c r="F230" s="54">
        <f>ROUND('Source (3)'!BD205,O230)</f>
        <v>0</v>
      </c>
      <c r="G230" s="54" t="s">
        <v>260</v>
      </c>
      <c r="H230" s="54" t="s">
        <v>261</v>
      </c>
      <c r="I230" s="54"/>
      <c r="J230" s="54"/>
      <c r="K230" s="54">
        <v>233</v>
      </c>
      <c r="L230" s="54">
        <v>24</v>
      </c>
      <c r="M230" s="54">
        <v>3</v>
      </c>
      <c r="N230" s="54" t="s">
        <v>30</v>
      </c>
      <c r="O230" s="54">
        <v>2</v>
      </c>
      <c r="P230" s="54"/>
      <c r="Q230" s="54"/>
      <c r="R230" s="54"/>
      <c r="S230" s="54"/>
      <c r="T230" s="54"/>
      <c r="U230" s="54"/>
      <c r="V230" s="54"/>
      <c r="W230" s="54">
        <v>0</v>
      </c>
      <c r="X230" s="54">
        <v>1</v>
      </c>
      <c r="Y230" s="54">
        <v>0</v>
      </c>
      <c r="Z230" s="54"/>
      <c r="AA230" s="54"/>
      <c r="AB230" s="54"/>
    </row>
    <row r="231" spans="1:245" ht="13" x14ac:dyDescent="0.3">
      <c r="A231" s="54">
        <v>50</v>
      </c>
      <c r="B231" s="54">
        <v>0</v>
      </c>
      <c r="C231" s="54">
        <v>0</v>
      </c>
      <c r="D231" s="54">
        <v>1</v>
      </c>
      <c r="E231" s="54">
        <v>210</v>
      </c>
      <c r="F231" s="54">
        <f>ROUND('Source (3)'!X205,O231)</f>
        <v>6684.69</v>
      </c>
      <c r="G231" s="54" t="s">
        <v>262</v>
      </c>
      <c r="H231" s="54" t="s">
        <v>263</v>
      </c>
      <c r="I231" s="54"/>
      <c r="J231" s="54"/>
      <c r="K231" s="54">
        <v>210</v>
      </c>
      <c r="L231" s="54">
        <v>25</v>
      </c>
      <c r="M231" s="54">
        <v>3</v>
      </c>
      <c r="N231" s="54" t="s">
        <v>30</v>
      </c>
      <c r="O231" s="54">
        <v>2</v>
      </c>
      <c r="P231" s="54"/>
      <c r="Q231" s="54"/>
      <c r="R231" s="54"/>
      <c r="S231" s="54"/>
      <c r="T231" s="54"/>
      <c r="U231" s="54"/>
      <c r="V231" s="54"/>
      <c r="W231" s="54">
        <v>6684.69</v>
      </c>
      <c r="X231" s="54">
        <v>1</v>
      </c>
      <c r="Y231" s="54">
        <v>6684.69</v>
      </c>
      <c r="Z231" s="54"/>
      <c r="AA231" s="54"/>
      <c r="AB231" s="54"/>
    </row>
    <row r="232" spans="1:245" ht="13" x14ac:dyDescent="0.3">
      <c r="A232" s="54">
        <v>50</v>
      </c>
      <c r="B232" s="54">
        <v>0</v>
      </c>
      <c r="C232" s="54">
        <v>0</v>
      </c>
      <c r="D232" s="54">
        <v>1</v>
      </c>
      <c r="E232" s="54">
        <v>211</v>
      </c>
      <c r="F232" s="54">
        <f>ROUND('Source (3)'!Y205,O232)</f>
        <v>954.96</v>
      </c>
      <c r="G232" s="54" t="s">
        <v>264</v>
      </c>
      <c r="H232" s="54" t="s">
        <v>265</v>
      </c>
      <c r="I232" s="54"/>
      <c r="J232" s="54"/>
      <c r="K232" s="54">
        <v>211</v>
      </c>
      <c r="L232" s="54">
        <v>26</v>
      </c>
      <c r="M232" s="54">
        <v>3</v>
      </c>
      <c r="N232" s="54" t="s">
        <v>30</v>
      </c>
      <c r="O232" s="54">
        <v>2</v>
      </c>
      <c r="P232" s="54"/>
      <c r="Q232" s="54"/>
      <c r="R232" s="54"/>
      <c r="S232" s="54"/>
      <c r="T232" s="54"/>
      <c r="U232" s="54"/>
      <c r="V232" s="54"/>
      <c r="W232" s="54">
        <v>954.96</v>
      </c>
      <c r="X232" s="54">
        <v>1</v>
      </c>
      <c r="Y232" s="54">
        <v>954.96</v>
      </c>
      <c r="Z232" s="54"/>
      <c r="AA232" s="54"/>
      <c r="AB232" s="54"/>
    </row>
    <row r="233" spans="1:245" ht="13" x14ac:dyDescent="0.3">
      <c r="A233" s="54">
        <v>50</v>
      </c>
      <c r="B233" s="54">
        <v>0</v>
      </c>
      <c r="C233" s="54">
        <v>0</v>
      </c>
      <c r="D233" s="54">
        <v>1</v>
      </c>
      <c r="E233" s="54">
        <v>224</v>
      </c>
      <c r="F233" s="54">
        <f>ROUND('Source (3)'!AR205,O233)</f>
        <v>252686.5</v>
      </c>
      <c r="G233" s="54" t="s">
        <v>266</v>
      </c>
      <c r="H233" s="54" t="s">
        <v>267</v>
      </c>
      <c r="I233" s="54"/>
      <c r="J233" s="54"/>
      <c r="K233" s="54">
        <v>224</v>
      </c>
      <c r="L233" s="54">
        <v>27</v>
      </c>
      <c r="M233" s="54">
        <v>3</v>
      </c>
      <c r="N233" s="54" t="s">
        <v>30</v>
      </c>
      <c r="O233" s="54">
        <v>2</v>
      </c>
      <c r="P233" s="54"/>
      <c r="Q233" s="54"/>
      <c r="R233" s="54"/>
      <c r="S233" s="54"/>
      <c r="T233" s="54"/>
      <c r="U233" s="54"/>
      <c r="V233" s="54"/>
      <c r="W233" s="54">
        <v>252686.5</v>
      </c>
      <c r="X233" s="54">
        <v>1</v>
      </c>
      <c r="Y233" s="54">
        <v>252686.5</v>
      </c>
      <c r="Z233" s="54"/>
      <c r="AA233" s="54"/>
      <c r="AB233" s="54"/>
    </row>
    <row r="235" spans="1:245" ht="13" x14ac:dyDescent="0.3">
      <c r="A235" s="51">
        <v>4</v>
      </c>
      <c r="B235" s="51">
        <v>1</v>
      </c>
      <c r="C235" s="51"/>
      <c r="D235" s="51">
        <f>ROW(A244)</f>
        <v>244</v>
      </c>
      <c r="E235" s="51"/>
      <c r="F235" s="51" t="s">
        <v>174</v>
      </c>
      <c r="G235" s="51" t="s">
        <v>444</v>
      </c>
      <c r="H235" s="51" t="s">
        <v>30</v>
      </c>
      <c r="I235" s="51">
        <v>0</v>
      </c>
      <c r="J235" s="51"/>
      <c r="K235" s="51">
        <v>-1</v>
      </c>
      <c r="L235" s="51"/>
      <c r="M235" s="51" t="s">
        <v>30</v>
      </c>
      <c r="N235" s="51"/>
      <c r="O235" s="51"/>
      <c r="P235" s="51"/>
      <c r="Q235" s="51"/>
      <c r="R235" s="51"/>
      <c r="S235" s="51">
        <v>0</v>
      </c>
      <c r="T235" s="51"/>
      <c r="U235" s="51" t="s">
        <v>30</v>
      </c>
      <c r="V235" s="51">
        <v>0</v>
      </c>
      <c r="W235" s="51"/>
      <c r="X235" s="51"/>
      <c r="Y235" s="51"/>
      <c r="Z235" s="51"/>
      <c r="AA235" s="51"/>
      <c r="AB235" s="51" t="s">
        <v>30</v>
      </c>
      <c r="AC235" s="51" t="s">
        <v>30</v>
      </c>
      <c r="AD235" s="51" t="s">
        <v>30</v>
      </c>
      <c r="AE235" s="51" t="s">
        <v>30</v>
      </c>
      <c r="AF235" s="51" t="s">
        <v>30</v>
      </c>
      <c r="AG235" s="51" t="s">
        <v>30</v>
      </c>
      <c r="AH235" s="51"/>
      <c r="AI235" s="51"/>
      <c r="AJ235" s="51"/>
      <c r="AK235" s="51"/>
      <c r="AL235" s="51"/>
      <c r="AM235" s="51"/>
      <c r="AN235" s="51"/>
      <c r="AO235" s="51"/>
      <c r="AP235" s="51" t="s">
        <v>30</v>
      </c>
      <c r="AQ235" s="51" t="s">
        <v>30</v>
      </c>
      <c r="AR235" s="51" t="s">
        <v>30</v>
      </c>
      <c r="AS235" s="51"/>
      <c r="AT235" s="51"/>
      <c r="AU235" s="51"/>
      <c r="AV235" s="51"/>
      <c r="AW235" s="51"/>
      <c r="AX235" s="51"/>
      <c r="AY235" s="51"/>
      <c r="AZ235" s="51" t="s">
        <v>30</v>
      </c>
      <c r="BA235" s="51"/>
      <c r="BB235" s="51" t="s">
        <v>30</v>
      </c>
      <c r="BC235" s="51" t="s">
        <v>30</v>
      </c>
      <c r="BD235" s="51" t="s">
        <v>30</v>
      </c>
      <c r="BE235" s="51" t="s">
        <v>30</v>
      </c>
      <c r="BF235" s="51" t="s">
        <v>30</v>
      </c>
      <c r="BG235" s="51" t="s">
        <v>30</v>
      </c>
      <c r="BH235" s="51" t="s">
        <v>30</v>
      </c>
      <c r="BI235" s="51" t="s">
        <v>30</v>
      </c>
      <c r="BJ235" s="51" t="s">
        <v>30</v>
      </c>
      <c r="BK235" s="51" t="s">
        <v>30</v>
      </c>
      <c r="BL235" s="51" t="s">
        <v>30</v>
      </c>
      <c r="BM235" s="51" t="s">
        <v>30</v>
      </c>
      <c r="BN235" s="51" t="s">
        <v>30</v>
      </c>
      <c r="BO235" s="51" t="s">
        <v>30</v>
      </c>
      <c r="BP235" s="51" t="s">
        <v>30</v>
      </c>
      <c r="BQ235" s="51"/>
      <c r="BR235" s="51"/>
      <c r="BS235" s="51"/>
      <c r="BT235" s="51"/>
      <c r="BU235" s="51"/>
      <c r="BV235" s="51"/>
      <c r="BW235" s="51"/>
      <c r="BX235" s="51">
        <v>0</v>
      </c>
      <c r="BY235" s="51"/>
      <c r="BZ235" s="51"/>
      <c r="CA235" s="51"/>
      <c r="CB235" s="51"/>
      <c r="CC235" s="51"/>
      <c r="CD235" s="51"/>
      <c r="CE235" s="51"/>
      <c r="CF235" s="51"/>
      <c r="CG235" s="51"/>
      <c r="CH235" s="51"/>
      <c r="CI235" s="51"/>
      <c r="CJ235" s="51">
        <v>0</v>
      </c>
    </row>
    <row r="237" spans="1:245" ht="13" x14ac:dyDescent="0.3">
      <c r="A237" s="52">
        <v>52</v>
      </c>
      <c r="B237" s="52">
        <f t="shared" ref="B237:G237" si="144">B244</f>
        <v>1</v>
      </c>
      <c r="C237" s="52">
        <f t="shared" si="144"/>
        <v>4</v>
      </c>
      <c r="D237" s="52">
        <f t="shared" si="144"/>
        <v>235</v>
      </c>
      <c r="E237" s="52">
        <f t="shared" si="144"/>
        <v>0</v>
      </c>
      <c r="F237" s="52" t="str">
        <f t="shared" si="144"/>
        <v>Новый раздел</v>
      </c>
      <c r="G237" s="52" t="str">
        <f t="shared" si="144"/>
        <v>Ремонт газонов -800м2</v>
      </c>
      <c r="H237" s="52"/>
      <c r="I237" s="52"/>
      <c r="J237" s="52"/>
      <c r="K237" s="52"/>
      <c r="L237" s="52"/>
      <c r="M237" s="52"/>
      <c r="N237" s="52"/>
      <c r="O237" s="52">
        <f t="shared" ref="O237:BZ237" si="145">O244</f>
        <v>131393.68</v>
      </c>
      <c r="P237" s="52">
        <f t="shared" si="145"/>
        <v>76748.320000000007</v>
      </c>
      <c r="Q237" s="52">
        <f t="shared" si="145"/>
        <v>387.96</v>
      </c>
      <c r="R237" s="52">
        <f t="shared" si="145"/>
        <v>136.91999999999999</v>
      </c>
      <c r="S237" s="52">
        <f t="shared" si="145"/>
        <v>54257.4</v>
      </c>
      <c r="T237" s="52">
        <f t="shared" si="145"/>
        <v>0</v>
      </c>
      <c r="U237" s="52">
        <f t="shared" si="145"/>
        <v>274.8</v>
      </c>
      <c r="V237" s="52">
        <f t="shared" si="145"/>
        <v>0</v>
      </c>
      <c r="W237" s="52">
        <f t="shared" si="145"/>
        <v>0</v>
      </c>
      <c r="X237" s="52">
        <f t="shared" si="145"/>
        <v>37980.18</v>
      </c>
      <c r="Y237" s="52">
        <f t="shared" si="145"/>
        <v>5425.74</v>
      </c>
      <c r="Z237" s="52">
        <f t="shared" si="145"/>
        <v>0</v>
      </c>
      <c r="AA237" s="52">
        <f t="shared" si="145"/>
        <v>0</v>
      </c>
      <c r="AB237" s="52">
        <f t="shared" si="145"/>
        <v>131393.68</v>
      </c>
      <c r="AC237" s="52">
        <f t="shared" si="145"/>
        <v>76748.320000000007</v>
      </c>
      <c r="AD237" s="52">
        <f t="shared" si="145"/>
        <v>387.96</v>
      </c>
      <c r="AE237" s="52">
        <f t="shared" si="145"/>
        <v>136.91999999999999</v>
      </c>
      <c r="AF237" s="52">
        <f t="shared" si="145"/>
        <v>54257.4</v>
      </c>
      <c r="AG237" s="52">
        <f t="shared" si="145"/>
        <v>0</v>
      </c>
      <c r="AH237" s="52">
        <f t="shared" si="145"/>
        <v>274.8</v>
      </c>
      <c r="AI237" s="52">
        <f t="shared" si="145"/>
        <v>0</v>
      </c>
      <c r="AJ237" s="52">
        <f t="shared" si="145"/>
        <v>0</v>
      </c>
      <c r="AK237" s="52">
        <f t="shared" si="145"/>
        <v>37980.18</v>
      </c>
      <c r="AL237" s="52">
        <f t="shared" si="145"/>
        <v>5425.74</v>
      </c>
      <c r="AM237" s="52">
        <f t="shared" si="145"/>
        <v>0</v>
      </c>
      <c r="AN237" s="52">
        <f t="shared" si="145"/>
        <v>0</v>
      </c>
      <c r="AO237" s="52">
        <f t="shared" si="145"/>
        <v>0</v>
      </c>
      <c r="AP237" s="52">
        <f t="shared" si="145"/>
        <v>0</v>
      </c>
      <c r="AQ237" s="52">
        <f t="shared" si="145"/>
        <v>0</v>
      </c>
      <c r="AR237" s="52">
        <f t="shared" si="145"/>
        <v>174947.47</v>
      </c>
      <c r="AS237" s="52">
        <f t="shared" si="145"/>
        <v>0</v>
      </c>
      <c r="AT237" s="52">
        <f t="shared" si="145"/>
        <v>0</v>
      </c>
      <c r="AU237" s="52">
        <f t="shared" si="145"/>
        <v>174947.47</v>
      </c>
      <c r="AV237" s="52">
        <f t="shared" si="145"/>
        <v>76748.320000000007</v>
      </c>
      <c r="AW237" s="52">
        <f t="shared" si="145"/>
        <v>76748.320000000007</v>
      </c>
      <c r="AX237" s="52">
        <f t="shared" si="145"/>
        <v>0</v>
      </c>
      <c r="AY237" s="52">
        <f t="shared" si="145"/>
        <v>76748.320000000007</v>
      </c>
      <c r="AZ237" s="52">
        <f t="shared" si="145"/>
        <v>0</v>
      </c>
      <c r="BA237" s="52">
        <f t="shared" si="145"/>
        <v>0</v>
      </c>
      <c r="BB237" s="52">
        <f t="shared" si="145"/>
        <v>0</v>
      </c>
      <c r="BC237" s="52">
        <f t="shared" si="145"/>
        <v>0</v>
      </c>
      <c r="BD237" s="52">
        <f t="shared" si="145"/>
        <v>0</v>
      </c>
      <c r="BE237" s="52">
        <f t="shared" si="145"/>
        <v>0</v>
      </c>
      <c r="BF237" s="52">
        <f t="shared" si="145"/>
        <v>0</v>
      </c>
      <c r="BG237" s="52">
        <f t="shared" si="145"/>
        <v>0</v>
      </c>
      <c r="BH237" s="52">
        <f t="shared" si="145"/>
        <v>0</v>
      </c>
      <c r="BI237" s="52">
        <f t="shared" si="145"/>
        <v>0</v>
      </c>
      <c r="BJ237" s="52">
        <f t="shared" si="145"/>
        <v>0</v>
      </c>
      <c r="BK237" s="52">
        <f t="shared" si="145"/>
        <v>0</v>
      </c>
      <c r="BL237" s="52">
        <f t="shared" si="145"/>
        <v>0</v>
      </c>
      <c r="BM237" s="52">
        <f t="shared" si="145"/>
        <v>0</v>
      </c>
      <c r="BN237" s="52">
        <f t="shared" si="145"/>
        <v>0</v>
      </c>
      <c r="BO237" s="52">
        <f t="shared" si="145"/>
        <v>0</v>
      </c>
      <c r="BP237" s="52">
        <f t="shared" si="145"/>
        <v>0</v>
      </c>
      <c r="BQ237" s="52">
        <f t="shared" si="145"/>
        <v>0</v>
      </c>
      <c r="BR237" s="52">
        <f t="shared" si="145"/>
        <v>0</v>
      </c>
      <c r="BS237" s="52">
        <f t="shared" si="145"/>
        <v>0</v>
      </c>
      <c r="BT237" s="52">
        <f t="shared" si="145"/>
        <v>0</v>
      </c>
      <c r="BU237" s="52">
        <f t="shared" si="145"/>
        <v>0</v>
      </c>
      <c r="BV237" s="52">
        <f t="shared" si="145"/>
        <v>0</v>
      </c>
      <c r="BW237" s="52">
        <f t="shared" si="145"/>
        <v>0</v>
      </c>
      <c r="BX237" s="52">
        <f t="shared" si="145"/>
        <v>0</v>
      </c>
      <c r="BY237" s="52">
        <f t="shared" si="145"/>
        <v>0</v>
      </c>
      <c r="BZ237" s="52">
        <f t="shared" si="145"/>
        <v>0</v>
      </c>
      <c r="CA237" s="52">
        <f t="shared" ref="CA237:EL237" si="146">CA244</f>
        <v>174947.47</v>
      </c>
      <c r="CB237" s="52">
        <f t="shared" si="146"/>
        <v>0</v>
      </c>
      <c r="CC237" s="52">
        <f t="shared" si="146"/>
        <v>0</v>
      </c>
      <c r="CD237" s="52">
        <f t="shared" si="146"/>
        <v>174947.47</v>
      </c>
      <c r="CE237" s="52">
        <f t="shared" si="146"/>
        <v>76748.320000000007</v>
      </c>
      <c r="CF237" s="52">
        <f t="shared" si="146"/>
        <v>76748.320000000007</v>
      </c>
      <c r="CG237" s="52">
        <f t="shared" si="146"/>
        <v>0</v>
      </c>
      <c r="CH237" s="52">
        <f t="shared" si="146"/>
        <v>76748.320000000007</v>
      </c>
      <c r="CI237" s="52">
        <f t="shared" si="146"/>
        <v>0</v>
      </c>
      <c r="CJ237" s="52">
        <f t="shared" si="146"/>
        <v>0</v>
      </c>
      <c r="CK237" s="52">
        <f t="shared" si="146"/>
        <v>0</v>
      </c>
      <c r="CL237" s="52">
        <f t="shared" si="146"/>
        <v>0</v>
      </c>
      <c r="CM237" s="52">
        <f t="shared" si="146"/>
        <v>0</v>
      </c>
      <c r="CN237" s="52">
        <f t="shared" si="146"/>
        <v>0</v>
      </c>
      <c r="CO237" s="52">
        <f t="shared" si="146"/>
        <v>0</v>
      </c>
      <c r="CP237" s="52">
        <f t="shared" si="146"/>
        <v>0</v>
      </c>
      <c r="CQ237" s="52">
        <f t="shared" si="146"/>
        <v>0</v>
      </c>
      <c r="CR237" s="52">
        <f t="shared" si="146"/>
        <v>0</v>
      </c>
      <c r="CS237" s="52">
        <f t="shared" si="146"/>
        <v>0</v>
      </c>
      <c r="CT237" s="52">
        <f t="shared" si="146"/>
        <v>0</v>
      </c>
      <c r="CU237" s="52">
        <f t="shared" si="146"/>
        <v>0</v>
      </c>
      <c r="CV237" s="52">
        <f t="shared" si="146"/>
        <v>0</v>
      </c>
      <c r="CW237" s="52">
        <f t="shared" si="146"/>
        <v>0</v>
      </c>
      <c r="CX237" s="52">
        <f t="shared" si="146"/>
        <v>0</v>
      </c>
      <c r="CY237" s="52">
        <f t="shared" si="146"/>
        <v>0</v>
      </c>
      <c r="CZ237" s="52">
        <f t="shared" si="146"/>
        <v>0</v>
      </c>
      <c r="DA237" s="52">
        <f t="shared" si="146"/>
        <v>0</v>
      </c>
      <c r="DB237" s="52">
        <f t="shared" si="146"/>
        <v>0</v>
      </c>
      <c r="DC237" s="52">
        <f t="shared" si="146"/>
        <v>0</v>
      </c>
      <c r="DD237" s="52">
        <f t="shared" si="146"/>
        <v>0</v>
      </c>
      <c r="DE237" s="52">
        <f t="shared" si="146"/>
        <v>0</v>
      </c>
      <c r="DF237" s="52">
        <f t="shared" si="146"/>
        <v>0</v>
      </c>
      <c r="DG237" s="53">
        <f t="shared" si="146"/>
        <v>0</v>
      </c>
      <c r="DH237" s="53">
        <f t="shared" si="146"/>
        <v>0</v>
      </c>
      <c r="DI237" s="53">
        <f t="shared" si="146"/>
        <v>0</v>
      </c>
      <c r="DJ237" s="53">
        <f t="shared" si="146"/>
        <v>0</v>
      </c>
      <c r="DK237" s="53">
        <f t="shared" si="146"/>
        <v>0</v>
      </c>
      <c r="DL237" s="53">
        <f t="shared" si="146"/>
        <v>0</v>
      </c>
      <c r="DM237" s="53">
        <f t="shared" si="146"/>
        <v>0</v>
      </c>
      <c r="DN237" s="53">
        <f t="shared" si="146"/>
        <v>0</v>
      </c>
      <c r="DO237" s="53">
        <f t="shared" si="146"/>
        <v>0</v>
      </c>
      <c r="DP237" s="53">
        <f t="shared" si="146"/>
        <v>0</v>
      </c>
      <c r="DQ237" s="53">
        <f t="shared" si="146"/>
        <v>0</v>
      </c>
      <c r="DR237" s="53">
        <f t="shared" si="146"/>
        <v>0</v>
      </c>
      <c r="DS237" s="53">
        <f t="shared" si="146"/>
        <v>0</v>
      </c>
      <c r="DT237" s="53">
        <f t="shared" si="146"/>
        <v>0</v>
      </c>
      <c r="DU237" s="53">
        <f t="shared" si="146"/>
        <v>0</v>
      </c>
      <c r="DV237" s="53">
        <f t="shared" si="146"/>
        <v>0</v>
      </c>
      <c r="DW237" s="53">
        <f t="shared" si="146"/>
        <v>0</v>
      </c>
      <c r="DX237" s="53">
        <f t="shared" si="146"/>
        <v>0</v>
      </c>
      <c r="DY237" s="53">
        <f t="shared" si="146"/>
        <v>0</v>
      </c>
      <c r="DZ237" s="53">
        <f t="shared" si="146"/>
        <v>0</v>
      </c>
      <c r="EA237" s="53">
        <f t="shared" si="146"/>
        <v>0</v>
      </c>
      <c r="EB237" s="53">
        <f t="shared" si="146"/>
        <v>0</v>
      </c>
      <c r="EC237" s="53">
        <f t="shared" si="146"/>
        <v>0</v>
      </c>
      <c r="ED237" s="53">
        <f t="shared" si="146"/>
        <v>0</v>
      </c>
      <c r="EE237" s="53">
        <f t="shared" si="146"/>
        <v>0</v>
      </c>
      <c r="EF237" s="53">
        <f t="shared" si="146"/>
        <v>0</v>
      </c>
      <c r="EG237" s="53">
        <f t="shared" si="146"/>
        <v>0</v>
      </c>
      <c r="EH237" s="53">
        <f t="shared" si="146"/>
        <v>0</v>
      </c>
      <c r="EI237" s="53">
        <f t="shared" si="146"/>
        <v>0</v>
      </c>
      <c r="EJ237" s="53">
        <f t="shared" si="146"/>
        <v>0</v>
      </c>
      <c r="EK237" s="53">
        <f t="shared" si="146"/>
        <v>0</v>
      </c>
      <c r="EL237" s="53">
        <f t="shared" si="146"/>
        <v>0</v>
      </c>
      <c r="EM237" s="53">
        <f t="shared" ref="EM237:GX237" si="147">EM244</f>
        <v>0</v>
      </c>
      <c r="EN237" s="53">
        <f t="shared" si="147"/>
        <v>0</v>
      </c>
      <c r="EO237" s="53">
        <f t="shared" si="147"/>
        <v>0</v>
      </c>
      <c r="EP237" s="53">
        <f t="shared" si="147"/>
        <v>0</v>
      </c>
      <c r="EQ237" s="53">
        <f t="shared" si="147"/>
        <v>0</v>
      </c>
      <c r="ER237" s="53">
        <f t="shared" si="147"/>
        <v>0</v>
      </c>
      <c r="ES237" s="53">
        <f t="shared" si="147"/>
        <v>0</v>
      </c>
      <c r="ET237" s="53">
        <f t="shared" si="147"/>
        <v>0</v>
      </c>
      <c r="EU237" s="53">
        <f t="shared" si="147"/>
        <v>0</v>
      </c>
      <c r="EV237" s="53">
        <f t="shared" si="147"/>
        <v>0</v>
      </c>
      <c r="EW237" s="53">
        <f t="shared" si="147"/>
        <v>0</v>
      </c>
      <c r="EX237" s="53">
        <f t="shared" si="147"/>
        <v>0</v>
      </c>
      <c r="EY237" s="53">
        <f t="shared" si="147"/>
        <v>0</v>
      </c>
      <c r="EZ237" s="53">
        <f t="shared" si="147"/>
        <v>0</v>
      </c>
      <c r="FA237" s="53">
        <f t="shared" si="147"/>
        <v>0</v>
      </c>
      <c r="FB237" s="53">
        <f t="shared" si="147"/>
        <v>0</v>
      </c>
      <c r="FC237" s="53">
        <f t="shared" si="147"/>
        <v>0</v>
      </c>
      <c r="FD237" s="53">
        <f t="shared" si="147"/>
        <v>0</v>
      </c>
      <c r="FE237" s="53">
        <f t="shared" si="147"/>
        <v>0</v>
      </c>
      <c r="FF237" s="53">
        <f t="shared" si="147"/>
        <v>0</v>
      </c>
      <c r="FG237" s="53">
        <f t="shared" si="147"/>
        <v>0</v>
      </c>
      <c r="FH237" s="53">
        <f t="shared" si="147"/>
        <v>0</v>
      </c>
      <c r="FI237" s="53">
        <f t="shared" si="147"/>
        <v>0</v>
      </c>
      <c r="FJ237" s="53">
        <f t="shared" si="147"/>
        <v>0</v>
      </c>
      <c r="FK237" s="53">
        <f t="shared" si="147"/>
        <v>0</v>
      </c>
      <c r="FL237" s="53">
        <f t="shared" si="147"/>
        <v>0</v>
      </c>
      <c r="FM237" s="53">
        <f t="shared" si="147"/>
        <v>0</v>
      </c>
      <c r="FN237" s="53">
        <f t="shared" si="147"/>
        <v>0</v>
      </c>
      <c r="FO237" s="53">
        <f t="shared" si="147"/>
        <v>0</v>
      </c>
      <c r="FP237" s="53">
        <f t="shared" si="147"/>
        <v>0</v>
      </c>
      <c r="FQ237" s="53">
        <f t="shared" si="147"/>
        <v>0</v>
      </c>
      <c r="FR237" s="53">
        <f t="shared" si="147"/>
        <v>0</v>
      </c>
      <c r="FS237" s="53">
        <f t="shared" si="147"/>
        <v>0</v>
      </c>
      <c r="FT237" s="53">
        <f t="shared" si="147"/>
        <v>0</v>
      </c>
      <c r="FU237" s="53">
        <f t="shared" si="147"/>
        <v>0</v>
      </c>
      <c r="FV237" s="53">
        <f t="shared" si="147"/>
        <v>0</v>
      </c>
      <c r="FW237" s="53">
        <f t="shared" si="147"/>
        <v>0</v>
      </c>
      <c r="FX237" s="53">
        <f t="shared" si="147"/>
        <v>0</v>
      </c>
      <c r="FY237" s="53">
        <f t="shared" si="147"/>
        <v>0</v>
      </c>
      <c r="FZ237" s="53">
        <f t="shared" si="147"/>
        <v>0</v>
      </c>
      <c r="GA237" s="53">
        <f t="shared" si="147"/>
        <v>0</v>
      </c>
      <c r="GB237" s="53">
        <f t="shared" si="147"/>
        <v>0</v>
      </c>
      <c r="GC237" s="53">
        <f t="shared" si="147"/>
        <v>0</v>
      </c>
      <c r="GD237" s="53">
        <f t="shared" si="147"/>
        <v>0</v>
      </c>
      <c r="GE237" s="53">
        <f t="shared" si="147"/>
        <v>0</v>
      </c>
      <c r="GF237" s="53">
        <f t="shared" si="147"/>
        <v>0</v>
      </c>
      <c r="GG237" s="53">
        <f t="shared" si="147"/>
        <v>0</v>
      </c>
      <c r="GH237" s="53">
        <f t="shared" si="147"/>
        <v>0</v>
      </c>
      <c r="GI237" s="53">
        <f t="shared" si="147"/>
        <v>0</v>
      </c>
      <c r="GJ237" s="53">
        <f t="shared" si="147"/>
        <v>0</v>
      </c>
      <c r="GK237" s="53">
        <f t="shared" si="147"/>
        <v>0</v>
      </c>
      <c r="GL237" s="53">
        <f t="shared" si="147"/>
        <v>0</v>
      </c>
      <c r="GM237" s="53">
        <f t="shared" si="147"/>
        <v>0</v>
      </c>
      <c r="GN237" s="53">
        <f t="shared" si="147"/>
        <v>0</v>
      </c>
      <c r="GO237" s="53">
        <f t="shared" si="147"/>
        <v>0</v>
      </c>
      <c r="GP237" s="53">
        <f t="shared" si="147"/>
        <v>0</v>
      </c>
      <c r="GQ237" s="53">
        <f t="shared" si="147"/>
        <v>0</v>
      </c>
      <c r="GR237" s="53">
        <f t="shared" si="147"/>
        <v>0</v>
      </c>
      <c r="GS237" s="53">
        <f t="shared" si="147"/>
        <v>0</v>
      </c>
      <c r="GT237" s="53">
        <f t="shared" si="147"/>
        <v>0</v>
      </c>
      <c r="GU237" s="53">
        <f t="shared" si="147"/>
        <v>0</v>
      </c>
      <c r="GV237" s="53">
        <f t="shared" si="147"/>
        <v>0</v>
      </c>
      <c r="GW237" s="53">
        <f t="shared" si="147"/>
        <v>0</v>
      </c>
      <c r="GX237" s="53">
        <f t="shared" si="147"/>
        <v>0</v>
      </c>
    </row>
    <row r="239" spans="1:245" x14ac:dyDescent="0.25">
      <c r="A239" s="2">
        <v>17</v>
      </c>
      <c r="B239" s="2">
        <v>1</v>
      </c>
      <c r="C239" s="2">
        <f>ROW('SmtRes (3)'!A100)</f>
        <v>100</v>
      </c>
      <c r="D239" s="2">
        <f>ROW('EtalonRes (3)'!A96)</f>
        <v>96</v>
      </c>
      <c r="E239" s="2" t="s">
        <v>445</v>
      </c>
      <c r="F239" s="2" t="s">
        <v>309</v>
      </c>
      <c r="G239" s="2" t="s">
        <v>310</v>
      </c>
      <c r="H239" s="2" t="s">
        <v>60</v>
      </c>
      <c r="I239" s="2">
        <f>ROUND(600/100,9)</f>
        <v>6</v>
      </c>
      <c r="J239" s="2">
        <v>0</v>
      </c>
      <c r="K239" s="2">
        <f>ROUND(600/100,9)</f>
        <v>6</v>
      </c>
      <c r="O239" s="2">
        <f>ROUND(CP239,2)</f>
        <v>107435.88</v>
      </c>
      <c r="P239" s="2">
        <f>ROUND(CQ239*I239,2)</f>
        <v>71145</v>
      </c>
      <c r="Q239" s="2">
        <f>ROUND(CR239*I239,2)</f>
        <v>387.96</v>
      </c>
      <c r="R239" s="2">
        <f>ROUND(CS239*I239,2)</f>
        <v>136.91999999999999</v>
      </c>
      <c r="S239" s="2">
        <f>ROUND(CT239*I239,2)</f>
        <v>35902.92</v>
      </c>
      <c r="T239" s="2">
        <f>ROUND(CU239*I239,2)</f>
        <v>0</v>
      </c>
      <c r="U239" s="2">
        <f>CV239*I239</f>
        <v>184.8</v>
      </c>
      <c r="V239" s="2">
        <f>CW239*I239</f>
        <v>0</v>
      </c>
      <c r="W239" s="2">
        <f>ROUND(CX239*I239,2)</f>
        <v>0</v>
      </c>
      <c r="X239" s="2">
        <f t="shared" ref="X239:Y242" si="148">ROUND(CY239,2)</f>
        <v>25132.04</v>
      </c>
      <c r="Y239" s="2">
        <f t="shared" si="148"/>
        <v>3590.29</v>
      </c>
      <c r="AA239" s="2">
        <v>52286166</v>
      </c>
      <c r="AB239" s="2">
        <f>ROUND((AC239+AD239+AF239),6)</f>
        <v>17905.98</v>
      </c>
      <c r="AC239" s="2">
        <f>ROUND((ES239),6)</f>
        <v>11857.5</v>
      </c>
      <c r="AD239" s="2">
        <f>ROUND((((ET239)-(EU239))+AE239),6)</f>
        <v>64.66</v>
      </c>
      <c r="AE239" s="2">
        <f t="shared" ref="AE239:AF242" si="149">ROUND((EU239),6)</f>
        <v>22.82</v>
      </c>
      <c r="AF239" s="2">
        <f t="shared" si="149"/>
        <v>5983.82</v>
      </c>
      <c r="AG239" s="2">
        <f>ROUND((AP239),6)</f>
        <v>0</v>
      </c>
      <c r="AH239" s="2">
        <f t="shared" ref="AH239:AI242" si="150">(EW239)</f>
        <v>30.8</v>
      </c>
      <c r="AI239" s="2">
        <f t="shared" si="150"/>
        <v>0</v>
      </c>
      <c r="AJ239" s="2">
        <f>(AS239)</f>
        <v>0</v>
      </c>
      <c r="AK239" s="2">
        <v>17905.98</v>
      </c>
      <c r="AL239" s="2">
        <v>11857.5</v>
      </c>
      <c r="AM239" s="2">
        <v>64.66</v>
      </c>
      <c r="AN239" s="2">
        <v>22.82</v>
      </c>
      <c r="AO239" s="2">
        <v>5983.82</v>
      </c>
      <c r="AP239" s="2">
        <v>0</v>
      </c>
      <c r="AQ239" s="2">
        <v>30.8</v>
      </c>
      <c r="AR239" s="2">
        <v>0</v>
      </c>
      <c r="AS239" s="2">
        <v>0</v>
      </c>
      <c r="AT239" s="2">
        <v>70</v>
      </c>
      <c r="AU239" s="2">
        <v>10</v>
      </c>
      <c r="AV239" s="2">
        <v>1</v>
      </c>
      <c r="AW239" s="2">
        <v>1</v>
      </c>
      <c r="AZ239" s="2">
        <v>1</v>
      </c>
      <c r="BA239" s="2">
        <v>1</v>
      </c>
      <c r="BB239" s="2">
        <v>1</v>
      </c>
      <c r="BC239" s="2">
        <v>1</v>
      </c>
      <c r="BD239" s="2" t="s">
        <v>30</v>
      </c>
      <c r="BE239" s="2" t="s">
        <v>30</v>
      </c>
      <c r="BF239" s="2" t="s">
        <v>30</v>
      </c>
      <c r="BG239" s="2" t="s">
        <v>30</v>
      </c>
      <c r="BH239" s="2">
        <v>0</v>
      </c>
      <c r="BI239" s="2">
        <v>4</v>
      </c>
      <c r="BJ239" s="2" t="s">
        <v>311</v>
      </c>
      <c r="BM239" s="2">
        <v>0</v>
      </c>
      <c r="BN239" s="2">
        <v>0</v>
      </c>
      <c r="BO239" s="2" t="s">
        <v>30</v>
      </c>
      <c r="BP239" s="2">
        <v>0</v>
      </c>
      <c r="BQ239" s="2">
        <v>1</v>
      </c>
      <c r="BR239" s="2">
        <v>0</v>
      </c>
      <c r="BS239" s="2">
        <v>1</v>
      </c>
      <c r="BT239" s="2">
        <v>1</v>
      </c>
      <c r="BU239" s="2">
        <v>1</v>
      </c>
      <c r="BV239" s="2">
        <v>1</v>
      </c>
      <c r="BW239" s="2">
        <v>1</v>
      </c>
      <c r="BX239" s="2">
        <v>1</v>
      </c>
      <c r="BY239" s="2" t="s">
        <v>30</v>
      </c>
      <c r="BZ239" s="2">
        <v>70</v>
      </c>
      <c r="CA239" s="2">
        <v>10</v>
      </c>
      <c r="CB239" s="2" t="s">
        <v>30</v>
      </c>
      <c r="CE239" s="2">
        <v>0</v>
      </c>
      <c r="CF239" s="2">
        <v>0</v>
      </c>
      <c r="CG239" s="2">
        <v>0</v>
      </c>
      <c r="CM239" s="2">
        <v>0</v>
      </c>
      <c r="CN239" s="2" t="s">
        <v>30</v>
      </c>
      <c r="CO239" s="2">
        <v>0</v>
      </c>
      <c r="CP239" s="2">
        <f>(P239+Q239+S239)</f>
        <v>107435.88</v>
      </c>
      <c r="CQ239" s="2">
        <f>(AC239*BC239*AW239)</f>
        <v>11857.5</v>
      </c>
      <c r="CR239" s="2">
        <f>((((ET239)*BB239-(EU239)*BS239)+AE239*BS239)*AV239)</f>
        <v>64.66</v>
      </c>
      <c r="CS239" s="2">
        <f>(AE239*BS239*AV239)</f>
        <v>22.82</v>
      </c>
      <c r="CT239" s="2">
        <f>(AF239*BA239*AV239)</f>
        <v>5983.82</v>
      </c>
      <c r="CU239" s="2">
        <f>AG239</f>
        <v>0</v>
      </c>
      <c r="CV239" s="2">
        <f>(AH239*AV239)</f>
        <v>30.8</v>
      </c>
      <c r="CW239" s="2">
        <f t="shared" ref="CW239:CX242" si="151">AI239</f>
        <v>0</v>
      </c>
      <c r="CX239" s="2">
        <f t="shared" si="151"/>
        <v>0</v>
      </c>
      <c r="CY239" s="2">
        <f>((S239*BZ239)/100)</f>
        <v>25132.044000000002</v>
      </c>
      <c r="CZ239" s="2">
        <f>((S239*CA239)/100)</f>
        <v>3590.2919999999999</v>
      </c>
      <c r="DC239" s="2" t="s">
        <v>30</v>
      </c>
      <c r="DD239" s="2" t="s">
        <v>30</v>
      </c>
      <c r="DE239" s="2" t="s">
        <v>30</v>
      </c>
      <c r="DF239" s="2" t="s">
        <v>30</v>
      </c>
      <c r="DG239" s="2" t="s">
        <v>30</v>
      </c>
      <c r="DH239" s="2" t="s">
        <v>30</v>
      </c>
      <c r="DI239" s="2" t="s">
        <v>30</v>
      </c>
      <c r="DJ239" s="2" t="s">
        <v>30</v>
      </c>
      <c r="DK239" s="2" t="s">
        <v>30</v>
      </c>
      <c r="DL239" s="2" t="s">
        <v>30</v>
      </c>
      <c r="DM239" s="2" t="s">
        <v>30</v>
      </c>
      <c r="DN239" s="2">
        <v>0</v>
      </c>
      <c r="DO239" s="2">
        <v>0</v>
      </c>
      <c r="DP239" s="2">
        <v>1</v>
      </c>
      <c r="DQ239" s="2">
        <v>1</v>
      </c>
      <c r="DU239" s="2">
        <v>1005</v>
      </c>
      <c r="DV239" s="2" t="s">
        <v>60</v>
      </c>
      <c r="DW239" s="2" t="s">
        <v>60</v>
      </c>
      <c r="DX239" s="2">
        <v>100</v>
      </c>
      <c r="DZ239" s="2" t="s">
        <v>30</v>
      </c>
      <c r="EA239" s="2" t="s">
        <v>30</v>
      </c>
      <c r="EB239" s="2" t="s">
        <v>30</v>
      </c>
      <c r="EC239" s="2" t="s">
        <v>30</v>
      </c>
      <c r="EE239" s="2">
        <v>49661954</v>
      </c>
      <c r="EF239" s="2">
        <v>1</v>
      </c>
      <c r="EG239" s="2" t="s">
        <v>180</v>
      </c>
      <c r="EH239" s="2">
        <v>0</v>
      </c>
      <c r="EI239" s="2" t="s">
        <v>30</v>
      </c>
      <c r="EJ239" s="2">
        <v>4</v>
      </c>
      <c r="EK239" s="2">
        <v>0</v>
      </c>
      <c r="EL239" s="2" t="s">
        <v>181</v>
      </c>
      <c r="EM239" s="2" t="s">
        <v>182</v>
      </c>
      <c r="EO239" s="2" t="s">
        <v>30</v>
      </c>
      <c r="EQ239" s="2">
        <v>0</v>
      </c>
      <c r="ER239" s="2">
        <v>17905.98</v>
      </c>
      <c r="ES239" s="2">
        <v>11857.5</v>
      </c>
      <c r="ET239" s="2">
        <v>64.66</v>
      </c>
      <c r="EU239" s="2">
        <v>22.82</v>
      </c>
      <c r="EV239" s="2">
        <v>5983.82</v>
      </c>
      <c r="EW239" s="2">
        <v>30.8</v>
      </c>
      <c r="EX239" s="2">
        <v>0</v>
      </c>
      <c r="EY239" s="2">
        <v>0</v>
      </c>
      <c r="FQ239" s="2">
        <v>0</v>
      </c>
      <c r="FR239" s="2">
        <f>ROUND(IF(AND(BH239=3,BI239=3),P239,0),2)</f>
        <v>0</v>
      </c>
      <c r="FS239" s="2">
        <v>0</v>
      </c>
      <c r="FX239" s="2">
        <v>70</v>
      </c>
      <c r="FY239" s="2">
        <v>10</v>
      </c>
      <c r="GA239" s="2" t="s">
        <v>30</v>
      </c>
      <c r="GD239" s="2">
        <v>0</v>
      </c>
      <c r="GF239" s="2">
        <v>1344656155</v>
      </c>
      <c r="GG239" s="2">
        <v>2</v>
      </c>
      <c r="GH239" s="2">
        <v>1</v>
      </c>
      <c r="GI239" s="2">
        <v>-2</v>
      </c>
      <c r="GJ239" s="2">
        <v>0</v>
      </c>
      <c r="GK239" s="2">
        <f>ROUND(R239*(R12)/100,2)</f>
        <v>147.87</v>
      </c>
      <c r="GL239" s="2">
        <f>ROUND(IF(AND(BH239=3,BI239=3,FS239&lt;&gt;0),P239,0),2)</f>
        <v>0</v>
      </c>
      <c r="GM239" s="2">
        <f>ROUND(O239+X239+Y239+GK239,2)+GX239</f>
        <v>136306.07999999999</v>
      </c>
      <c r="GN239" s="2">
        <f>IF(OR(BI239=0,BI239=1),ROUND(O239+X239+Y239+GK239,2),0)</f>
        <v>0</v>
      </c>
      <c r="GO239" s="2">
        <f>IF(BI239=2,ROUND(O239+X239+Y239+GK239,2),0)</f>
        <v>0</v>
      </c>
      <c r="GP239" s="2">
        <f>IF(BI239=4,ROUND(O239+X239+Y239+GK239,2)+GX239,0)</f>
        <v>136306.07999999999</v>
      </c>
      <c r="GR239" s="2">
        <v>0</v>
      </c>
      <c r="GS239" s="2">
        <v>0</v>
      </c>
      <c r="GT239" s="2">
        <v>0</v>
      </c>
      <c r="GU239" s="2" t="s">
        <v>30</v>
      </c>
      <c r="GV239" s="2">
        <f>ROUND((GT239),6)</f>
        <v>0</v>
      </c>
      <c r="GW239" s="2">
        <v>1</v>
      </c>
      <c r="GX239" s="2">
        <f>ROUND(HC239*I239,2)</f>
        <v>0</v>
      </c>
      <c r="HA239" s="2">
        <v>0</v>
      </c>
      <c r="HB239" s="2">
        <v>0</v>
      </c>
      <c r="HC239" s="2">
        <f>GV239*GW239</f>
        <v>0</v>
      </c>
      <c r="HE239" s="2" t="s">
        <v>30</v>
      </c>
      <c r="HF239" s="2" t="s">
        <v>30</v>
      </c>
      <c r="HM239" s="2" t="s">
        <v>30</v>
      </c>
      <c r="HN239" s="2" t="s">
        <v>30</v>
      </c>
      <c r="HO239" s="2" t="s">
        <v>30</v>
      </c>
      <c r="HP239" s="2" t="s">
        <v>30</v>
      </c>
      <c r="HQ239" s="2" t="s">
        <v>30</v>
      </c>
      <c r="IK239" s="2">
        <v>0</v>
      </c>
    </row>
    <row r="240" spans="1:245" x14ac:dyDescent="0.25">
      <c r="A240" s="2">
        <v>17</v>
      </c>
      <c r="B240" s="2">
        <v>1</v>
      </c>
      <c r="C240" s="2">
        <f>ROW('SmtRes (3)'!A102)</f>
        <v>102</v>
      </c>
      <c r="D240" s="2">
        <f>ROW('EtalonRes (3)'!A98)</f>
        <v>98</v>
      </c>
      <c r="E240" s="2" t="s">
        <v>446</v>
      </c>
      <c r="F240" s="2" t="s">
        <v>313</v>
      </c>
      <c r="G240" s="2" t="s">
        <v>314</v>
      </c>
      <c r="H240" s="2" t="s">
        <v>60</v>
      </c>
      <c r="I240" s="2">
        <f>ROUND(200/100,9)</f>
        <v>2</v>
      </c>
      <c r="J240" s="2">
        <v>0</v>
      </c>
      <c r="K240" s="2">
        <f>ROUND(200/100,9)</f>
        <v>2</v>
      </c>
      <c r="O240" s="2">
        <f>ROUND(CP240,2)</f>
        <v>41588.76</v>
      </c>
      <c r="P240" s="2">
        <f>ROUND(CQ240*I240,2)</f>
        <v>23715</v>
      </c>
      <c r="Q240" s="2">
        <f>ROUND(CR240*I240,2)</f>
        <v>0</v>
      </c>
      <c r="R240" s="2">
        <f>ROUND(CS240*I240,2)</f>
        <v>0</v>
      </c>
      <c r="S240" s="2">
        <f>ROUND(CT240*I240,2)</f>
        <v>17873.759999999998</v>
      </c>
      <c r="T240" s="2">
        <f>ROUND(CU240*I240,2)</f>
        <v>0</v>
      </c>
      <c r="U240" s="2">
        <f>CV240*I240</f>
        <v>92</v>
      </c>
      <c r="V240" s="2">
        <f>CW240*I240</f>
        <v>0</v>
      </c>
      <c r="W240" s="2">
        <f>ROUND(CX240*I240,2)</f>
        <v>0</v>
      </c>
      <c r="X240" s="2">
        <f t="shared" si="148"/>
        <v>12511.63</v>
      </c>
      <c r="Y240" s="2">
        <f t="shared" si="148"/>
        <v>1787.38</v>
      </c>
      <c r="AA240" s="2">
        <v>52286166</v>
      </c>
      <c r="AB240" s="2">
        <f>ROUND((AC240+AD240+AF240),6)</f>
        <v>20794.38</v>
      </c>
      <c r="AC240" s="2">
        <f>ROUND((ES240),6)</f>
        <v>11857.5</v>
      </c>
      <c r="AD240" s="2">
        <f>ROUND((((ET240)-(EU240))+AE240),6)</f>
        <v>0</v>
      </c>
      <c r="AE240" s="2">
        <f t="shared" si="149"/>
        <v>0</v>
      </c>
      <c r="AF240" s="2">
        <f t="shared" si="149"/>
        <v>8936.8799999999992</v>
      </c>
      <c r="AG240" s="2">
        <f>ROUND((AP240),6)</f>
        <v>0</v>
      </c>
      <c r="AH240" s="2">
        <f t="shared" si="150"/>
        <v>46</v>
      </c>
      <c r="AI240" s="2">
        <f t="shared" si="150"/>
        <v>0</v>
      </c>
      <c r="AJ240" s="2">
        <f>(AS240)</f>
        <v>0</v>
      </c>
      <c r="AK240" s="2">
        <v>20794.38</v>
      </c>
      <c r="AL240" s="2">
        <v>11857.5</v>
      </c>
      <c r="AM240" s="2">
        <v>0</v>
      </c>
      <c r="AN240" s="2">
        <v>0</v>
      </c>
      <c r="AO240" s="2">
        <v>8936.8799999999992</v>
      </c>
      <c r="AP240" s="2">
        <v>0</v>
      </c>
      <c r="AQ240" s="2">
        <v>46</v>
      </c>
      <c r="AR240" s="2">
        <v>0</v>
      </c>
      <c r="AS240" s="2">
        <v>0</v>
      </c>
      <c r="AT240" s="2">
        <v>70</v>
      </c>
      <c r="AU240" s="2">
        <v>10</v>
      </c>
      <c r="AV240" s="2">
        <v>1</v>
      </c>
      <c r="AW240" s="2">
        <v>1</v>
      </c>
      <c r="AZ240" s="2">
        <v>1</v>
      </c>
      <c r="BA240" s="2">
        <v>1</v>
      </c>
      <c r="BB240" s="2">
        <v>1</v>
      </c>
      <c r="BC240" s="2">
        <v>1</v>
      </c>
      <c r="BD240" s="2" t="s">
        <v>30</v>
      </c>
      <c r="BE240" s="2" t="s">
        <v>30</v>
      </c>
      <c r="BF240" s="2" t="s">
        <v>30</v>
      </c>
      <c r="BG240" s="2" t="s">
        <v>30</v>
      </c>
      <c r="BH240" s="2">
        <v>0</v>
      </c>
      <c r="BI240" s="2">
        <v>4</v>
      </c>
      <c r="BJ240" s="2" t="s">
        <v>315</v>
      </c>
      <c r="BM240" s="2">
        <v>0</v>
      </c>
      <c r="BN240" s="2">
        <v>0</v>
      </c>
      <c r="BO240" s="2" t="s">
        <v>30</v>
      </c>
      <c r="BP240" s="2">
        <v>0</v>
      </c>
      <c r="BQ240" s="2">
        <v>1</v>
      </c>
      <c r="BR240" s="2">
        <v>0</v>
      </c>
      <c r="BS240" s="2">
        <v>1</v>
      </c>
      <c r="BT240" s="2">
        <v>1</v>
      </c>
      <c r="BU240" s="2">
        <v>1</v>
      </c>
      <c r="BV240" s="2">
        <v>1</v>
      </c>
      <c r="BW240" s="2">
        <v>1</v>
      </c>
      <c r="BX240" s="2">
        <v>1</v>
      </c>
      <c r="BY240" s="2" t="s">
        <v>30</v>
      </c>
      <c r="BZ240" s="2">
        <v>70</v>
      </c>
      <c r="CA240" s="2">
        <v>10</v>
      </c>
      <c r="CB240" s="2" t="s">
        <v>30</v>
      </c>
      <c r="CE240" s="2">
        <v>0</v>
      </c>
      <c r="CF240" s="2">
        <v>0</v>
      </c>
      <c r="CG240" s="2">
        <v>0</v>
      </c>
      <c r="CM240" s="2">
        <v>0</v>
      </c>
      <c r="CN240" s="2" t="s">
        <v>30</v>
      </c>
      <c r="CO240" s="2">
        <v>0</v>
      </c>
      <c r="CP240" s="2">
        <f>(P240+Q240+S240)</f>
        <v>41588.76</v>
      </c>
      <c r="CQ240" s="2">
        <f>(AC240*BC240*AW240)</f>
        <v>11857.5</v>
      </c>
      <c r="CR240" s="2">
        <f>((((ET240)*BB240-(EU240)*BS240)+AE240*BS240)*AV240)</f>
        <v>0</v>
      </c>
      <c r="CS240" s="2">
        <f>(AE240*BS240*AV240)</f>
        <v>0</v>
      </c>
      <c r="CT240" s="2">
        <f>(AF240*BA240*AV240)</f>
        <v>8936.8799999999992</v>
      </c>
      <c r="CU240" s="2">
        <f>AG240</f>
        <v>0</v>
      </c>
      <c r="CV240" s="2">
        <f>(AH240*AV240)</f>
        <v>46</v>
      </c>
      <c r="CW240" s="2">
        <f t="shared" si="151"/>
        <v>0</v>
      </c>
      <c r="CX240" s="2">
        <f t="shared" si="151"/>
        <v>0</v>
      </c>
      <c r="CY240" s="2">
        <f>((S240*BZ240)/100)</f>
        <v>12511.632</v>
      </c>
      <c r="CZ240" s="2">
        <f>((S240*CA240)/100)</f>
        <v>1787.376</v>
      </c>
      <c r="DC240" s="2" t="s">
        <v>30</v>
      </c>
      <c r="DD240" s="2" t="s">
        <v>30</v>
      </c>
      <c r="DE240" s="2" t="s">
        <v>30</v>
      </c>
      <c r="DF240" s="2" t="s">
        <v>30</v>
      </c>
      <c r="DG240" s="2" t="s">
        <v>30</v>
      </c>
      <c r="DH240" s="2" t="s">
        <v>30</v>
      </c>
      <c r="DI240" s="2" t="s">
        <v>30</v>
      </c>
      <c r="DJ240" s="2" t="s">
        <v>30</v>
      </c>
      <c r="DK240" s="2" t="s">
        <v>30</v>
      </c>
      <c r="DL240" s="2" t="s">
        <v>30</v>
      </c>
      <c r="DM240" s="2" t="s">
        <v>30</v>
      </c>
      <c r="DN240" s="2">
        <v>0</v>
      </c>
      <c r="DO240" s="2">
        <v>0</v>
      </c>
      <c r="DP240" s="2">
        <v>1</v>
      </c>
      <c r="DQ240" s="2">
        <v>1</v>
      </c>
      <c r="DU240" s="2">
        <v>1005</v>
      </c>
      <c r="DV240" s="2" t="s">
        <v>60</v>
      </c>
      <c r="DW240" s="2" t="s">
        <v>60</v>
      </c>
      <c r="DX240" s="2">
        <v>100</v>
      </c>
      <c r="DZ240" s="2" t="s">
        <v>30</v>
      </c>
      <c r="EA240" s="2" t="s">
        <v>30</v>
      </c>
      <c r="EB240" s="2" t="s">
        <v>30</v>
      </c>
      <c r="EC240" s="2" t="s">
        <v>30</v>
      </c>
      <c r="EE240" s="2">
        <v>49661954</v>
      </c>
      <c r="EF240" s="2">
        <v>1</v>
      </c>
      <c r="EG240" s="2" t="s">
        <v>180</v>
      </c>
      <c r="EH240" s="2">
        <v>0</v>
      </c>
      <c r="EI240" s="2" t="s">
        <v>30</v>
      </c>
      <c r="EJ240" s="2">
        <v>4</v>
      </c>
      <c r="EK240" s="2">
        <v>0</v>
      </c>
      <c r="EL240" s="2" t="s">
        <v>181</v>
      </c>
      <c r="EM240" s="2" t="s">
        <v>182</v>
      </c>
      <c r="EO240" s="2" t="s">
        <v>30</v>
      </c>
      <c r="EQ240" s="2">
        <v>0</v>
      </c>
      <c r="ER240" s="2">
        <v>20794.38</v>
      </c>
      <c r="ES240" s="2">
        <v>11857.5</v>
      </c>
      <c r="ET240" s="2">
        <v>0</v>
      </c>
      <c r="EU240" s="2">
        <v>0</v>
      </c>
      <c r="EV240" s="2">
        <v>8936.8799999999992</v>
      </c>
      <c r="EW240" s="2">
        <v>46</v>
      </c>
      <c r="EX240" s="2">
        <v>0</v>
      </c>
      <c r="EY240" s="2">
        <v>0</v>
      </c>
      <c r="FQ240" s="2">
        <v>0</v>
      </c>
      <c r="FR240" s="2">
        <f>ROUND(IF(AND(BH240=3,BI240=3),P240,0),2)</f>
        <v>0</v>
      </c>
      <c r="FS240" s="2">
        <v>0</v>
      </c>
      <c r="FX240" s="2">
        <v>70</v>
      </c>
      <c r="FY240" s="2">
        <v>10</v>
      </c>
      <c r="GA240" s="2" t="s">
        <v>30</v>
      </c>
      <c r="GD240" s="2">
        <v>0</v>
      </c>
      <c r="GF240" s="2">
        <v>1540860315</v>
      </c>
      <c r="GG240" s="2">
        <v>2</v>
      </c>
      <c r="GH240" s="2">
        <v>1</v>
      </c>
      <c r="GI240" s="2">
        <v>-2</v>
      </c>
      <c r="GJ240" s="2">
        <v>0</v>
      </c>
      <c r="GK240" s="2">
        <f>ROUND(R240*(R12)/100,2)</f>
        <v>0</v>
      </c>
      <c r="GL240" s="2">
        <f>ROUND(IF(AND(BH240=3,BI240=3,FS240&lt;&gt;0),P240,0),2)</f>
        <v>0</v>
      </c>
      <c r="GM240" s="2">
        <f>ROUND(O240+X240+Y240+GK240,2)+GX240</f>
        <v>55887.77</v>
      </c>
      <c r="GN240" s="2">
        <f>IF(OR(BI240=0,BI240=1),ROUND(O240+X240+Y240+GK240,2),0)</f>
        <v>0</v>
      </c>
      <c r="GO240" s="2">
        <f>IF(BI240=2,ROUND(O240+X240+Y240+GK240,2),0)</f>
        <v>0</v>
      </c>
      <c r="GP240" s="2">
        <f>IF(BI240=4,ROUND(O240+X240+Y240+GK240,2)+GX240,0)</f>
        <v>55887.77</v>
      </c>
      <c r="GR240" s="2">
        <v>0</v>
      </c>
      <c r="GS240" s="2">
        <v>0</v>
      </c>
      <c r="GT240" s="2">
        <v>0</v>
      </c>
      <c r="GU240" s="2" t="s">
        <v>30</v>
      </c>
      <c r="GV240" s="2">
        <f>ROUND((GT240),6)</f>
        <v>0</v>
      </c>
      <c r="GW240" s="2">
        <v>1</v>
      </c>
      <c r="GX240" s="2">
        <f>ROUND(HC240*I240,2)</f>
        <v>0</v>
      </c>
      <c r="HA240" s="2">
        <v>0</v>
      </c>
      <c r="HB240" s="2">
        <v>0</v>
      </c>
      <c r="HC240" s="2">
        <f>GV240*GW240</f>
        <v>0</v>
      </c>
      <c r="HE240" s="2" t="s">
        <v>30</v>
      </c>
      <c r="HF240" s="2" t="s">
        <v>30</v>
      </c>
      <c r="HM240" s="2" t="s">
        <v>30</v>
      </c>
      <c r="HN240" s="2" t="s">
        <v>30</v>
      </c>
      <c r="HO240" s="2" t="s">
        <v>30</v>
      </c>
      <c r="HP240" s="2" t="s">
        <v>30</v>
      </c>
      <c r="HQ240" s="2" t="s">
        <v>30</v>
      </c>
      <c r="IK240" s="2">
        <v>0</v>
      </c>
    </row>
    <row r="241" spans="1:245" x14ac:dyDescent="0.25">
      <c r="A241" s="2">
        <v>17</v>
      </c>
      <c r="B241" s="2">
        <v>1</v>
      </c>
      <c r="C241" s="2">
        <f>ROW('SmtRes (3)'!A104)</f>
        <v>104</v>
      </c>
      <c r="D241" s="2">
        <f>ROW('EtalonRes (3)'!A100)</f>
        <v>100</v>
      </c>
      <c r="E241" s="2" t="s">
        <v>447</v>
      </c>
      <c r="F241" s="2" t="s">
        <v>317</v>
      </c>
      <c r="G241" s="2" t="s">
        <v>318</v>
      </c>
      <c r="H241" s="2" t="s">
        <v>60</v>
      </c>
      <c r="I241" s="2">
        <f>ROUND(-800/100,9)</f>
        <v>-8</v>
      </c>
      <c r="J241" s="2">
        <v>0</v>
      </c>
      <c r="K241" s="2">
        <f>ROUND(-800/100,9)</f>
        <v>-8</v>
      </c>
      <c r="O241" s="2">
        <f>ROUND(CP241,2)</f>
        <v>-41396.160000000003</v>
      </c>
      <c r="P241" s="2">
        <f>ROUND(CQ241*I241,2)</f>
        <v>-31620</v>
      </c>
      <c r="Q241" s="2">
        <f>ROUND(CR241*I241,2)</f>
        <v>0</v>
      </c>
      <c r="R241" s="2">
        <f>ROUND(CS241*I241,2)</f>
        <v>0</v>
      </c>
      <c r="S241" s="2">
        <f>ROUND(CT241*I241,2)</f>
        <v>-9776.16</v>
      </c>
      <c r="T241" s="2">
        <f>ROUND(CU241*I241,2)</f>
        <v>0</v>
      </c>
      <c r="U241" s="2">
        <f>CV241*I241</f>
        <v>-50.32</v>
      </c>
      <c r="V241" s="2">
        <f>CW241*I241</f>
        <v>0</v>
      </c>
      <c r="W241" s="2">
        <f>ROUND(CX241*I241,2)</f>
        <v>0</v>
      </c>
      <c r="X241" s="2">
        <f t="shared" si="148"/>
        <v>-6843.31</v>
      </c>
      <c r="Y241" s="2">
        <f t="shared" si="148"/>
        <v>-977.62</v>
      </c>
      <c r="AA241" s="2">
        <v>52286166</v>
      </c>
      <c r="AB241" s="2">
        <f>ROUND((AC241+AD241+AF241),6)</f>
        <v>5174.5200000000004</v>
      </c>
      <c r="AC241" s="2">
        <f>ROUND((ES241),6)</f>
        <v>3952.5</v>
      </c>
      <c r="AD241" s="2">
        <f>ROUND((((ET241)-(EU241))+AE241),6)</f>
        <v>0</v>
      </c>
      <c r="AE241" s="2">
        <f t="shared" si="149"/>
        <v>0</v>
      </c>
      <c r="AF241" s="2">
        <f t="shared" si="149"/>
        <v>1222.02</v>
      </c>
      <c r="AG241" s="2">
        <f>ROUND((AP241),6)</f>
        <v>0</v>
      </c>
      <c r="AH241" s="2">
        <f t="shared" si="150"/>
        <v>6.29</v>
      </c>
      <c r="AI241" s="2">
        <f t="shared" si="150"/>
        <v>0</v>
      </c>
      <c r="AJ241" s="2">
        <f>(AS241)</f>
        <v>0</v>
      </c>
      <c r="AK241" s="2">
        <v>5174.5200000000004</v>
      </c>
      <c r="AL241" s="2">
        <v>3952.5</v>
      </c>
      <c r="AM241" s="2">
        <v>0</v>
      </c>
      <c r="AN241" s="2">
        <v>0</v>
      </c>
      <c r="AO241" s="2">
        <v>1222.02</v>
      </c>
      <c r="AP241" s="2">
        <v>0</v>
      </c>
      <c r="AQ241" s="2">
        <v>6.29</v>
      </c>
      <c r="AR241" s="2">
        <v>0</v>
      </c>
      <c r="AS241" s="2">
        <v>0</v>
      </c>
      <c r="AT241" s="2">
        <v>70</v>
      </c>
      <c r="AU241" s="2">
        <v>10</v>
      </c>
      <c r="AV241" s="2">
        <v>1</v>
      </c>
      <c r="AW241" s="2">
        <v>1</v>
      </c>
      <c r="AZ241" s="2">
        <v>1</v>
      </c>
      <c r="BA241" s="2">
        <v>1</v>
      </c>
      <c r="BB241" s="2">
        <v>1</v>
      </c>
      <c r="BC241" s="2">
        <v>1</v>
      </c>
      <c r="BD241" s="2" t="s">
        <v>30</v>
      </c>
      <c r="BE241" s="2" t="s">
        <v>30</v>
      </c>
      <c r="BF241" s="2" t="s">
        <v>30</v>
      </c>
      <c r="BG241" s="2" t="s">
        <v>30</v>
      </c>
      <c r="BH241" s="2">
        <v>0</v>
      </c>
      <c r="BI241" s="2">
        <v>4</v>
      </c>
      <c r="BJ241" s="2" t="s">
        <v>319</v>
      </c>
      <c r="BM241" s="2">
        <v>0</v>
      </c>
      <c r="BN241" s="2">
        <v>0</v>
      </c>
      <c r="BO241" s="2" t="s">
        <v>30</v>
      </c>
      <c r="BP241" s="2">
        <v>0</v>
      </c>
      <c r="BQ241" s="2">
        <v>1</v>
      </c>
      <c r="BR241" s="2">
        <v>0</v>
      </c>
      <c r="BS241" s="2">
        <v>1</v>
      </c>
      <c r="BT241" s="2">
        <v>1</v>
      </c>
      <c r="BU241" s="2">
        <v>1</v>
      </c>
      <c r="BV241" s="2">
        <v>1</v>
      </c>
      <c r="BW241" s="2">
        <v>1</v>
      </c>
      <c r="BX241" s="2">
        <v>1</v>
      </c>
      <c r="BY241" s="2" t="s">
        <v>30</v>
      </c>
      <c r="BZ241" s="2">
        <v>70</v>
      </c>
      <c r="CA241" s="2">
        <v>10</v>
      </c>
      <c r="CB241" s="2" t="s">
        <v>30</v>
      </c>
      <c r="CE241" s="2">
        <v>0</v>
      </c>
      <c r="CF241" s="2">
        <v>0</v>
      </c>
      <c r="CG241" s="2">
        <v>0</v>
      </c>
      <c r="CM241" s="2">
        <v>0</v>
      </c>
      <c r="CN241" s="2" t="s">
        <v>30</v>
      </c>
      <c r="CO241" s="2">
        <v>0</v>
      </c>
      <c r="CP241" s="2">
        <f>(P241+Q241+S241)</f>
        <v>-41396.160000000003</v>
      </c>
      <c r="CQ241" s="2">
        <f>(AC241*BC241*AW241)</f>
        <v>3952.5</v>
      </c>
      <c r="CR241" s="2">
        <f>((((ET241)*BB241-(EU241)*BS241)+AE241*BS241)*AV241)</f>
        <v>0</v>
      </c>
      <c r="CS241" s="2">
        <f>(AE241*BS241*AV241)</f>
        <v>0</v>
      </c>
      <c r="CT241" s="2">
        <f>(AF241*BA241*AV241)</f>
        <v>1222.02</v>
      </c>
      <c r="CU241" s="2">
        <f>AG241</f>
        <v>0</v>
      </c>
      <c r="CV241" s="2">
        <f>(AH241*AV241)</f>
        <v>6.29</v>
      </c>
      <c r="CW241" s="2">
        <f t="shared" si="151"/>
        <v>0</v>
      </c>
      <c r="CX241" s="2">
        <f t="shared" si="151"/>
        <v>0</v>
      </c>
      <c r="CY241" s="2">
        <f>((S241*BZ241)/100)</f>
        <v>-6843.3119999999999</v>
      </c>
      <c r="CZ241" s="2">
        <f>((S241*CA241)/100)</f>
        <v>-977.61599999999999</v>
      </c>
      <c r="DC241" s="2" t="s">
        <v>30</v>
      </c>
      <c r="DD241" s="2" t="s">
        <v>30</v>
      </c>
      <c r="DE241" s="2" t="s">
        <v>30</v>
      </c>
      <c r="DF241" s="2" t="s">
        <v>30</v>
      </c>
      <c r="DG241" s="2" t="s">
        <v>30</v>
      </c>
      <c r="DH241" s="2" t="s">
        <v>30</v>
      </c>
      <c r="DI241" s="2" t="s">
        <v>30</v>
      </c>
      <c r="DJ241" s="2" t="s">
        <v>30</v>
      </c>
      <c r="DK241" s="2" t="s">
        <v>30</v>
      </c>
      <c r="DL241" s="2" t="s">
        <v>30</v>
      </c>
      <c r="DM241" s="2" t="s">
        <v>30</v>
      </c>
      <c r="DN241" s="2">
        <v>0</v>
      </c>
      <c r="DO241" s="2">
        <v>0</v>
      </c>
      <c r="DP241" s="2">
        <v>1</v>
      </c>
      <c r="DQ241" s="2">
        <v>1</v>
      </c>
      <c r="DU241" s="2">
        <v>1005</v>
      </c>
      <c r="DV241" s="2" t="s">
        <v>60</v>
      </c>
      <c r="DW241" s="2" t="s">
        <v>60</v>
      </c>
      <c r="DX241" s="2">
        <v>100</v>
      </c>
      <c r="DZ241" s="2" t="s">
        <v>30</v>
      </c>
      <c r="EA241" s="2" t="s">
        <v>30</v>
      </c>
      <c r="EB241" s="2" t="s">
        <v>30</v>
      </c>
      <c r="EC241" s="2" t="s">
        <v>30</v>
      </c>
      <c r="EE241" s="2">
        <v>49661954</v>
      </c>
      <c r="EF241" s="2">
        <v>1</v>
      </c>
      <c r="EG241" s="2" t="s">
        <v>180</v>
      </c>
      <c r="EH241" s="2">
        <v>0</v>
      </c>
      <c r="EI241" s="2" t="s">
        <v>30</v>
      </c>
      <c r="EJ241" s="2">
        <v>4</v>
      </c>
      <c r="EK241" s="2">
        <v>0</v>
      </c>
      <c r="EL241" s="2" t="s">
        <v>181</v>
      </c>
      <c r="EM241" s="2" t="s">
        <v>182</v>
      </c>
      <c r="EO241" s="2" t="s">
        <v>30</v>
      </c>
      <c r="EQ241" s="2">
        <v>0</v>
      </c>
      <c r="ER241" s="2">
        <v>5174.5200000000004</v>
      </c>
      <c r="ES241" s="2">
        <v>3952.5</v>
      </c>
      <c r="ET241" s="2">
        <v>0</v>
      </c>
      <c r="EU241" s="2">
        <v>0</v>
      </c>
      <c r="EV241" s="2">
        <v>1222.02</v>
      </c>
      <c r="EW241" s="2">
        <v>6.29</v>
      </c>
      <c r="EX241" s="2">
        <v>0</v>
      </c>
      <c r="EY241" s="2">
        <v>0</v>
      </c>
      <c r="FQ241" s="2">
        <v>0</v>
      </c>
      <c r="FR241" s="2">
        <f>ROUND(IF(AND(BH241=3,BI241=3),P241,0),2)</f>
        <v>0</v>
      </c>
      <c r="FS241" s="2">
        <v>0</v>
      </c>
      <c r="FX241" s="2">
        <v>70</v>
      </c>
      <c r="FY241" s="2">
        <v>10</v>
      </c>
      <c r="GA241" s="2" t="s">
        <v>30</v>
      </c>
      <c r="GD241" s="2">
        <v>0</v>
      </c>
      <c r="GF241" s="2">
        <v>-824199479</v>
      </c>
      <c r="GG241" s="2">
        <v>2</v>
      </c>
      <c r="GH241" s="2">
        <v>1</v>
      </c>
      <c r="GI241" s="2">
        <v>-2</v>
      </c>
      <c r="GJ241" s="2">
        <v>0</v>
      </c>
      <c r="GK241" s="2">
        <f>ROUND(R241*(R12)/100,2)</f>
        <v>0</v>
      </c>
      <c r="GL241" s="2">
        <f>ROUND(IF(AND(BH241=3,BI241=3,FS241&lt;&gt;0),P241,0),2)</f>
        <v>0</v>
      </c>
      <c r="GM241" s="2">
        <f>ROUND(O241+X241+Y241+GK241,2)+GX241</f>
        <v>-49217.09</v>
      </c>
      <c r="GN241" s="2">
        <f>IF(OR(BI241=0,BI241=1),ROUND(O241+X241+Y241+GK241,2),0)</f>
        <v>0</v>
      </c>
      <c r="GO241" s="2">
        <f>IF(BI241=2,ROUND(O241+X241+Y241+GK241,2),0)</f>
        <v>0</v>
      </c>
      <c r="GP241" s="2">
        <f>IF(BI241=4,ROUND(O241+X241+Y241+GK241,2)+GX241,0)</f>
        <v>-49217.09</v>
      </c>
      <c r="GR241" s="2">
        <v>0</v>
      </c>
      <c r="GS241" s="2">
        <v>3</v>
      </c>
      <c r="GT241" s="2">
        <v>0</v>
      </c>
      <c r="GU241" s="2" t="s">
        <v>30</v>
      </c>
      <c r="GV241" s="2">
        <f>ROUND((GT241),6)</f>
        <v>0</v>
      </c>
      <c r="GW241" s="2">
        <v>1</v>
      </c>
      <c r="GX241" s="2">
        <f>ROUND(HC241*I241,2)</f>
        <v>0</v>
      </c>
      <c r="HA241" s="2">
        <v>0</v>
      </c>
      <c r="HB241" s="2">
        <v>0</v>
      </c>
      <c r="HC241" s="2">
        <f>GV241*GW241</f>
        <v>0</v>
      </c>
      <c r="HE241" s="2" t="s">
        <v>30</v>
      </c>
      <c r="HF241" s="2" t="s">
        <v>30</v>
      </c>
      <c r="HM241" s="2" t="s">
        <v>30</v>
      </c>
      <c r="HN241" s="2" t="s">
        <v>30</v>
      </c>
      <c r="HO241" s="2" t="s">
        <v>30</v>
      </c>
      <c r="HP241" s="2" t="s">
        <v>30</v>
      </c>
      <c r="HQ241" s="2" t="s">
        <v>30</v>
      </c>
      <c r="IK241" s="2">
        <v>0</v>
      </c>
    </row>
    <row r="242" spans="1:245" x14ac:dyDescent="0.25">
      <c r="A242" s="2">
        <v>17</v>
      </c>
      <c r="B242" s="2">
        <v>1</v>
      </c>
      <c r="C242" s="2">
        <f>ROW('SmtRes (3)'!A107)</f>
        <v>107</v>
      </c>
      <c r="D242" s="2">
        <f>ROW('EtalonRes (3)'!A103)</f>
        <v>103</v>
      </c>
      <c r="E242" s="2" t="s">
        <v>448</v>
      </c>
      <c r="F242" s="2" t="s">
        <v>321</v>
      </c>
      <c r="G242" s="2" t="s">
        <v>322</v>
      </c>
      <c r="H242" s="2" t="s">
        <v>60</v>
      </c>
      <c r="I242" s="2">
        <f>ROUND(800/100,9)</f>
        <v>8</v>
      </c>
      <c r="J242" s="2">
        <v>0</v>
      </c>
      <c r="K242" s="2">
        <f>ROUND(800/100,9)</f>
        <v>8</v>
      </c>
      <c r="O242" s="2">
        <f>ROUND(CP242,2)</f>
        <v>23765.200000000001</v>
      </c>
      <c r="P242" s="2">
        <f>ROUND(CQ242*I242,2)</f>
        <v>13508.32</v>
      </c>
      <c r="Q242" s="2">
        <f>ROUND(CR242*I242,2)</f>
        <v>0</v>
      </c>
      <c r="R242" s="2">
        <f>ROUND(CS242*I242,2)</f>
        <v>0</v>
      </c>
      <c r="S242" s="2">
        <f>ROUND(CT242*I242,2)</f>
        <v>10256.879999999999</v>
      </c>
      <c r="T242" s="2">
        <f>ROUND(CU242*I242,2)</f>
        <v>0</v>
      </c>
      <c r="U242" s="2">
        <f>CV242*I242</f>
        <v>48.32</v>
      </c>
      <c r="V242" s="2">
        <f>CW242*I242</f>
        <v>0</v>
      </c>
      <c r="W242" s="2">
        <f>ROUND(CX242*I242,2)</f>
        <v>0</v>
      </c>
      <c r="X242" s="2">
        <f t="shared" si="148"/>
        <v>7179.82</v>
      </c>
      <c r="Y242" s="2">
        <f t="shared" si="148"/>
        <v>1025.69</v>
      </c>
      <c r="AA242" s="2">
        <v>52286166</v>
      </c>
      <c r="AB242" s="2">
        <f>ROUND((AC242+AD242+AF242),6)</f>
        <v>2970.65</v>
      </c>
      <c r="AC242" s="2">
        <f>ROUND((ES242),6)</f>
        <v>1688.54</v>
      </c>
      <c r="AD242" s="2">
        <f>ROUND((((ET242)-(EU242))+AE242),6)</f>
        <v>0</v>
      </c>
      <c r="AE242" s="2">
        <f t="shared" si="149"/>
        <v>0</v>
      </c>
      <c r="AF242" s="2">
        <f t="shared" si="149"/>
        <v>1282.1099999999999</v>
      </c>
      <c r="AG242" s="2">
        <f>ROUND((AP242),6)</f>
        <v>0</v>
      </c>
      <c r="AH242" s="2">
        <f t="shared" si="150"/>
        <v>6.04</v>
      </c>
      <c r="AI242" s="2">
        <f t="shared" si="150"/>
        <v>0</v>
      </c>
      <c r="AJ242" s="2">
        <f>(AS242)</f>
        <v>0</v>
      </c>
      <c r="AK242" s="2">
        <v>2970.65</v>
      </c>
      <c r="AL242" s="2">
        <v>1688.54</v>
      </c>
      <c r="AM242" s="2">
        <v>0</v>
      </c>
      <c r="AN242" s="2">
        <v>0</v>
      </c>
      <c r="AO242" s="2">
        <v>1282.1099999999999</v>
      </c>
      <c r="AP242" s="2">
        <v>0</v>
      </c>
      <c r="AQ242" s="2">
        <v>6.04</v>
      </c>
      <c r="AR242" s="2">
        <v>0</v>
      </c>
      <c r="AS242" s="2">
        <v>0</v>
      </c>
      <c r="AT242" s="2">
        <v>70</v>
      </c>
      <c r="AU242" s="2">
        <v>10</v>
      </c>
      <c r="AV242" s="2">
        <v>1</v>
      </c>
      <c r="AW242" s="2">
        <v>1</v>
      </c>
      <c r="AZ242" s="2">
        <v>1</v>
      </c>
      <c r="BA242" s="2">
        <v>1</v>
      </c>
      <c r="BB242" s="2">
        <v>1</v>
      </c>
      <c r="BC242" s="2">
        <v>1</v>
      </c>
      <c r="BD242" s="2" t="s">
        <v>30</v>
      </c>
      <c r="BE242" s="2" t="s">
        <v>30</v>
      </c>
      <c r="BF242" s="2" t="s">
        <v>30</v>
      </c>
      <c r="BG242" s="2" t="s">
        <v>30</v>
      </c>
      <c r="BH242" s="2">
        <v>0</v>
      </c>
      <c r="BI242" s="2">
        <v>4</v>
      </c>
      <c r="BJ242" s="2" t="s">
        <v>323</v>
      </c>
      <c r="BM242" s="2">
        <v>0</v>
      </c>
      <c r="BN242" s="2">
        <v>0</v>
      </c>
      <c r="BO242" s="2" t="s">
        <v>30</v>
      </c>
      <c r="BP242" s="2">
        <v>0</v>
      </c>
      <c r="BQ242" s="2">
        <v>1</v>
      </c>
      <c r="BR242" s="2">
        <v>0</v>
      </c>
      <c r="BS242" s="2">
        <v>1</v>
      </c>
      <c r="BT242" s="2">
        <v>1</v>
      </c>
      <c r="BU242" s="2">
        <v>1</v>
      </c>
      <c r="BV242" s="2">
        <v>1</v>
      </c>
      <c r="BW242" s="2">
        <v>1</v>
      </c>
      <c r="BX242" s="2">
        <v>1</v>
      </c>
      <c r="BY242" s="2" t="s">
        <v>30</v>
      </c>
      <c r="BZ242" s="2">
        <v>70</v>
      </c>
      <c r="CA242" s="2">
        <v>10</v>
      </c>
      <c r="CB242" s="2" t="s">
        <v>30</v>
      </c>
      <c r="CE242" s="2">
        <v>0</v>
      </c>
      <c r="CF242" s="2">
        <v>0</v>
      </c>
      <c r="CG242" s="2">
        <v>0</v>
      </c>
      <c r="CM242" s="2">
        <v>0</v>
      </c>
      <c r="CN242" s="2" t="s">
        <v>30</v>
      </c>
      <c r="CO242" s="2">
        <v>0</v>
      </c>
      <c r="CP242" s="2">
        <f>(P242+Q242+S242)</f>
        <v>23765.200000000001</v>
      </c>
      <c r="CQ242" s="2">
        <f>(AC242*BC242*AW242)</f>
        <v>1688.54</v>
      </c>
      <c r="CR242" s="2">
        <f>((((ET242)*BB242-(EU242)*BS242)+AE242*BS242)*AV242)</f>
        <v>0</v>
      </c>
      <c r="CS242" s="2">
        <f>(AE242*BS242*AV242)</f>
        <v>0</v>
      </c>
      <c r="CT242" s="2">
        <f>(AF242*BA242*AV242)</f>
        <v>1282.1099999999999</v>
      </c>
      <c r="CU242" s="2">
        <f>AG242</f>
        <v>0</v>
      </c>
      <c r="CV242" s="2">
        <f>(AH242*AV242)</f>
        <v>6.04</v>
      </c>
      <c r="CW242" s="2">
        <f t="shared" si="151"/>
        <v>0</v>
      </c>
      <c r="CX242" s="2">
        <f t="shared" si="151"/>
        <v>0</v>
      </c>
      <c r="CY242" s="2">
        <f>((S242*BZ242)/100)</f>
        <v>7179.8159999999998</v>
      </c>
      <c r="CZ242" s="2">
        <f>((S242*CA242)/100)</f>
        <v>1025.6880000000001</v>
      </c>
      <c r="DC242" s="2" t="s">
        <v>30</v>
      </c>
      <c r="DD242" s="2" t="s">
        <v>30</v>
      </c>
      <c r="DE242" s="2" t="s">
        <v>30</v>
      </c>
      <c r="DF242" s="2" t="s">
        <v>30</v>
      </c>
      <c r="DG242" s="2" t="s">
        <v>30</v>
      </c>
      <c r="DH242" s="2" t="s">
        <v>30</v>
      </c>
      <c r="DI242" s="2" t="s">
        <v>30</v>
      </c>
      <c r="DJ242" s="2" t="s">
        <v>30</v>
      </c>
      <c r="DK242" s="2" t="s">
        <v>30</v>
      </c>
      <c r="DL242" s="2" t="s">
        <v>30</v>
      </c>
      <c r="DM242" s="2" t="s">
        <v>30</v>
      </c>
      <c r="DN242" s="2">
        <v>0</v>
      </c>
      <c r="DO242" s="2">
        <v>0</v>
      </c>
      <c r="DP242" s="2">
        <v>1</v>
      </c>
      <c r="DQ242" s="2">
        <v>1</v>
      </c>
      <c r="DU242" s="2">
        <v>1005</v>
      </c>
      <c r="DV242" s="2" t="s">
        <v>60</v>
      </c>
      <c r="DW242" s="2" t="s">
        <v>60</v>
      </c>
      <c r="DX242" s="2">
        <v>100</v>
      </c>
      <c r="DZ242" s="2" t="s">
        <v>30</v>
      </c>
      <c r="EA242" s="2" t="s">
        <v>30</v>
      </c>
      <c r="EB242" s="2" t="s">
        <v>30</v>
      </c>
      <c r="EC242" s="2" t="s">
        <v>30</v>
      </c>
      <c r="EE242" s="2">
        <v>49661954</v>
      </c>
      <c r="EF242" s="2">
        <v>1</v>
      </c>
      <c r="EG242" s="2" t="s">
        <v>180</v>
      </c>
      <c r="EH242" s="2">
        <v>0</v>
      </c>
      <c r="EI242" s="2" t="s">
        <v>30</v>
      </c>
      <c r="EJ242" s="2">
        <v>4</v>
      </c>
      <c r="EK242" s="2">
        <v>0</v>
      </c>
      <c r="EL242" s="2" t="s">
        <v>181</v>
      </c>
      <c r="EM242" s="2" t="s">
        <v>182</v>
      </c>
      <c r="EO242" s="2" t="s">
        <v>30</v>
      </c>
      <c r="EQ242" s="2">
        <v>0</v>
      </c>
      <c r="ER242" s="2">
        <v>2970.65</v>
      </c>
      <c r="ES242" s="2">
        <v>1688.54</v>
      </c>
      <c r="ET242" s="2">
        <v>0</v>
      </c>
      <c r="EU242" s="2">
        <v>0</v>
      </c>
      <c r="EV242" s="2">
        <v>1282.1099999999999</v>
      </c>
      <c r="EW242" s="2">
        <v>6.04</v>
      </c>
      <c r="EX242" s="2">
        <v>0</v>
      </c>
      <c r="EY242" s="2">
        <v>0</v>
      </c>
      <c r="FQ242" s="2">
        <v>0</v>
      </c>
      <c r="FR242" s="2">
        <f>ROUND(IF(AND(BH242=3,BI242=3),P242,0),2)</f>
        <v>0</v>
      </c>
      <c r="FS242" s="2">
        <v>0</v>
      </c>
      <c r="FX242" s="2">
        <v>70</v>
      </c>
      <c r="FY242" s="2">
        <v>10</v>
      </c>
      <c r="GA242" s="2" t="s">
        <v>30</v>
      </c>
      <c r="GD242" s="2">
        <v>0</v>
      </c>
      <c r="GF242" s="2">
        <v>-499590402</v>
      </c>
      <c r="GG242" s="2">
        <v>2</v>
      </c>
      <c r="GH242" s="2">
        <v>1</v>
      </c>
      <c r="GI242" s="2">
        <v>-2</v>
      </c>
      <c r="GJ242" s="2">
        <v>0</v>
      </c>
      <c r="GK242" s="2">
        <f>ROUND(R242*(R12)/100,2)</f>
        <v>0</v>
      </c>
      <c r="GL242" s="2">
        <f>ROUND(IF(AND(BH242=3,BI242=3,FS242&lt;&gt;0),P242,0),2)</f>
        <v>0</v>
      </c>
      <c r="GM242" s="2">
        <f>ROUND(O242+X242+Y242+GK242,2)+GX242</f>
        <v>31970.71</v>
      </c>
      <c r="GN242" s="2">
        <f>IF(OR(BI242=0,BI242=1),ROUND(O242+X242+Y242+GK242,2),0)</f>
        <v>0</v>
      </c>
      <c r="GO242" s="2">
        <f>IF(BI242=2,ROUND(O242+X242+Y242+GK242,2),0)</f>
        <v>0</v>
      </c>
      <c r="GP242" s="2">
        <f>IF(BI242=4,ROUND(O242+X242+Y242+GK242,2)+GX242,0)</f>
        <v>31970.71</v>
      </c>
      <c r="GR242" s="2">
        <v>0</v>
      </c>
      <c r="GS242" s="2">
        <v>0</v>
      </c>
      <c r="GT242" s="2">
        <v>0</v>
      </c>
      <c r="GU242" s="2" t="s">
        <v>30</v>
      </c>
      <c r="GV242" s="2">
        <f>ROUND((GT242),6)</f>
        <v>0</v>
      </c>
      <c r="GW242" s="2">
        <v>1</v>
      </c>
      <c r="GX242" s="2">
        <f>ROUND(HC242*I242,2)</f>
        <v>0</v>
      </c>
      <c r="HA242" s="2">
        <v>0</v>
      </c>
      <c r="HB242" s="2">
        <v>0</v>
      </c>
      <c r="HC242" s="2">
        <f>GV242*GW242</f>
        <v>0</v>
      </c>
      <c r="HE242" s="2" t="s">
        <v>30</v>
      </c>
      <c r="HF242" s="2" t="s">
        <v>30</v>
      </c>
      <c r="HM242" s="2" t="s">
        <v>30</v>
      </c>
      <c r="HN242" s="2" t="s">
        <v>30</v>
      </c>
      <c r="HO242" s="2" t="s">
        <v>30</v>
      </c>
      <c r="HP242" s="2" t="s">
        <v>30</v>
      </c>
      <c r="HQ242" s="2" t="s">
        <v>30</v>
      </c>
      <c r="IK242" s="2">
        <v>0</v>
      </c>
    </row>
    <row r="244" spans="1:245" ht="13" x14ac:dyDescent="0.3">
      <c r="A244" s="52">
        <v>51</v>
      </c>
      <c r="B244" s="52">
        <f>B235</f>
        <v>1</v>
      </c>
      <c r="C244" s="52">
        <f>A235</f>
        <v>4</v>
      </c>
      <c r="D244" s="52">
        <f>ROW(A235)</f>
        <v>235</v>
      </c>
      <c r="E244" s="52"/>
      <c r="F244" s="52" t="str">
        <f>IF(F235&lt;&gt;"",F235,"")</f>
        <v>Новый раздел</v>
      </c>
      <c r="G244" s="52" t="str">
        <f>IF(G235&lt;&gt;"",G235,"")</f>
        <v>Ремонт газонов -800м2</v>
      </c>
      <c r="H244" s="52">
        <v>0</v>
      </c>
      <c r="I244" s="52"/>
      <c r="J244" s="52"/>
      <c r="K244" s="52"/>
      <c r="L244" s="52"/>
      <c r="M244" s="52"/>
      <c r="N244" s="52"/>
      <c r="O244" s="52">
        <f t="shared" ref="O244:T244" si="152">ROUND(AB244,2)</f>
        <v>131393.68</v>
      </c>
      <c r="P244" s="52">
        <f t="shared" si="152"/>
        <v>76748.320000000007</v>
      </c>
      <c r="Q244" s="52">
        <f t="shared" si="152"/>
        <v>387.96</v>
      </c>
      <c r="R244" s="52">
        <f t="shared" si="152"/>
        <v>136.91999999999999</v>
      </c>
      <c r="S244" s="52">
        <f t="shared" si="152"/>
        <v>54257.4</v>
      </c>
      <c r="T244" s="52">
        <f t="shared" si="152"/>
        <v>0</v>
      </c>
      <c r="U244" s="52">
        <f>AH244</f>
        <v>274.8</v>
      </c>
      <c r="V244" s="52">
        <f>AI244</f>
        <v>0</v>
      </c>
      <c r="W244" s="52">
        <f>ROUND(AJ244,2)</f>
        <v>0</v>
      </c>
      <c r="X244" s="52">
        <f>ROUND(AK244,2)</f>
        <v>37980.18</v>
      </c>
      <c r="Y244" s="52">
        <f>ROUND(AL244,2)</f>
        <v>5425.74</v>
      </c>
      <c r="Z244" s="52"/>
      <c r="AA244" s="52"/>
      <c r="AB244" s="52">
        <f>ROUND(SUMIF(AA239:AA242,"=52286166",O239:O242),2)</f>
        <v>131393.68</v>
      </c>
      <c r="AC244" s="52">
        <f>ROUND(SUMIF(AA239:AA242,"=52286166",P239:P242),2)</f>
        <v>76748.320000000007</v>
      </c>
      <c r="AD244" s="52">
        <f>ROUND(SUMIF(AA239:AA242,"=52286166",Q239:Q242),2)</f>
        <v>387.96</v>
      </c>
      <c r="AE244" s="52">
        <f>ROUND(SUMIF(AA239:AA242,"=52286166",R239:R242),2)</f>
        <v>136.91999999999999</v>
      </c>
      <c r="AF244" s="52">
        <f>ROUND(SUMIF(AA239:AA242,"=52286166",S239:S242),2)</f>
        <v>54257.4</v>
      </c>
      <c r="AG244" s="52">
        <f>ROUND(SUMIF(AA239:AA242,"=52286166",T239:T242),2)</f>
        <v>0</v>
      </c>
      <c r="AH244" s="52">
        <f>SUMIF(AA239:AA242,"=52286166",U239:U242)</f>
        <v>274.8</v>
      </c>
      <c r="AI244" s="52">
        <f>SUMIF(AA239:AA242,"=52286166",V239:V242)</f>
        <v>0</v>
      </c>
      <c r="AJ244" s="52">
        <f>ROUND(SUMIF(AA239:AA242,"=52286166",W239:W242),2)</f>
        <v>0</v>
      </c>
      <c r="AK244" s="52">
        <f>ROUND(SUMIF(AA239:AA242,"=52286166",X239:X242),2)</f>
        <v>37980.18</v>
      </c>
      <c r="AL244" s="52">
        <f>ROUND(SUMIF(AA239:AA242,"=52286166",Y239:Y242),2)</f>
        <v>5425.74</v>
      </c>
      <c r="AM244" s="52"/>
      <c r="AN244" s="52"/>
      <c r="AO244" s="52">
        <f t="shared" ref="AO244:BD244" si="153">ROUND(BX244,2)</f>
        <v>0</v>
      </c>
      <c r="AP244" s="52">
        <f t="shared" si="153"/>
        <v>0</v>
      </c>
      <c r="AQ244" s="52">
        <f t="shared" si="153"/>
        <v>0</v>
      </c>
      <c r="AR244" s="52">
        <f t="shared" si="153"/>
        <v>174947.47</v>
      </c>
      <c r="AS244" s="52">
        <f t="shared" si="153"/>
        <v>0</v>
      </c>
      <c r="AT244" s="52">
        <f t="shared" si="153"/>
        <v>0</v>
      </c>
      <c r="AU244" s="52">
        <f t="shared" si="153"/>
        <v>174947.47</v>
      </c>
      <c r="AV244" s="52">
        <f t="shared" si="153"/>
        <v>76748.320000000007</v>
      </c>
      <c r="AW244" s="52">
        <f t="shared" si="153"/>
        <v>76748.320000000007</v>
      </c>
      <c r="AX244" s="52">
        <f t="shared" si="153"/>
        <v>0</v>
      </c>
      <c r="AY244" s="52">
        <f t="shared" si="153"/>
        <v>76748.320000000007</v>
      </c>
      <c r="AZ244" s="52">
        <f t="shared" si="153"/>
        <v>0</v>
      </c>
      <c r="BA244" s="52">
        <f t="shared" si="153"/>
        <v>0</v>
      </c>
      <c r="BB244" s="52">
        <f t="shared" si="153"/>
        <v>0</v>
      </c>
      <c r="BC244" s="52">
        <f t="shared" si="153"/>
        <v>0</v>
      </c>
      <c r="BD244" s="52">
        <f t="shared" si="153"/>
        <v>0</v>
      </c>
      <c r="BE244" s="52"/>
      <c r="BF244" s="52"/>
      <c r="BG244" s="52"/>
      <c r="BH244" s="52"/>
      <c r="BI244" s="52"/>
      <c r="BJ244" s="52"/>
      <c r="BK244" s="52"/>
      <c r="BL244" s="52"/>
      <c r="BM244" s="52"/>
      <c r="BN244" s="52"/>
      <c r="BO244" s="52"/>
      <c r="BP244" s="52"/>
      <c r="BQ244" s="52"/>
      <c r="BR244" s="52"/>
      <c r="BS244" s="52"/>
      <c r="BT244" s="52"/>
      <c r="BU244" s="52"/>
      <c r="BV244" s="52"/>
      <c r="BW244" s="52"/>
      <c r="BX244" s="52">
        <f>ROUND(SUMIF(AA239:AA242,"=52286166",FQ239:FQ242),2)</f>
        <v>0</v>
      </c>
      <c r="BY244" s="52">
        <f>ROUND(SUMIF(AA239:AA242,"=52286166",FR239:FR242),2)</f>
        <v>0</v>
      </c>
      <c r="BZ244" s="52">
        <f>ROUND(SUMIF(AA239:AA242,"=52286166",GL239:GL242),2)</f>
        <v>0</v>
      </c>
      <c r="CA244" s="52">
        <f>ROUND(SUMIF(AA239:AA242,"=52286166",GM239:GM242),2)</f>
        <v>174947.47</v>
      </c>
      <c r="CB244" s="52">
        <f>ROUND(SUMIF(AA239:AA242,"=52286166",GN239:GN242),2)</f>
        <v>0</v>
      </c>
      <c r="CC244" s="52">
        <f>ROUND(SUMIF(AA239:AA242,"=52286166",GO239:GO242),2)</f>
        <v>0</v>
      </c>
      <c r="CD244" s="52">
        <f>ROUND(SUMIF(AA239:AA242,"=52286166",GP239:GP242),2)</f>
        <v>174947.47</v>
      </c>
      <c r="CE244" s="52">
        <f>AC244-BX244</f>
        <v>76748.320000000007</v>
      </c>
      <c r="CF244" s="52">
        <f>AC244-BY244</f>
        <v>76748.320000000007</v>
      </c>
      <c r="CG244" s="52">
        <f>BX244-BZ244</f>
        <v>0</v>
      </c>
      <c r="CH244" s="52">
        <f>AC244-BX244-BY244+BZ244</f>
        <v>76748.320000000007</v>
      </c>
      <c r="CI244" s="52">
        <f>BY244-BZ244</f>
        <v>0</v>
      </c>
      <c r="CJ244" s="52">
        <f>ROUND(SUMIF(AA239:AA242,"=52286166",GX239:GX242),2)</f>
        <v>0</v>
      </c>
      <c r="CK244" s="52">
        <f>ROUND(SUMIF(AA239:AA242,"=52286166",GY239:GY242),2)</f>
        <v>0</v>
      </c>
      <c r="CL244" s="52">
        <f>ROUND(SUMIF(AA239:AA242,"=52286166",GZ239:GZ242),2)</f>
        <v>0</v>
      </c>
      <c r="CM244" s="52">
        <f>ROUND(SUMIF(AA239:AA242,"=52286166",HD239:HD242),2)</f>
        <v>0</v>
      </c>
      <c r="CN244" s="52"/>
      <c r="CO244" s="52"/>
      <c r="CP244" s="52"/>
      <c r="CQ244" s="52"/>
      <c r="CR244" s="52"/>
      <c r="CS244" s="52"/>
      <c r="CT244" s="52"/>
      <c r="CU244" s="52"/>
      <c r="CV244" s="52"/>
      <c r="CW244" s="52"/>
      <c r="CX244" s="52"/>
      <c r="CY244" s="52"/>
      <c r="CZ244" s="52"/>
      <c r="DA244" s="52"/>
      <c r="DB244" s="52"/>
      <c r="DC244" s="52"/>
      <c r="DD244" s="52"/>
      <c r="DE244" s="52"/>
      <c r="DF244" s="52"/>
      <c r="DG244" s="53"/>
      <c r="DH244" s="53"/>
      <c r="DI244" s="53"/>
      <c r="DJ244" s="53"/>
      <c r="DK244" s="53"/>
      <c r="DL244" s="53"/>
      <c r="DM244" s="53"/>
      <c r="DN244" s="53"/>
      <c r="DO244" s="53"/>
      <c r="DP244" s="53"/>
      <c r="DQ244" s="53"/>
      <c r="DR244" s="53"/>
      <c r="DS244" s="53"/>
      <c r="DT244" s="53"/>
      <c r="DU244" s="53"/>
      <c r="DV244" s="53"/>
      <c r="DW244" s="53"/>
      <c r="DX244" s="53"/>
      <c r="DY244" s="53"/>
      <c r="DZ244" s="53"/>
      <c r="EA244" s="53"/>
      <c r="EB244" s="53"/>
      <c r="EC244" s="53"/>
      <c r="ED244" s="53"/>
      <c r="EE244" s="53"/>
      <c r="EF244" s="53"/>
      <c r="EG244" s="53"/>
      <c r="EH244" s="53"/>
      <c r="EI244" s="53"/>
      <c r="EJ244" s="53"/>
      <c r="EK244" s="53"/>
      <c r="EL244" s="53"/>
      <c r="EM244" s="53"/>
      <c r="EN244" s="53"/>
      <c r="EO244" s="53"/>
      <c r="EP244" s="53"/>
      <c r="EQ244" s="53"/>
      <c r="ER244" s="53"/>
      <c r="ES244" s="53"/>
      <c r="ET244" s="53"/>
      <c r="EU244" s="53"/>
      <c r="EV244" s="53"/>
      <c r="EW244" s="53"/>
      <c r="EX244" s="53"/>
      <c r="EY244" s="53"/>
      <c r="EZ244" s="53"/>
      <c r="FA244" s="53"/>
      <c r="FB244" s="53"/>
      <c r="FC244" s="53"/>
      <c r="FD244" s="53"/>
      <c r="FE244" s="53"/>
      <c r="FF244" s="53"/>
      <c r="FG244" s="53"/>
      <c r="FH244" s="53"/>
      <c r="FI244" s="53"/>
      <c r="FJ244" s="53"/>
      <c r="FK244" s="53"/>
      <c r="FL244" s="53"/>
      <c r="FM244" s="53"/>
      <c r="FN244" s="53"/>
      <c r="FO244" s="53"/>
      <c r="FP244" s="53"/>
      <c r="FQ244" s="53"/>
      <c r="FR244" s="53"/>
      <c r="FS244" s="53"/>
      <c r="FT244" s="53"/>
      <c r="FU244" s="53"/>
      <c r="FV244" s="53"/>
      <c r="FW244" s="53"/>
      <c r="FX244" s="53"/>
      <c r="FY244" s="53"/>
      <c r="FZ244" s="53"/>
      <c r="GA244" s="53"/>
      <c r="GB244" s="53"/>
      <c r="GC244" s="53"/>
      <c r="GD244" s="53"/>
      <c r="GE244" s="53"/>
      <c r="GF244" s="53"/>
      <c r="GG244" s="53"/>
      <c r="GH244" s="53"/>
      <c r="GI244" s="53"/>
      <c r="GJ244" s="53"/>
      <c r="GK244" s="53"/>
      <c r="GL244" s="53"/>
      <c r="GM244" s="53"/>
      <c r="GN244" s="53"/>
      <c r="GO244" s="53"/>
      <c r="GP244" s="53"/>
      <c r="GQ244" s="53"/>
      <c r="GR244" s="53"/>
      <c r="GS244" s="53"/>
      <c r="GT244" s="53"/>
      <c r="GU244" s="53"/>
      <c r="GV244" s="53"/>
      <c r="GW244" s="53"/>
      <c r="GX244" s="53">
        <v>0</v>
      </c>
    </row>
    <row r="246" spans="1:245" ht="13" x14ac:dyDescent="0.3">
      <c r="A246" s="54">
        <v>50</v>
      </c>
      <c r="B246" s="54">
        <v>0</v>
      </c>
      <c r="C246" s="54">
        <v>0</v>
      </c>
      <c r="D246" s="54">
        <v>1</v>
      </c>
      <c r="E246" s="54">
        <v>201</v>
      </c>
      <c r="F246" s="54">
        <f>ROUND('Source (3)'!O244,O246)</f>
        <v>131393.68</v>
      </c>
      <c r="G246" s="54" t="s">
        <v>214</v>
      </c>
      <c r="H246" s="54" t="s">
        <v>215</v>
      </c>
      <c r="I246" s="54"/>
      <c r="J246" s="54"/>
      <c r="K246" s="54">
        <v>201</v>
      </c>
      <c r="L246" s="54">
        <v>1</v>
      </c>
      <c r="M246" s="54">
        <v>3</v>
      </c>
      <c r="N246" s="54" t="s">
        <v>30</v>
      </c>
      <c r="O246" s="54">
        <v>2</v>
      </c>
      <c r="P246" s="54"/>
      <c r="Q246" s="54"/>
      <c r="R246" s="54"/>
      <c r="S246" s="54"/>
      <c r="T246" s="54"/>
      <c r="U246" s="54"/>
      <c r="V246" s="54"/>
      <c r="W246" s="54">
        <v>131393.68</v>
      </c>
      <c r="X246" s="54">
        <v>1</v>
      </c>
      <c r="Y246" s="54">
        <v>131393.68</v>
      </c>
      <c r="Z246" s="54"/>
      <c r="AA246" s="54"/>
      <c r="AB246" s="54"/>
    </row>
    <row r="247" spans="1:245" ht="13" x14ac:dyDescent="0.3">
      <c r="A247" s="54">
        <v>50</v>
      </c>
      <c r="B247" s="54">
        <v>0</v>
      </c>
      <c r="C247" s="54">
        <v>0</v>
      </c>
      <c r="D247" s="54">
        <v>1</v>
      </c>
      <c r="E247" s="54">
        <v>202</v>
      </c>
      <c r="F247" s="54">
        <f>ROUND('Source (3)'!P244,O247)</f>
        <v>76748.320000000007</v>
      </c>
      <c r="G247" s="54" t="s">
        <v>216</v>
      </c>
      <c r="H247" s="54" t="s">
        <v>217</v>
      </c>
      <c r="I247" s="54"/>
      <c r="J247" s="54"/>
      <c r="K247" s="54">
        <v>202</v>
      </c>
      <c r="L247" s="54">
        <v>2</v>
      </c>
      <c r="M247" s="54">
        <v>3</v>
      </c>
      <c r="N247" s="54" t="s">
        <v>30</v>
      </c>
      <c r="O247" s="54">
        <v>2</v>
      </c>
      <c r="P247" s="54"/>
      <c r="Q247" s="54"/>
      <c r="R247" s="54"/>
      <c r="S247" s="54"/>
      <c r="T247" s="54"/>
      <c r="U247" s="54"/>
      <c r="V247" s="54"/>
      <c r="W247" s="54">
        <v>76748.320000000007</v>
      </c>
      <c r="X247" s="54">
        <v>1</v>
      </c>
      <c r="Y247" s="54">
        <v>76748.320000000007</v>
      </c>
      <c r="Z247" s="54"/>
      <c r="AA247" s="54"/>
      <c r="AB247" s="54"/>
    </row>
    <row r="248" spans="1:245" ht="13" x14ac:dyDescent="0.3">
      <c r="A248" s="54">
        <v>50</v>
      </c>
      <c r="B248" s="54">
        <v>0</v>
      </c>
      <c r="C248" s="54">
        <v>0</v>
      </c>
      <c r="D248" s="54">
        <v>1</v>
      </c>
      <c r="E248" s="54">
        <v>222</v>
      </c>
      <c r="F248" s="54">
        <f>ROUND('Source (3)'!AO244,O248)</f>
        <v>0</v>
      </c>
      <c r="G248" s="54" t="s">
        <v>218</v>
      </c>
      <c r="H248" s="54" t="s">
        <v>219</v>
      </c>
      <c r="I248" s="54"/>
      <c r="J248" s="54"/>
      <c r="K248" s="54">
        <v>222</v>
      </c>
      <c r="L248" s="54">
        <v>3</v>
      </c>
      <c r="M248" s="54">
        <v>3</v>
      </c>
      <c r="N248" s="54" t="s">
        <v>30</v>
      </c>
      <c r="O248" s="54">
        <v>2</v>
      </c>
      <c r="P248" s="54"/>
      <c r="Q248" s="54"/>
      <c r="R248" s="54"/>
      <c r="S248" s="54"/>
      <c r="T248" s="54"/>
      <c r="U248" s="54"/>
      <c r="V248" s="54"/>
      <c r="W248" s="54">
        <v>0</v>
      </c>
      <c r="X248" s="54">
        <v>1</v>
      </c>
      <c r="Y248" s="54">
        <v>0</v>
      </c>
      <c r="Z248" s="54"/>
      <c r="AA248" s="54"/>
      <c r="AB248" s="54"/>
    </row>
    <row r="249" spans="1:245" ht="13" x14ac:dyDescent="0.3">
      <c r="A249" s="54">
        <v>50</v>
      </c>
      <c r="B249" s="54">
        <v>0</v>
      </c>
      <c r="C249" s="54">
        <v>0</v>
      </c>
      <c r="D249" s="54">
        <v>1</v>
      </c>
      <c r="E249" s="54">
        <v>225</v>
      </c>
      <c r="F249" s="54">
        <f>ROUND('Source (3)'!AV244,O249)</f>
        <v>76748.320000000007</v>
      </c>
      <c r="G249" s="54" t="s">
        <v>220</v>
      </c>
      <c r="H249" s="54" t="s">
        <v>221</v>
      </c>
      <c r="I249" s="54"/>
      <c r="J249" s="54"/>
      <c r="K249" s="54">
        <v>225</v>
      </c>
      <c r="L249" s="54">
        <v>4</v>
      </c>
      <c r="M249" s="54">
        <v>3</v>
      </c>
      <c r="N249" s="54" t="s">
        <v>30</v>
      </c>
      <c r="O249" s="54">
        <v>2</v>
      </c>
      <c r="P249" s="54"/>
      <c r="Q249" s="54"/>
      <c r="R249" s="54"/>
      <c r="S249" s="54"/>
      <c r="T249" s="54"/>
      <c r="U249" s="54"/>
      <c r="V249" s="54"/>
      <c r="W249" s="54">
        <v>76748.320000000007</v>
      </c>
      <c r="X249" s="54">
        <v>1</v>
      </c>
      <c r="Y249" s="54">
        <v>76748.320000000007</v>
      </c>
      <c r="Z249" s="54"/>
      <c r="AA249" s="54"/>
      <c r="AB249" s="54"/>
    </row>
    <row r="250" spans="1:245" ht="13" x14ac:dyDescent="0.3">
      <c r="A250" s="54">
        <v>50</v>
      </c>
      <c r="B250" s="54">
        <v>0</v>
      </c>
      <c r="C250" s="54">
        <v>0</v>
      </c>
      <c r="D250" s="54">
        <v>1</v>
      </c>
      <c r="E250" s="54">
        <v>226</v>
      </c>
      <c r="F250" s="54">
        <f>ROUND('Source (3)'!AW244,O250)</f>
        <v>76748.320000000007</v>
      </c>
      <c r="G250" s="54" t="s">
        <v>222</v>
      </c>
      <c r="H250" s="54" t="s">
        <v>223</v>
      </c>
      <c r="I250" s="54"/>
      <c r="J250" s="54"/>
      <c r="K250" s="54">
        <v>226</v>
      </c>
      <c r="L250" s="54">
        <v>5</v>
      </c>
      <c r="M250" s="54">
        <v>3</v>
      </c>
      <c r="N250" s="54" t="s">
        <v>30</v>
      </c>
      <c r="O250" s="54">
        <v>2</v>
      </c>
      <c r="P250" s="54"/>
      <c r="Q250" s="54"/>
      <c r="R250" s="54"/>
      <c r="S250" s="54"/>
      <c r="T250" s="54"/>
      <c r="U250" s="54"/>
      <c r="V250" s="54"/>
      <c r="W250" s="54">
        <v>76748.320000000007</v>
      </c>
      <c r="X250" s="54">
        <v>1</v>
      </c>
      <c r="Y250" s="54">
        <v>76748.320000000007</v>
      </c>
      <c r="Z250" s="54"/>
      <c r="AA250" s="54"/>
      <c r="AB250" s="54"/>
    </row>
    <row r="251" spans="1:245" ht="13" x14ac:dyDescent="0.3">
      <c r="A251" s="54">
        <v>50</v>
      </c>
      <c r="B251" s="54">
        <v>0</v>
      </c>
      <c r="C251" s="54">
        <v>0</v>
      </c>
      <c r="D251" s="54">
        <v>1</v>
      </c>
      <c r="E251" s="54">
        <v>227</v>
      </c>
      <c r="F251" s="54">
        <f>ROUND('Source (3)'!AX244,O251)</f>
        <v>0</v>
      </c>
      <c r="G251" s="54" t="s">
        <v>224</v>
      </c>
      <c r="H251" s="54" t="s">
        <v>225</v>
      </c>
      <c r="I251" s="54"/>
      <c r="J251" s="54"/>
      <c r="K251" s="54">
        <v>227</v>
      </c>
      <c r="L251" s="54">
        <v>6</v>
      </c>
      <c r="M251" s="54">
        <v>3</v>
      </c>
      <c r="N251" s="54" t="s">
        <v>30</v>
      </c>
      <c r="O251" s="54">
        <v>2</v>
      </c>
      <c r="P251" s="54"/>
      <c r="Q251" s="54"/>
      <c r="R251" s="54"/>
      <c r="S251" s="54"/>
      <c r="T251" s="54"/>
      <c r="U251" s="54"/>
      <c r="V251" s="54"/>
      <c r="W251" s="54">
        <v>0</v>
      </c>
      <c r="X251" s="54">
        <v>1</v>
      </c>
      <c r="Y251" s="54">
        <v>0</v>
      </c>
      <c r="Z251" s="54"/>
      <c r="AA251" s="54"/>
      <c r="AB251" s="54"/>
    </row>
    <row r="252" spans="1:245" ht="13" x14ac:dyDescent="0.3">
      <c r="A252" s="54">
        <v>50</v>
      </c>
      <c r="B252" s="54">
        <v>0</v>
      </c>
      <c r="C252" s="54">
        <v>0</v>
      </c>
      <c r="D252" s="54">
        <v>1</v>
      </c>
      <c r="E252" s="54">
        <v>228</v>
      </c>
      <c r="F252" s="54">
        <f>ROUND('Source (3)'!AY244,O252)</f>
        <v>76748.320000000007</v>
      </c>
      <c r="G252" s="54" t="s">
        <v>226</v>
      </c>
      <c r="H252" s="54" t="s">
        <v>227</v>
      </c>
      <c r="I252" s="54"/>
      <c r="J252" s="54"/>
      <c r="K252" s="54">
        <v>228</v>
      </c>
      <c r="L252" s="54">
        <v>7</v>
      </c>
      <c r="M252" s="54">
        <v>3</v>
      </c>
      <c r="N252" s="54" t="s">
        <v>30</v>
      </c>
      <c r="O252" s="54">
        <v>2</v>
      </c>
      <c r="P252" s="54"/>
      <c r="Q252" s="54"/>
      <c r="R252" s="54"/>
      <c r="S252" s="54"/>
      <c r="T252" s="54"/>
      <c r="U252" s="54"/>
      <c r="V252" s="54"/>
      <c r="W252" s="54">
        <v>76748.320000000007</v>
      </c>
      <c r="X252" s="54">
        <v>1</v>
      </c>
      <c r="Y252" s="54">
        <v>76748.320000000007</v>
      </c>
      <c r="Z252" s="54"/>
      <c r="AA252" s="54"/>
      <c r="AB252" s="54"/>
    </row>
    <row r="253" spans="1:245" ht="13" x14ac:dyDescent="0.3">
      <c r="A253" s="54">
        <v>50</v>
      </c>
      <c r="B253" s="54">
        <v>0</v>
      </c>
      <c r="C253" s="54">
        <v>0</v>
      </c>
      <c r="D253" s="54">
        <v>1</v>
      </c>
      <c r="E253" s="54">
        <v>216</v>
      </c>
      <c r="F253" s="54">
        <f>ROUND('Source (3)'!AP244,O253)</f>
        <v>0</v>
      </c>
      <c r="G253" s="54" t="s">
        <v>228</v>
      </c>
      <c r="H253" s="54" t="s">
        <v>229</v>
      </c>
      <c r="I253" s="54"/>
      <c r="J253" s="54"/>
      <c r="K253" s="54">
        <v>216</v>
      </c>
      <c r="L253" s="54">
        <v>8</v>
      </c>
      <c r="M253" s="54">
        <v>3</v>
      </c>
      <c r="N253" s="54" t="s">
        <v>30</v>
      </c>
      <c r="O253" s="54">
        <v>2</v>
      </c>
      <c r="P253" s="54"/>
      <c r="Q253" s="54"/>
      <c r="R253" s="54"/>
      <c r="S253" s="54"/>
      <c r="T253" s="54"/>
      <c r="U253" s="54"/>
      <c r="V253" s="54"/>
      <c r="W253" s="54">
        <v>0</v>
      </c>
      <c r="X253" s="54">
        <v>1</v>
      </c>
      <c r="Y253" s="54">
        <v>0</v>
      </c>
      <c r="Z253" s="54"/>
      <c r="AA253" s="54"/>
      <c r="AB253" s="54"/>
    </row>
    <row r="254" spans="1:245" ht="13" x14ac:dyDescent="0.3">
      <c r="A254" s="54">
        <v>50</v>
      </c>
      <c r="B254" s="54">
        <v>0</v>
      </c>
      <c r="C254" s="54">
        <v>0</v>
      </c>
      <c r="D254" s="54">
        <v>1</v>
      </c>
      <c r="E254" s="54">
        <v>223</v>
      </c>
      <c r="F254" s="54">
        <f>ROUND('Source (3)'!AQ244,O254)</f>
        <v>0</v>
      </c>
      <c r="G254" s="54" t="s">
        <v>230</v>
      </c>
      <c r="H254" s="54" t="s">
        <v>231</v>
      </c>
      <c r="I254" s="54"/>
      <c r="J254" s="54"/>
      <c r="K254" s="54">
        <v>223</v>
      </c>
      <c r="L254" s="54">
        <v>9</v>
      </c>
      <c r="M254" s="54">
        <v>3</v>
      </c>
      <c r="N254" s="54" t="s">
        <v>30</v>
      </c>
      <c r="O254" s="54">
        <v>2</v>
      </c>
      <c r="P254" s="54"/>
      <c r="Q254" s="54"/>
      <c r="R254" s="54"/>
      <c r="S254" s="54"/>
      <c r="T254" s="54"/>
      <c r="U254" s="54"/>
      <c r="V254" s="54"/>
      <c r="W254" s="54">
        <v>0</v>
      </c>
      <c r="X254" s="54">
        <v>1</v>
      </c>
      <c r="Y254" s="54">
        <v>0</v>
      </c>
      <c r="Z254" s="54"/>
      <c r="AA254" s="54"/>
      <c r="AB254" s="54"/>
    </row>
    <row r="255" spans="1:245" ht="13" x14ac:dyDescent="0.3">
      <c r="A255" s="54">
        <v>50</v>
      </c>
      <c r="B255" s="54">
        <v>0</v>
      </c>
      <c r="C255" s="54">
        <v>0</v>
      </c>
      <c r="D255" s="54">
        <v>1</v>
      </c>
      <c r="E255" s="54">
        <v>229</v>
      </c>
      <c r="F255" s="54">
        <f>ROUND('Source (3)'!AZ244,O255)</f>
        <v>0</v>
      </c>
      <c r="G255" s="54" t="s">
        <v>232</v>
      </c>
      <c r="H255" s="54" t="s">
        <v>233</v>
      </c>
      <c r="I255" s="54"/>
      <c r="J255" s="54"/>
      <c r="K255" s="54">
        <v>229</v>
      </c>
      <c r="L255" s="54">
        <v>10</v>
      </c>
      <c r="M255" s="54">
        <v>3</v>
      </c>
      <c r="N255" s="54" t="s">
        <v>30</v>
      </c>
      <c r="O255" s="54">
        <v>2</v>
      </c>
      <c r="P255" s="54"/>
      <c r="Q255" s="54"/>
      <c r="R255" s="54"/>
      <c r="S255" s="54"/>
      <c r="T255" s="54"/>
      <c r="U255" s="54"/>
      <c r="V255" s="54"/>
      <c r="W255" s="54">
        <v>0</v>
      </c>
      <c r="X255" s="54">
        <v>1</v>
      </c>
      <c r="Y255" s="54">
        <v>0</v>
      </c>
      <c r="Z255" s="54"/>
      <c r="AA255" s="54"/>
      <c r="AB255" s="54"/>
    </row>
    <row r="256" spans="1:245" ht="13" x14ac:dyDescent="0.3">
      <c r="A256" s="54">
        <v>50</v>
      </c>
      <c r="B256" s="54">
        <v>0</v>
      </c>
      <c r="C256" s="54">
        <v>0</v>
      </c>
      <c r="D256" s="54">
        <v>1</v>
      </c>
      <c r="E256" s="54">
        <v>203</v>
      </c>
      <c r="F256" s="54">
        <f>ROUND('Source (3)'!Q244,O256)</f>
        <v>387.96</v>
      </c>
      <c r="G256" s="54" t="s">
        <v>234</v>
      </c>
      <c r="H256" s="54" t="s">
        <v>235</v>
      </c>
      <c r="I256" s="54"/>
      <c r="J256" s="54"/>
      <c r="K256" s="54">
        <v>203</v>
      </c>
      <c r="L256" s="54">
        <v>11</v>
      </c>
      <c r="M256" s="54">
        <v>3</v>
      </c>
      <c r="N256" s="54" t="s">
        <v>30</v>
      </c>
      <c r="O256" s="54">
        <v>2</v>
      </c>
      <c r="P256" s="54"/>
      <c r="Q256" s="54"/>
      <c r="R256" s="54"/>
      <c r="S256" s="54"/>
      <c r="T256" s="54"/>
      <c r="U256" s="54"/>
      <c r="V256" s="54"/>
      <c r="W256" s="54">
        <v>387.96</v>
      </c>
      <c r="X256" s="54">
        <v>1</v>
      </c>
      <c r="Y256" s="54">
        <v>387.96</v>
      </c>
      <c r="Z256" s="54"/>
      <c r="AA256" s="54"/>
      <c r="AB256" s="54"/>
    </row>
    <row r="257" spans="1:28" ht="13" x14ac:dyDescent="0.3">
      <c r="A257" s="54">
        <v>50</v>
      </c>
      <c r="B257" s="54">
        <v>0</v>
      </c>
      <c r="C257" s="54">
        <v>0</v>
      </c>
      <c r="D257" s="54">
        <v>1</v>
      </c>
      <c r="E257" s="54">
        <v>231</v>
      </c>
      <c r="F257" s="54">
        <f>ROUND('Source (3)'!BB244,O257)</f>
        <v>0</v>
      </c>
      <c r="G257" s="54" t="s">
        <v>236</v>
      </c>
      <c r="H257" s="54" t="s">
        <v>237</v>
      </c>
      <c r="I257" s="54"/>
      <c r="J257" s="54"/>
      <c r="K257" s="54">
        <v>231</v>
      </c>
      <c r="L257" s="54">
        <v>12</v>
      </c>
      <c r="M257" s="54">
        <v>3</v>
      </c>
      <c r="N257" s="54" t="s">
        <v>30</v>
      </c>
      <c r="O257" s="54">
        <v>2</v>
      </c>
      <c r="P257" s="54"/>
      <c r="Q257" s="54"/>
      <c r="R257" s="54"/>
      <c r="S257" s="54"/>
      <c r="T257" s="54"/>
      <c r="U257" s="54"/>
      <c r="V257" s="54"/>
      <c r="W257" s="54">
        <v>0</v>
      </c>
      <c r="X257" s="54">
        <v>1</v>
      </c>
      <c r="Y257" s="54">
        <v>0</v>
      </c>
      <c r="Z257" s="54"/>
      <c r="AA257" s="54"/>
      <c r="AB257" s="54"/>
    </row>
    <row r="258" spans="1:28" ht="13" x14ac:dyDescent="0.3">
      <c r="A258" s="54">
        <v>50</v>
      </c>
      <c r="B258" s="54">
        <v>0</v>
      </c>
      <c r="C258" s="54">
        <v>0</v>
      </c>
      <c r="D258" s="54">
        <v>1</v>
      </c>
      <c r="E258" s="54">
        <v>204</v>
      </c>
      <c r="F258" s="54">
        <f>ROUND('Source (3)'!R244,O258)</f>
        <v>136.91999999999999</v>
      </c>
      <c r="G258" s="54" t="s">
        <v>238</v>
      </c>
      <c r="H258" s="54" t="s">
        <v>239</v>
      </c>
      <c r="I258" s="54"/>
      <c r="J258" s="54"/>
      <c r="K258" s="54">
        <v>204</v>
      </c>
      <c r="L258" s="54">
        <v>13</v>
      </c>
      <c r="M258" s="54">
        <v>3</v>
      </c>
      <c r="N258" s="54" t="s">
        <v>30</v>
      </c>
      <c r="O258" s="54">
        <v>2</v>
      </c>
      <c r="P258" s="54"/>
      <c r="Q258" s="54"/>
      <c r="R258" s="54"/>
      <c r="S258" s="54"/>
      <c r="T258" s="54"/>
      <c r="U258" s="54"/>
      <c r="V258" s="54"/>
      <c r="W258" s="54">
        <v>136.91999999999999</v>
      </c>
      <c r="X258" s="54">
        <v>1</v>
      </c>
      <c r="Y258" s="54">
        <v>136.91999999999999</v>
      </c>
      <c r="Z258" s="54"/>
      <c r="AA258" s="54"/>
      <c r="AB258" s="54"/>
    </row>
    <row r="259" spans="1:28" ht="13" x14ac:dyDescent="0.3">
      <c r="A259" s="54">
        <v>50</v>
      </c>
      <c r="B259" s="54">
        <v>0</v>
      </c>
      <c r="C259" s="54">
        <v>0</v>
      </c>
      <c r="D259" s="54">
        <v>1</v>
      </c>
      <c r="E259" s="54">
        <v>205</v>
      </c>
      <c r="F259" s="54">
        <f>ROUND('Source (3)'!S244,O259)</f>
        <v>54257.4</v>
      </c>
      <c r="G259" s="54" t="s">
        <v>240</v>
      </c>
      <c r="H259" s="54" t="s">
        <v>241</v>
      </c>
      <c r="I259" s="54"/>
      <c r="J259" s="54"/>
      <c r="K259" s="54">
        <v>205</v>
      </c>
      <c r="L259" s="54">
        <v>14</v>
      </c>
      <c r="M259" s="54">
        <v>3</v>
      </c>
      <c r="N259" s="54" t="s">
        <v>30</v>
      </c>
      <c r="O259" s="54">
        <v>2</v>
      </c>
      <c r="P259" s="54"/>
      <c r="Q259" s="54"/>
      <c r="R259" s="54"/>
      <c r="S259" s="54"/>
      <c r="T259" s="54"/>
      <c r="U259" s="54"/>
      <c r="V259" s="54"/>
      <c r="W259" s="54">
        <v>54257.4</v>
      </c>
      <c r="X259" s="54">
        <v>1</v>
      </c>
      <c r="Y259" s="54">
        <v>54257.4</v>
      </c>
      <c r="Z259" s="54"/>
      <c r="AA259" s="54"/>
      <c r="AB259" s="54"/>
    </row>
    <row r="260" spans="1:28" ht="13" x14ac:dyDescent="0.3">
      <c r="A260" s="54">
        <v>50</v>
      </c>
      <c r="B260" s="54">
        <v>0</v>
      </c>
      <c r="C260" s="54">
        <v>0</v>
      </c>
      <c r="D260" s="54">
        <v>1</v>
      </c>
      <c r="E260" s="54">
        <v>232</v>
      </c>
      <c r="F260" s="54">
        <f>ROUND('Source (3)'!BC244,O260)</f>
        <v>0</v>
      </c>
      <c r="G260" s="54" t="s">
        <v>242</v>
      </c>
      <c r="H260" s="54" t="s">
        <v>243</v>
      </c>
      <c r="I260" s="54"/>
      <c r="J260" s="54"/>
      <c r="K260" s="54">
        <v>232</v>
      </c>
      <c r="L260" s="54">
        <v>15</v>
      </c>
      <c r="M260" s="54">
        <v>3</v>
      </c>
      <c r="N260" s="54" t="s">
        <v>30</v>
      </c>
      <c r="O260" s="54">
        <v>2</v>
      </c>
      <c r="P260" s="54"/>
      <c r="Q260" s="54"/>
      <c r="R260" s="54"/>
      <c r="S260" s="54"/>
      <c r="T260" s="54"/>
      <c r="U260" s="54"/>
      <c r="V260" s="54"/>
      <c r="W260" s="54">
        <v>0</v>
      </c>
      <c r="X260" s="54">
        <v>1</v>
      </c>
      <c r="Y260" s="54">
        <v>0</v>
      </c>
      <c r="Z260" s="54"/>
      <c r="AA260" s="54"/>
      <c r="AB260" s="54"/>
    </row>
    <row r="261" spans="1:28" ht="13" x14ac:dyDescent="0.3">
      <c r="A261" s="54">
        <v>50</v>
      </c>
      <c r="B261" s="54">
        <v>0</v>
      </c>
      <c r="C261" s="54">
        <v>0</v>
      </c>
      <c r="D261" s="54">
        <v>1</v>
      </c>
      <c r="E261" s="54">
        <v>214</v>
      </c>
      <c r="F261" s="54">
        <f>ROUND('Source (3)'!AS244,O261)</f>
        <v>0</v>
      </c>
      <c r="G261" s="54" t="s">
        <v>244</v>
      </c>
      <c r="H261" s="54" t="s">
        <v>245</v>
      </c>
      <c r="I261" s="54"/>
      <c r="J261" s="54"/>
      <c r="K261" s="54">
        <v>214</v>
      </c>
      <c r="L261" s="54">
        <v>16</v>
      </c>
      <c r="M261" s="54">
        <v>3</v>
      </c>
      <c r="N261" s="54" t="s">
        <v>30</v>
      </c>
      <c r="O261" s="54">
        <v>2</v>
      </c>
      <c r="P261" s="54"/>
      <c r="Q261" s="54"/>
      <c r="R261" s="54"/>
      <c r="S261" s="54"/>
      <c r="T261" s="54"/>
      <c r="U261" s="54"/>
      <c r="V261" s="54"/>
      <c r="W261" s="54">
        <v>0</v>
      </c>
      <c r="X261" s="54">
        <v>1</v>
      </c>
      <c r="Y261" s="54">
        <v>0</v>
      </c>
      <c r="Z261" s="54"/>
      <c r="AA261" s="54"/>
      <c r="AB261" s="54"/>
    </row>
    <row r="262" spans="1:28" ht="13" x14ac:dyDescent="0.3">
      <c r="A262" s="54">
        <v>50</v>
      </c>
      <c r="B262" s="54">
        <v>0</v>
      </c>
      <c r="C262" s="54">
        <v>0</v>
      </c>
      <c r="D262" s="54">
        <v>1</v>
      </c>
      <c r="E262" s="54">
        <v>215</v>
      </c>
      <c r="F262" s="54">
        <f>ROUND('Source (3)'!AT244,O262)</f>
        <v>0</v>
      </c>
      <c r="G262" s="54" t="s">
        <v>246</v>
      </c>
      <c r="H262" s="54" t="s">
        <v>247</v>
      </c>
      <c r="I262" s="54"/>
      <c r="J262" s="54"/>
      <c r="K262" s="54">
        <v>215</v>
      </c>
      <c r="L262" s="54">
        <v>17</v>
      </c>
      <c r="M262" s="54">
        <v>3</v>
      </c>
      <c r="N262" s="54" t="s">
        <v>30</v>
      </c>
      <c r="O262" s="54">
        <v>2</v>
      </c>
      <c r="P262" s="54"/>
      <c r="Q262" s="54"/>
      <c r="R262" s="54"/>
      <c r="S262" s="54"/>
      <c r="T262" s="54"/>
      <c r="U262" s="54"/>
      <c r="V262" s="54"/>
      <c r="W262" s="54">
        <v>0</v>
      </c>
      <c r="X262" s="54">
        <v>1</v>
      </c>
      <c r="Y262" s="54">
        <v>0</v>
      </c>
      <c r="Z262" s="54"/>
      <c r="AA262" s="54"/>
      <c r="AB262" s="54"/>
    </row>
    <row r="263" spans="1:28" ht="13" x14ac:dyDescent="0.3">
      <c r="A263" s="54">
        <v>50</v>
      </c>
      <c r="B263" s="54">
        <v>0</v>
      </c>
      <c r="C263" s="54">
        <v>0</v>
      </c>
      <c r="D263" s="54">
        <v>1</v>
      </c>
      <c r="E263" s="54">
        <v>217</v>
      </c>
      <c r="F263" s="54">
        <f>ROUND('Source (3)'!AU244,O263)</f>
        <v>174947.47</v>
      </c>
      <c r="G263" s="54" t="s">
        <v>248</v>
      </c>
      <c r="H263" s="54" t="s">
        <v>249</v>
      </c>
      <c r="I263" s="54"/>
      <c r="J263" s="54"/>
      <c r="K263" s="54">
        <v>217</v>
      </c>
      <c r="L263" s="54">
        <v>18</v>
      </c>
      <c r="M263" s="54">
        <v>3</v>
      </c>
      <c r="N263" s="54" t="s">
        <v>30</v>
      </c>
      <c r="O263" s="54">
        <v>2</v>
      </c>
      <c r="P263" s="54"/>
      <c r="Q263" s="54"/>
      <c r="R263" s="54"/>
      <c r="S263" s="54"/>
      <c r="T263" s="54"/>
      <c r="U263" s="54"/>
      <c r="V263" s="54"/>
      <c r="W263" s="54">
        <v>174947.47</v>
      </c>
      <c r="X263" s="54">
        <v>1</v>
      </c>
      <c r="Y263" s="54">
        <v>174947.47</v>
      </c>
      <c r="Z263" s="54"/>
      <c r="AA263" s="54"/>
      <c r="AB263" s="54"/>
    </row>
    <row r="264" spans="1:28" ht="13" x14ac:dyDescent="0.3">
      <c r="A264" s="54">
        <v>50</v>
      </c>
      <c r="B264" s="54">
        <v>0</v>
      </c>
      <c r="C264" s="54">
        <v>0</v>
      </c>
      <c r="D264" s="54">
        <v>1</v>
      </c>
      <c r="E264" s="54">
        <v>230</v>
      </c>
      <c r="F264" s="54">
        <f>ROUND('Source (3)'!BA244,O264)</f>
        <v>0</v>
      </c>
      <c r="G264" s="54" t="s">
        <v>250</v>
      </c>
      <c r="H264" s="54" t="s">
        <v>251</v>
      </c>
      <c r="I264" s="54"/>
      <c r="J264" s="54"/>
      <c r="K264" s="54">
        <v>230</v>
      </c>
      <c r="L264" s="54">
        <v>19</v>
      </c>
      <c r="M264" s="54">
        <v>3</v>
      </c>
      <c r="N264" s="54" t="s">
        <v>30</v>
      </c>
      <c r="O264" s="54">
        <v>2</v>
      </c>
      <c r="P264" s="54"/>
      <c r="Q264" s="54"/>
      <c r="R264" s="54"/>
      <c r="S264" s="54"/>
      <c r="T264" s="54"/>
      <c r="U264" s="54"/>
      <c r="V264" s="54"/>
      <c r="W264" s="54">
        <v>0</v>
      </c>
      <c r="X264" s="54">
        <v>1</v>
      </c>
      <c r="Y264" s="54">
        <v>0</v>
      </c>
      <c r="Z264" s="54"/>
      <c r="AA264" s="54"/>
      <c r="AB264" s="54"/>
    </row>
    <row r="265" spans="1:28" ht="13" x14ac:dyDescent="0.3">
      <c r="A265" s="54">
        <v>50</v>
      </c>
      <c r="B265" s="54">
        <v>0</v>
      </c>
      <c r="C265" s="54">
        <v>0</v>
      </c>
      <c r="D265" s="54">
        <v>1</v>
      </c>
      <c r="E265" s="54">
        <v>206</v>
      </c>
      <c r="F265" s="54">
        <f>ROUND('Source (3)'!T244,O265)</f>
        <v>0</v>
      </c>
      <c r="G265" s="54" t="s">
        <v>252</v>
      </c>
      <c r="H265" s="54" t="s">
        <v>253</v>
      </c>
      <c r="I265" s="54"/>
      <c r="J265" s="54"/>
      <c r="K265" s="54">
        <v>206</v>
      </c>
      <c r="L265" s="54">
        <v>20</v>
      </c>
      <c r="M265" s="54">
        <v>3</v>
      </c>
      <c r="N265" s="54" t="s">
        <v>30</v>
      </c>
      <c r="O265" s="54">
        <v>2</v>
      </c>
      <c r="P265" s="54"/>
      <c r="Q265" s="54"/>
      <c r="R265" s="54"/>
      <c r="S265" s="54"/>
      <c r="T265" s="54"/>
      <c r="U265" s="54"/>
      <c r="V265" s="54"/>
      <c r="W265" s="54">
        <v>0</v>
      </c>
      <c r="X265" s="54">
        <v>1</v>
      </c>
      <c r="Y265" s="54">
        <v>0</v>
      </c>
      <c r="Z265" s="54"/>
      <c r="AA265" s="54"/>
      <c r="AB265" s="54"/>
    </row>
    <row r="266" spans="1:28" ht="13" x14ac:dyDescent="0.3">
      <c r="A266" s="54">
        <v>50</v>
      </c>
      <c r="B266" s="54">
        <v>0</v>
      </c>
      <c r="C266" s="54">
        <v>0</v>
      </c>
      <c r="D266" s="54">
        <v>1</v>
      </c>
      <c r="E266" s="54">
        <v>207</v>
      </c>
      <c r="F266" s="54">
        <f>'Source (3)'!U244</f>
        <v>274.8</v>
      </c>
      <c r="G266" s="54" t="s">
        <v>254</v>
      </c>
      <c r="H266" s="54" t="s">
        <v>255</v>
      </c>
      <c r="I266" s="54"/>
      <c r="J266" s="54"/>
      <c r="K266" s="54">
        <v>207</v>
      </c>
      <c r="L266" s="54">
        <v>21</v>
      </c>
      <c r="M266" s="54">
        <v>3</v>
      </c>
      <c r="N266" s="54" t="s">
        <v>30</v>
      </c>
      <c r="O266" s="54">
        <v>-1</v>
      </c>
      <c r="P266" s="54"/>
      <c r="Q266" s="54"/>
      <c r="R266" s="54"/>
      <c r="S266" s="54"/>
      <c r="T266" s="54"/>
      <c r="U266" s="54"/>
      <c r="V266" s="54"/>
      <c r="W266" s="54">
        <v>274.8</v>
      </c>
      <c r="X266" s="54">
        <v>1</v>
      </c>
      <c r="Y266" s="54">
        <v>274.8</v>
      </c>
      <c r="Z266" s="54"/>
      <c r="AA266" s="54"/>
      <c r="AB266" s="54"/>
    </row>
    <row r="267" spans="1:28" ht="13" x14ac:dyDescent="0.3">
      <c r="A267" s="54">
        <v>50</v>
      </c>
      <c r="B267" s="54">
        <v>0</v>
      </c>
      <c r="C267" s="54">
        <v>0</v>
      </c>
      <c r="D267" s="54">
        <v>1</v>
      </c>
      <c r="E267" s="54">
        <v>208</v>
      </c>
      <c r="F267" s="54">
        <f>'Source (3)'!V244</f>
        <v>0</v>
      </c>
      <c r="G267" s="54" t="s">
        <v>256</v>
      </c>
      <c r="H267" s="54" t="s">
        <v>257</v>
      </c>
      <c r="I267" s="54"/>
      <c r="J267" s="54"/>
      <c r="K267" s="54">
        <v>208</v>
      </c>
      <c r="L267" s="54">
        <v>22</v>
      </c>
      <c r="M267" s="54">
        <v>3</v>
      </c>
      <c r="N267" s="54" t="s">
        <v>30</v>
      </c>
      <c r="O267" s="54">
        <v>-1</v>
      </c>
      <c r="P267" s="54"/>
      <c r="Q267" s="54"/>
      <c r="R267" s="54"/>
      <c r="S267" s="54"/>
      <c r="T267" s="54"/>
      <c r="U267" s="54"/>
      <c r="V267" s="54"/>
      <c r="W267" s="54">
        <v>0</v>
      </c>
      <c r="X267" s="54">
        <v>1</v>
      </c>
      <c r="Y267" s="54">
        <v>0</v>
      </c>
      <c r="Z267" s="54"/>
      <c r="AA267" s="54"/>
      <c r="AB267" s="54"/>
    </row>
    <row r="268" spans="1:28" ht="13" x14ac:dyDescent="0.3">
      <c r="A268" s="54">
        <v>50</v>
      </c>
      <c r="B268" s="54">
        <v>0</v>
      </c>
      <c r="C268" s="54">
        <v>0</v>
      </c>
      <c r="D268" s="54">
        <v>1</v>
      </c>
      <c r="E268" s="54">
        <v>209</v>
      </c>
      <c r="F268" s="54">
        <f>ROUND('Source (3)'!W244,O268)</f>
        <v>0</v>
      </c>
      <c r="G268" s="54" t="s">
        <v>258</v>
      </c>
      <c r="H268" s="54" t="s">
        <v>259</v>
      </c>
      <c r="I268" s="54"/>
      <c r="J268" s="54"/>
      <c r="K268" s="54">
        <v>209</v>
      </c>
      <c r="L268" s="54">
        <v>23</v>
      </c>
      <c r="M268" s="54">
        <v>3</v>
      </c>
      <c r="N268" s="54" t="s">
        <v>30</v>
      </c>
      <c r="O268" s="54">
        <v>2</v>
      </c>
      <c r="P268" s="54"/>
      <c r="Q268" s="54"/>
      <c r="R268" s="54"/>
      <c r="S268" s="54"/>
      <c r="T268" s="54"/>
      <c r="U268" s="54"/>
      <c r="V268" s="54"/>
      <c r="W268" s="54">
        <v>0</v>
      </c>
      <c r="X268" s="54">
        <v>1</v>
      </c>
      <c r="Y268" s="54">
        <v>0</v>
      </c>
      <c r="Z268" s="54"/>
      <c r="AA268" s="54"/>
      <c r="AB268" s="54"/>
    </row>
    <row r="269" spans="1:28" ht="13" x14ac:dyDescent="0.3">
      <c r="A269" s="54">
        <v>50</v>
      </c>
      <c r="B269" s="54">
        <v>0</v>
      </c>
      <c r="C269" s="54">
        <v>0</v>
      </c>
      <c r="D269" s="54">
        <v>1</v>
      </c>
      <c r="E269" s="54">
        <v>233</v>
      </c>
      <c r="F269" s="54">
        <f>ROUND('Source (3)'!BD244,O269)</f>
        <v>0</v>
      </c>
      <c r="G269" s="54" t="s">
        <v>260</v>
      </c>
      <c r="H269" s="54" t="s">
        <v>261</v>
      </c>
      <c r="I269" s="54"/>
      <c r="J269" s="54"/>
      <c r="K269" s="54">
        <v>233</v>
      </c>
      <c r="L269" s="54">
        <v>24</v>
      </c>
      <c r="M269" s="54">
        <v>3</v>
      </c>
      <c r="N269" s="54" t="s">
        <v>30</v>
      </c>
      <c r="O269" s="54">
        <v>2</v>
      </c>
      <c r="P269" s="54"/>
      <c r="Q269" s="54"/>
      <c r="R269" s="54"/>
      <c r="S269" s="54"/>
      <c r="T269" s="54"/>
      <c r="U269" s="54"/>
      <c r="V269" s="54"/>
      <c r="W269" s="54">
        <v>0</v>
      </c>
      <c r="X269" s="54">
        <v>1</v>
      </c>
      <c r="Y269" s="54">
        <v>0</v>
      </c>
      <c r="Z269" s="54"/>
      <c r="AA269" s="54"/>
      <c r="AB269" s="54"/>
    </row>
    <row r="270" spans="1:28" ht="13" x14ac:dyDescent="0.3">
      <c r="A270" s="54">
        <v>50</v>
      </c>
      <c r="B270" s="54">
        <v>0</v>
      </c>
      <c r="C270" s="54">
        <v>0</v>
      </c>
      <c r="D270" s="54">
        <v>1</v>
      </c>
      <c r="E270" s="54">
        <v>210</v>
      </c>
      <c r="F270" s="54">
        <f>ROUND('Source (3)'!X244,O270)</f>
        <v>37980.18</v>
      </c>
      <c r="G270" s="54" t="s">
        <v>262</v>
      </c>
      <c r="H270" s="54" t="s">
        <v>263</v>
      </c>
      <c r="I270" s="54"/>
      <c r="J270" s="54"/>
      <c r="K270" s="54">
        <v>210</v>
      </c>
      <c r="L270" s="54">
        <v>25</v>
      </c>
      <c r="M270" s="54">
        <v>3</v>
      </c>
      <c r="N270" s="54" t="s">
        <v>30</v>
      </c>
      <c r="O270" s="54">
        <v>2</v>
      </c>
      <c r="P270" s="54"/>
      <c r="Q270" s="54"/>
      <c r="R270" s="54"/>
      <c r="S270" s="54"/>
      <c r="T270" s="54"/>
      <c r="U270" s="54"/>
      <c r="V270" s="54"/>
      <c r="W270" s="54">
        <v>37980.18</v>
      </c>
      <c r="X270" s="54">
        <v>1</v>
      </c>
      <c r="Y270" s="54">
        <v>37980.18</v>
      </c>
      <c r="Z270" s="54"/>
      <c r="AA270" s="54"/>
      <c r="AB270" s="54"/>
    </row>
    <row r="271" spans="1:28" ht="13" x14ac:dyDescent="0.3">
      <c r="A271" s="54">
        <v>50</v>
      </c>
      <c r="B271" s="54">
        <v>0</v>
      </c>
      <c r="C271" s="54">
        <v>0</v>
      </c>
      <c r="D271" s="54">
        <v>1</v>
      </c>
      <c r="E271" s="54">
        <v>211</v>
      </c>
      <c r="F271" s="54">
        <f>ROUND('Source (3)'!Y244,O271)</f>
        <v>5425.74</v>
      </c>
      <c r="G271" s="54" t="s">
        <v>264</v>
      </c>
      <c r="H271" s="54" t="s">
        <v>265</v>
      </c>
      <c r="I271" s="54"/>
      <c r="J271" s="54"/>
      <c r="K271" s="54">
        <v>211</v>
      </c>
      <c r="L271" s="54">
        <v>26</v>
      </c>
      <c r="M271" s="54">
        <v>3</v>
      </c>
      <c r="N271" s="54" t="s">
        <v>30</v>
      </c>
      <c r="O271" s="54">
        <v>2</v>
      </c>
      <c r="P271" s="54"/>
      <c r="Q271" s="54"/>
      <c r="R271" s="54"/>
      <c r="S271" s="54"/>
      <c r="T271" s="54"/>
      <c r="U271" s="54"/>
      <c r="V271" s="54"/>
      <c r="W271" s="54">
        <v>5425.74</v>
      </c>
      <c r="X271" s="54">
        <v>1</v>
      </c>
      <c r="Y271" s="54">
        <v>5425.74</v>
      </c>
      <c r="Z271" s="54"/>
      <c r="AA271" s="54"/>
      <c r="AB271" s="54"/>
    </row>
    <row r="272" spans="1:28" ht="13" x14ac:dyDescent="0.3">
      <c r="A272" s="54">
        <v>50</v>
      </c>
      <c r="B272" s="54">
        <v>0</v>
      </c>
      <c r="C272" s="54">
        <v>0</v>
      </c>
      <c r="D272" s="54">
        <v>1</v>
      </c>
      <c r="E272" s="54">
        <v>224</v>
      </c>
      <c r="F272" s="54">
        <f>ROUND('Source (3)'!AR244,O272)</f>
        <v>174947.47</v>
      </c>
      <c r="G272" s="54" t="s">
        <v>266</v>
      </c>
      <c r="H272" s="54" t="s">
        <v>267</v>
      </c>
      <c r="I272" s="54"/>
      <c r="J272" s="54"/>
      <c r="K272" s="54">
        <v>224</v>
      </c>
      <c r="L272" s="54">
        <v>27</v>
      </c>
      <c r="M272" s="54">
        <v>3</v>
      </c>
      <c r="N272" s="54" t="s">
        <v>30</v>
      </c>
      <c r="O272" s="54">
        <v>2</v>
      </c>
      <c r="P272" s="54"/>
      <c r="Q272" s="54"/>
      <c r="R272" s="54"/>
      <c r="S272" s="54"/>
      <c r="T272" s="54"/>
      <c r="U272" s="54"/>
      <c r="V272" s="54"/>
      <c r="W272" s="54">
        <v>174947.47</v>
      </c>
      <c r="X272" s="54">
        <v>1</v>
      </c>
      <c r="Y272" s="54">
        <v>174947.47</v>
      </c>
      <c r="Z272" s="54"/>
      <c r="AA272" s="54"/>
      <c r="AB272" s="54"/>
    </row>
    <row r="274" spans="1:245" ht="13" x14ac:dyDescent="0.3">
      <c r="A274" s="51">
        <v>4</v>
      </c>
      <c r="B274" s="51">
        <v>1</v>
      </c>
      <c r="C274" s="51"/>
      <c r="D274" s="51">
        <f>ROW(A284)</f>
        <v>284</v>
      </c>
      <c r="E274" s="51"/>
      <c r="F274" s="51" t="s">
        <v>174</v>
      </c>
      <c r="G274" s="51" t="s">
        <v>449</v>
      </c>
      <c r="H274" s="51" t="s">
        <v>30</v>
      </c>
      <c r="I274" s="51">
        <v>0</v>
      </c>
      <c r="J274" s="51"/>
      <c r="K274" s="51">
        <v>0</v>
      </c>
      <c r="L274" s="51"/>
      <c r="M274" s="51" t="s">
        <v>30</v>
      </c>
      <c r="N274" s="51"/>
      <c r="O274" s="51"/>
      <c r="P274" s="51"/>
      <c r="Q274" s="51"/>
      <c r="R274" s="51"/>
      <c r="S274" s="51">
        <v>0</v>
      </c>
      <c r="T274" s="51"/>
      <c r="U274" s="51" t="s">
        <v>30</v>
      </c>
      <c r="V274" s="51">
        <v>0</v>
      </c>
      <c r="W274" s="51"/>
      <c r="X274" s="51"/>
      <c r="Y274" s="51"/>
      <c r="Z274" s="51"/>
      <c r="AA274" s="51"/>
      <c r="AB274" s="51" t="s">
        <v>30</v>
      </c>
      <c r="AC274" s="51" t="s">
        <v>30</v>
      </c>
      <c r="AD274" s="51" t="s">
        <v>30</v>
      </c>
      <c r="AE274" s="51" t="s">
        <v>30</v>
      </c>
      <c r="AF274" s="51" t="s">
        <v>30</v>
      </c>
      <c r="AG274" s="51" t="s">
        <v>30</v>
      </c>
      <c r="AH274" s="51"/>
      <c r="AI274" s="51"/>
      <c r="AJ274" s="51"/>
      <c r="AK274" s="51"/>
      <c r="AL274" s="51"/>
      <c r="AM274" s="51"/>
      <c r="AN274" s="51"/>
      <c r="AO274" s="51"/>
      <c r="AP274" s="51" t="s">
        <v>30</v>
      </c>
      <c r="AQ274" s="51" t="s">
        <v>30</v>
      </c>
      <c r="AR274" s="51" t="s">
        <v>30</v>
      </c>
      <c r="AS274" s="51"/>
      <c r="AT274" s="51"/>
      <c r="AU274" s="51"/>
      <c r="AV274" s="51"/>
      <c r="AW274" s="51"/>
      <c r="AX274" s="51"/>
      <c r="AY274" s="51"/>
      <c r="AZ274" s="51" t="s">
        <v>30</v>
      </c>
      <c r="BA274" s="51"/>
      <c r="BB274" s="51" t="s">
        <v>30</v>
      </c>
      <c r="BC274" s="51" t="s">
        <v>30</v>
      </c>
      <c r="BD274" s="51" t="s">
        <v>30</v>
      </c>
      <c r="BE274" s="51" t="s">
        <v>30</v>
      </c>
      <c r="BF274" s="51" t="s">
        <v>30</v>
      </c>
      <c r="BG274" s="51" t="s">
        <v>30</v>
      </c>
      <c r="BH274" s="51" t="s">
        <v>30</v>
      </c>
      <c r="BI274" s="51" t="s">
        <v>30</v>
      </c>
      <c r="BJ274" s="51" t="s">
        <v>30</v>
      </c>
      <c r="BK274" s="51" t="s">
        <v>30</v>
      </c>
      <c r="BL274" s="51" t="s">
        <v>30</v>
      </c>
      <c r="BM274" s="51" t="s">
        <v>30</v>
      </c>
      <c r="BN274" s="51" t="s">
        <v>30</v>
      </c>
      <c r="BO274" s="51" t="s">
        <v>30</v>
      </c>
      <c r="BP274" s="51" t="s">
        <v>30</v>
      </c>
      <c r="BQ274" s="51"/>
      <c r="BR274" s="51"/>
      <c r="BS274" s="51"/>
      <c r="BT274" s="51"/>
      <c r="BU274" s="51"/>
      <c r="BV274" s="51"/>
      <c r="BW274" s="51"/>
      <c r="BX274" s="51">
        <v>0</v>
      </c>
      <c r="BY274" s="51"/>
      <c r="BZ274" s="51"/>
      <c r="CA274" s="51"/>
      <c r="CB274" s="51"/>
      <c r="CC274" s="51"/>
      <c r="CD274" s="51"/>
      <c r="CE274" s="51"/>
      <c r="CF274" s="51"/>
      <c r="CG274" s="51"/>
      <c r="CH274" s="51"/>
      <c r="CI274" s="51"/>
      <c r="CJ274" s="51">
        <v>0</v>
      </c>
    </row>
    <row r="276" spans="1:245" ht="13" x14ac:dyDescent="0.3">
      <c r="A276" s="52">
        <v>52</v>
      </c>
      <c r="B276" s="52">
        <f t="shared" ref="B276:G276" si="154">B284</f>
        <v>1</v>
      </c>
      <c r="C276" s="52">
        <f t="shared" si="154"/>
        <v>4</v>
      </c>
      <c r="D276" s="52">
        <f t="shared" si="154"/>
        <v>274</v>
      </c>
      <c r="E276" s="52">
        <f t="shared" si="154"/>
        <v>0</v>
      </c>
      <c r="F276" s="52" t="str">
        <f t="shared" si="154"/>
        <v>Новый раздел</v>
      </c>
      <c r="G276" s="52" t="str">
        <f t="shared" si="154"/>
        <v>Устройство парковочных столбиков -42 шт.</v>
      </c>
      <c r="H276" s="52"/>
      <c r="I276" s="52"/>
      <c r="J276" s="52"/>
      <c r="K276" s="52"/>
      <c r="L276" s="52"/>
      <c r="M276" s="52"/>
      <c r="N276" s="52"/>
      <c r="O276" s="52">
        <f t="shared" ref="O276:BZ276" si="155">O284</f>
        <v>0</v>
      </c>
      <c r="P276" s="52">
        <f t="shared" si="155"/>
        <v>0</v>
      </c>
      <c r="Q276" s="52">
        <f t="shared" si="155"/>
        <v>0</v>
      </c>
      <c r="R276" s="52">
        <f t="shared" si="155"/>
        <v>0</v>
      </c>
      <c r="S276" s="52">
        <f t="shared" si="155"/>
        <v>0</v>
      </c>
      <c r="T276" s="52">
        <f t="shared" si="155"/>
        <v>0</v>
      </c>
      <c r="U276" s="52">
        <f t="shared" si="155"/>
        <v>0</v>
      </c>
      <c r="V276" s="52">
        <f t="shared" si="155"/>
        <v>0</v>
      </c>
      <c r="W276" s="52">
        <f t="shared" si="155"/>
        <v>0</v>
      </c>
      <c r="X276" s="52">
        <f t="shared" si="155"/>
        <v>0</v>
      </c>
      <c r="Y276" s="52">
        <f t="shared" si="155"/>
        <v>0</v>
      </c>
      <c r="Z276" s="52">
        <f t="shared" si="155"/>
        <v>0</v>
      </c>
      <c r="AA276" s="52">
        <f t="shared" si="155"/>
        <v>0</v>
      </c>
      <c r="AB276" s="52">
        <f t="shared" si="155"/>
        <v>0</v>
      </c>
      <c r="AC276" s="52">
        <f t="shared" si="155"/>
        <v>0</v>
      </c>
      <c r="AD276" s="52">
        <f t="shared" si="155"/>
        <v>0</v>
      </c>
      <c r="AE276" s="52">
        <f t="shared" si="155"/>
        <v>0</v>
      </c>
      <c r="AF276" s="52">
        <f t="shared" si="155"/>
        <v>0</v>
      </c>
      <c r="AG276" s="52">
        <f t="shared" si="155"/>
        <v>0</v>
      </c>
      <c r="AH276" s="52">
        <f t="shared" si="155"/>
        <v>0</v>
      </c>
      <c r="AI276" s="52">
        <f t="shared" si="155"/>
        <v>0</v>
      </c>
      <c r="AJ276" s="52">
        <f t="shared" si="155"/>
        <v>0</v>
      </c>
      <c r="AK276" s="52">
        <f t="shared" si="155"/>
        <v>0</v>
      </c>
      <c r="AL276" s="52">
        <f t="shared" si="155"/>
        <v>0</v>
      </c>
      <c r="AM276" s="52">
        <f t="shared" si="155"/>
        <v>0</v>
      </c>
      <c r="AN276" s="52">
        <f t="shared" si="155"/>
        <v>0</v>
      </c>
      <c r="AO276" s="52">
        <f t="shared" si="155"/>
        <v>0</v>
      </c>
      <c r="AP276" s="52">
        <f t="shared" si="155"/>
        <v>0</v>
      </c>
      <c r="AQ276" s="52">
        <f t="shared" si="155"/>
        <v>0</v>
      </c>
      <c r="AR276" s="52">
        <f t="shared" si="155"/>
        <v>0</v>
      </c>
      <c r="AS276" s="52">
        <f t="shared" si="155"/>
        <v>0</v>
      </c>
      <c r="AT276" s="52">
        <f t="shared" si="155"/>
        <v>0</v>
      </c>
      <c r="AU276" s="52">
        <f t="shared" si="155"/>
        <v>0</v>
      </c>
      <c r="AV276" s="52">
        <f t="shared" si="155"/>
        <v>0</v>
      </c>
      <c r="AW276" s="52">
        <f t="shared" si="155"/>
        <v>0</v>
      </c>
      <c r="AX276" s="52">
        <f t="shared" si="155"/>
        <v>0</v>
      </c>
      <c r="AY276" s="52">
        <f t="shared" si="155"/>
        <v>0</v>
      </c>
      <c r="AZ276" s="52">
        <f t="shared" si="155"/>
        <v>0</v>
      </c>
      <c r="BA276" s="52">
        <f t="shared" si="155"/>
        <v>0</v>
      </c>
      <c r="BB276" s="52">
        <f t="shared" si="155"/>
        <v>0</v>
      </c>
      <c r="BC276" s="52">
        <f t="shared" si="155"/>
        <v>0</v>
      </c>
      <c r="BD276" s="52">
        <f t="shared" si="155"/>
        <v>0</v>
      </c>
      <c r="BE276" s="52">
        <f t="shared" si="155"/>
        <v>0</v>
      </c>
      <c r="BF276" s="52">
        <f t="shared" si="155"/>
        <v>0</v>
      </c>
      <c r="BG276" s="52">
        <f t="shared" si="155"/>
        <v>0</v>
      </c>
      <c r="BH276" s="52">
        <f t="shared" si="155"/>
        <v>0</v>
      </c>
      <c r="BI276" s="52">
        <f t="shared" si="155"/>
        <v>0</v>
      </c>
      <c r="BJ276" s="52">
        <f t="shared" si="155"/>
        <v>0</v>
      </c>
      <c r="BK276" s="52">
        <f t="shared" si="155"/>
        <v>0</v>
      </c>
      <c r="BL276" s="52">
        <f t="shared" si="155"/>
        <v>0</v>
      </c>
      <c r="BM276" s="52">
        <f t="shared" si="155"/>
        <v>0</v>
      </c>
      <c r="BN276" s="52">
        <f t="shared" si="155"/>
        <v>0</v>
      </c>
      <c r="BO276" s="52">
        <f t="shared" si="155"/>
        <v>0</v>
      </c>
      <c r="BP276" s="52">
        <f t="shared" si="155"/>
        <v>0</v>
      </c>
      <c r="BQ276" s="52">
        <f t="shared" si="155"/>
        <v>0</v>
      </c>
      <c r="BR276" s="52">
        <f t="shared" si="155"/>
        <v>0</v>
      </c>
      <c r="BS276" s="52">
        <f t="shared" si="155"/>
        <v>0</v>
      </c>
      <c r="BT276" s="52">
        <f t="shared" si="155"/>
        <v>0</v>
      </c>
      <c r="BU276" s="52">
        <f t="shared" si="155"/>
        <v>0</v>
      </c>
      <c r="BV276" s="52">
        <f t="shared" si="155"/>
        <v>0</v>
      </c>
      <c r="BW276" s="52">
        <f t="shared" si="155"/>
        <v>0</v>
      </c>
      <c r="BX276" s="52">
        <f t="shared" si="155"/>
        <v>0</v>
      </c>
      <c r="BY276" s="52">
        <f t="shared" si="155"/>
        <v>0</v>
      </c>
      <c r="BZ276" s="52">
        <f t="shared" si="155"/>
        <v>0</v>
      </c>
      <c r="CA276" s="52">
        <f t="shared" ref="CA276:EL276" si="156">CA284</f>
        <v>0</v>
      </c>
      <c r="CB276" s="52">
        <f t="shared" si="156"/>
        <v>0</v>
      </c>
      <c r="CC276" s="52">
        <f t="shared" si="156"/>
        <v>0</v>
      </c>
      <c r="CD276" s="52">
        <f t="shared" si="156"/>
        <v>0</v>
      </c>
      <c r="CE276" s="52">
        <f t="shared" si="156"/>
        <v>0</v>
      </c>
      <c r="CF276" s="52">
        <f t="shared" si="156"/>
        <v>0</v>
      </c>
      <c r="CG276" s="52">
        <f t="shared" si="156"/>
        <v>0</v>
      </c>
      <c r="CH276" s="52">
        <f t="shared" si="156"/>
        <v>0</v>
      </c>
      <c r="CI276" s="52">
        <f t="shared" si="156"/>
        <v>0</v>
      </c>
      <c r="CJ276" s="52">
        <f t="shared" si="156"/>
        <v>0</v>
      </c>
      <c r="CK276" s="52">
        <f t="shared" si="156"/>
        <v>0</v>
      </c>
      <c r="CL276" s="52">
        <f t="shared" si="156"/>
        <v>0</v>
      </c>
      <c r="CM276" s="52">
        <f t="shared" si="156"/>
        <v>0</v>
      </c>
      <c r="CN276" s="52">
        <f t="shared" si="156"/>
        <v>0</v>
      </c>
      <c r="CO276" s="52">
        <f t="shared" si="156"/>
        <v>0</v>
      </c>
      <c r="CP276" s="52">
        <f t="shared" si="156"/>
        <v>0</v>
      </c>
      <c r="CQ276" s="52">
        <f t="shared" si="156"/>
        <v>0</v>
      </c>
      <c r="CR276" s="52">
        <f t="shared" si="156"/>
        <v>0</v>
      </c>
      <c r="CS276" s="52">
        <f t="shared" si="156"/>
        <v>0</v>
      </c>
      <c r="CT276" s="52">
        <f t="shared" si="156"/>
        <v>0</v>
      </c>
      <c r="CU276" s="52">
        <f t="shared" si="156"/>
        <v>0</v>
      </c>
      <c r="CV276" s="52">
        <f t="shared" si="156"/>
        <v>0</v>
      </c>
      <c r="CW276" s="52">
        <f t="shared" si="156"/>
        <v>0</v>
      </c>
      <c r="CX276" s="52">
        <f t="shared" si="156"/>
        <v>0</v>
      </c>
      <c r="CY276" s="52">
        <f t="shared" si="156"/>
        <v>0</v>
      </c>
      <c r="CZ276" s="52">
        <f t="shared" si="156"/>
        <v>0</v>
      </c>
      <c r="DA276" s="52">
        <f t="shared" si="156"/>
        <v>0</v>
      </c>
      <c r="DB276" s="52">
        <f t="shared" si="156"/>
        <v>0</v>
      </c>
      <c r="DC276" s="52">
        <f t="shared" si="156"/>
        <v>0</v>
      </c>
      <c r="DD276" s="52">
        <f t="shared" si="156"/>
        <v>0</v>
      </c>
      <c r="DE276" s="52">
        <f t="shared" si="156"/>
        <v>0</v>
      </c>
      <c r="DF276" s="52">
        <f t="shared" si="156"/>
        <v>0</v>
      </c>
      <c r="DG276" s="53">
        <f t="shared" si="156"/>
        <v>0</v>
      </c>
      <c r="DH276" s="53">
        <f t="shared" si="156"/>
        <v>0</v>
      </c>
      <c r="DI276" s="53">
        <f t="shared" si="156"/>
        <v>0</v>
      </c>
      <c r="DJ276" s="53">
        <f t="shared" si="156"/>
        <v>0</v>
      </c>
      <c r="DK276" s="53">
        <f t="shared" si="156"/>
        <v>0</v>
      </c>
      <c r="DL276" s="53">
        <f t="shared" si="156"/>
        <v>0</v>
      </c>
      <c r="DM276" s="53">
        <f t="shared" si="156"/>
        <v>0</v>
      </c>
      <c r="DN276" s="53">
        <f t="shared" si="156"/>
        <v>0</v>
      </c>
      <c r="DO276" s="53">
        <f t="shared" si="156"/>
        <v>0</v>
      </c>
      <c r="DP276" s="53">
        <f t="shared" si="156"/>
        <v>0</v>
      </c>
      <c r="DQ276" s="53">
        <f t="shared" si="156"/>
        <v>0</v>
      </c>
      <c r="DR276" s="53">
        <f t="shared" si="156"/>
        <v>0</v>
      </c>
      <c r="DS276" s="53">
        <f t="shared" si="156"/>
        <v>0</v>
      </c>
      <c r="DT276" s="53">
        <f t="shared" si="156"/>
        <v>0</v>
      </c>
      <c r="DU276" s="53">
        <f t="shared" si="156"/>
        <v>0</v>
      </c>
      <c r="DV276" s="53">
        <f t="shared" si="156"/>
        <v>0</v>
      </c>
      <c r="DW276" s="53">
        <f t="shared" si="156"/>
        <v>0</v>
      </c>
      <c r="DX276" s="53">
        <f t="shared" si="156"/>
        <v>0</v>
      </c>
      <c r="DY276" s="53">
        <f t="shared" si="156"/>
        <v>0</v>
      </c>
      <c r="DZ276" s="53">
        <f t="shared" si="156"/>
        <v>0</v>
      </c>
      <c r="EA276" s="53">
        <f t="shared" si="156"/>
        <v>0</v>
      </c>
      <c r="EB276" s="53">
        <f t="shared" si="156"/>
        <v>0</v>
      </c>
      <c r="EC276" s="53">
        <f t="shared" si="156"/>
        <v>0</v>
      </c>
      <c r="ED276" s="53">
        <f t="shared" si="156"/>
        <v>0</v>
      </c>
      <c r="EE276" s="53">
        <f t="shared" si="156"/>
        <v>0</v>
      </c>
      <c r="EF276" s="53">
        <f t="shared" si="156"/>
        <v>0</v>
      </c>
      <c r="EG276" s="53">
        <f t="shared" si="156"/>
        <v>0</v>
      </c>
      <c r="EH276" s="53">
        <f t="shared" si="156"/>
        <v>0</v>
      </c>
      <c r="EI276" s="53">
        <f t="shared" si="156"/>
        <v>0</v>
      </c>
      <c r="EJ276" s="53">
        <f t="shared" si="156"/>
        <v>0</v>
      </c>
      <c r="EK276" s="53">
        <f t="shared" si="156"/>
        <v>0</v>
      </c>
      <c r="EL276" s="53">
        <f t="shared" si="156"/>
        <v>0</v>
      </c>
      <c r="EM276" s="53">
        <f t="shared" ref="EM276:GX276" si="157">EM284</f>
        <v>0</v>
      </c>
      <c r="EN276" s="53">
        <f t="shared" si="157"/>
        <v>0</v>
      </c>
      <c r="EO276" s="53">
        <f t="shared" si="157"/>
        <v>0</v>
      </c>
      <c r="EP276" s="53">
        <f t="shared" si="157"/>
        <v>0</v>
      </c>
      <c r="EQ276" s="53">
        <f t="shared" si="157"/>
        <v>0</v>
      </c>
      <c r="ER276" s="53">
        <f t="shared" si="157"/>
        <v>0</v>
      </c>
      <c r="ES276" s="53">
        <f t="shared" si="157"/>
        <v>0</v>
      </c>
      <c r="ET276" s="53">
        <f t="shared" si="157"/>
        <v>0</v>
      </c>
      <c r="EU276" s="53">
        <f t="shared" si="157"/>
        <v>0</v>
      </c>
      <c r="EV276" s="53">
        <f t="shared" si="157"/>
        <v>0</v>
      </c>
      <c r="EW276" s="53">
        <f t="shared" si="157"/>
        <v>0</v>
      </c>
      <c r="EX276" s="53">
        <f t="shared" si="157"/>
        <v>0</v>
      </c>
      <c r="EY276" s="53">
        <f t="shared" si="157"/>
        <v>0</v>
      </c>
      <c r="EZ276" s="53">
        <f t="shared" si="157"/>
        <v>0</v>
      </c>
      <c r="FA276" s="53">
        <f t="shared" si="157"/>
        <v>0</v>
      </c>
      <c r="FB276" s="53">
        <f t="shared" si="157"/>
        <v>0</v>
      </c>
      <c r="FC276" s="53">
        <f t="shared" si="157"/>
        <v>0</v>
      </c>
      <c r="FD276" s="53">
        <f t="shared" si="157"/>
        <v>0</v>
      </c>
      <c r="FE276" s="53">
        <f t="shared" si="157"/>
        <v>0</v>
      </c>
      <c r="FF276" s="53">
        <f t="shared" si="157"/>
        <v>0</v>
      </c>
      <c r="FG276" s="53">
        <f t="shared" si="157"/>
        <v>0</v>
      </c>
      <c r="FH276" s="53">
        <f t="shared" si="157"/>
        <v>0</v>
      </c>
      <c r="FI276" s="53">
        <f t="shared" si="157"/>
        <v>0</v>
      </c>
      <c r="FJ276" s="53">
        <f t="shared" si="157"/>
        <v>0</v>
      </c>
      <c r="FK276" s="53">
        <f t="shared" si="157"/>
        <v>0</v>
      </c>
      <c r="FL276" s="53">
        <f t="shared" si="157"/>
        <v>0</v>
      </c>
      <c r="FM276" s="53">
        <f t="shared" si="157"/>
        <v>0</v>
      </c>
      <c r="FN276" s="53">
        <f t="shared" si="157"/>
        <v>0</v>
      </c>
      <c r="FO276" s="53">
        <f t="shared" si="157"/>
        <v>0</v>
      </c>
      <c r="FP276" s="53">
        <f t="shared" si="157"/>
        <v>0</v>
      </c>
      <c r="FQ276" s="53">
        <f t="shared" si="157"/>
        <v>0</v>
      </c>
      <c r="FR276" s="53">
        <f t="shared" si="157"/>
        <v>0</v>
      </c>
      <c r="FS276" s="53">
        <f t="shared" si="157"/>
        <v>0</v>
      </c>
      <c r="FT276" s="53">
        <f t="shared" si="157"/>
        <v>0</v>
      </c>
      <c r="FU276" s="53">
        <f t="shared" si="157"/>
        <v>0</v>
      </c>
      <c r="FV276" s="53">
        <f t="shared" si="157"/>
        <v>0</v>
      </c>
      <c r="FW276" s="53">
        <f t="shared" si="157"/>
        <v>0</v>
      </c>
      <c r="FX276" s="53">
        <f t="shared" si="157"/>
        <v>0</v>
      </c>
      <c r="FY276" s="53">
        <f t="shared" si="157"/>
        <v>0</v>
      </c>
      <c r="FZ276" s="53">
        <f t="shared" si="157"/>
        <v>0</v>
      </c>
      <c r="GA276" s="53">
        <f t="shared" si="157"/>
        <v>0</v>
      </c>
      <c r="GB276" s="53">
        <f t="shared" si="157"/>
        <v>0</v>
      </c>
      <c r="GC276" s="53">
        <f t="shared" si="157"/>
        <v>0</v>
      </c>
      <c r="GD276" s="53">
        <f t="shared" si="157"/>
        <v>0</v>
      </c>
      <c r="GE276" s="53">
        <f t="shared" si="157"/>
        <v>0</v>
      </c>
      <c r="GF276" s="53">
        <f t="shared" si="157"/>
        <v>0</v>
      </c>
      <c r="GG276" s="53">
        <f t="shared" si="157"/>
        <v>0</v>
      </c>
      <c r="GH276" s="53">
        <f t="shared" si="157"/>
        <v>0</v>
      </c>
      <c r="GI276" s="53">
        <f t="shared" si="157"/>
        <v>0</v>
      </c>
      <c r="GJ276" s="53">
        <f t="shared" si="157"/>
        <v>0</v>
      </c>
      <c r="GK276" s="53">
        <f t="shared" si="157"/>
        <v>0</v>
      </c>
      <c r="GL276" s="53">
        <f t="shared" si="157"/>
        <v>0</v>
      </c>
      <c r="GM276" s="53">
        <f t="shared" si="157"/>
        <v>0</v>
      </c>
      <c r="GN276" s="53">
        <f t="shared" si="157"/>
        <v>0</v>
      </c>
      <c r="GO276" s="53">
        <f t="shared" si="157"/>
        <v>0</v>
      </c>
      <c r="GP276" s="53">
        <f t="shared" si="157"/>
        <v>0</v>
      </c>
      <c r="GQ276" s="53">
        <f t="shared" si="157"/>
        <v>0</v>
      </c>
      <c r="GR276" s="53">
        <f t="shared" si="157"/>
        <v>0</v>
      </c>
      <c r="GS276" s="53">
        <f t="shared" si="157"/>
        <v>0</v>
      </c>
      <c r="GT276" s="53">
        <f t="shared" si="157"/>
        <v>0</v>
      </c>
      <c r="GU276" s="53">
        <f t="shared" si="157"/>
        <v>0</v>
      </c>
      <c r="GV276" s="53">
        <f t="shared" si="157"/>
        <v>0</v>
      </c>
      <c r="GW276" s="53">
        <f t="shared" si="157"/>
        <v>0</v>
      </c>
      <c r="GX276" s="53">
        <f t="shared" si="157"/>
        <v>0</v>
      </c>
    </row>
    <row r="278" spans="1:245" x14ac:dyDescent="0.25">
      <c r="A278" s="2">
        <v>17</v>
      </c>
      <c r="B278" s="2">
        <v>1</v>
      </c>
      <c r="C278" s="2">
        <f>ROW('SmtRes (3)'!A110)</f>
        <v>110</v>
      </c>
      <c r="D278" s="2">
        <f>ROW('EtalonRes (3)'!A106)</f>
        <v>106</v>
      </c>
      <c r="E278" s="2" t="s">
        <v>450</v>
      </c>
      <c r="F278" s="2" t="s">
        <v>451</v>
      </c>
      <c r="G278" s="2" t="s">
        <v>452</v>
      </c>
      <c r="H278" s="2" t="s">
        <v>405</v>
      </c>
      <c r="I278" s="2">
        <v>0</v>
      </c>
      <c r="J278" s="2">
        <v>0</v>
      </c>
      <c r="K278" s="2">
        <f>ROUND(42/100,9)</f>
        <v>0.42</v>
      </c>
      <c r="O278" s="2">
        <f>ROUND(CP278,2)</f>
        <v>0</v>
      </c>
      <c r="P278" s="2">
        <f>ROUND(CQ278*I278,2)</f>
        <v>0</v>
      </c>
      <c r="Q278" s="2">
        <f>ROUND(CR278*I278,2)</f>
        <v>0</v>
      </c>
      <c r="R278" s="2">
        <f>ROUND(CS278*I278,2)</f>
        <v>0</v>
      </c>
      <c r="S278" s="2">
        <f>ROUND(CT278*I278,2)</f>
        <v>0</v>
      </c>
      <c r="T278" s="2">
        <f>ROUND(CU278*I278,2)</f>
        <v>0</v>
      </c>
      <c r="U278" s="2">
        <f>CV278*I278</f>
        <v>0</v>
      </c>
      <c r="V278" s="2">
        <f>CW278*I278</f>
        <v>0</v>
      </c>
      <c r="W278" s="2">
        <f>ROUND(CX278*I278,2)</f>
        <v>0</v>
      </c>
      <c r="X278" s="2">
        <f t="shared" ref="X278:Y282" si="158">ROUND(CY278,2)</f>
        <v>0</v>
      </c>
      <c r="Y278" s="2">
        <f t="shared" si="158"/>
        <v>0</v>
      </c>
      <c r="AA278" s="2">
        <v>52286166</v>
      </c>
      <c r="AB278" s="2">
        <f>ROUND((AC278+AD278+AF278),6)</f>
        <v>12424.49</v>
      </c>
      <c r="AC278" s="2">
        <f>ROUND((ES278),6)</f>
        <v>10593.5</v>
      </c>
      <c r="AD278" s="2">
        <f>ROUND((((ET278)-(EU278))+AE278),6)</f>
        <v>26.69</v>
      </c>
      <c r="AE278" s="2">
        <f t="shared" ref="AE278:AF282" si="159">ROUND((EU278),6)</f>
        <v>0.09</v>
      </c>
      <c r="AF278" s="2">
        <f t="shared" si="159"/>
        <v>1804.3</v>
      </c>
      <c r="AG278" s="2">
        <f>ROUND((AP278),6)</f>
        <v>0</v>
      </c>
      <c r="AH278" s="2">
        <f t="shared" ref="AH278:AI282" si="160">(EW278)</f>
        <v>8.5</v>
      </c>
      <c r="AI278" s="2">
        <f t="shared" si="160"/>
        <v>0</v>
      </c>
      <c r="AJ278" s="2">
        <f>(AS278)</f>
        <v>0</v>
      </c>
      <c r="AK278" s="2">
        <v>12424.49</v>
      </c>
      <c r="AL278" s="2">
        <v>10593.5</v>
      </c>
      <c r="AM278" s="2">
        <v>26.69</v>
      </c>
      <c r="AN278" s="2">
        <v>0.09</v>
      </c>
      <c r="AO278" s="2">
        <v>1804.3</v>
      </c>
      <c r="AP278" s="2">
        <v>0</v>
      </c>
      <c r="AQ278" s="2">
        <v>8.5</v>
      </c>
      <c r="AR278" s="2">
        <v>0</v>
      </c>
      <c r="AS278" s="2">
        <v>0</v>
      </c>
      <c r="AT278" s="2">
        <v>70</v>
      </c>
      <c r="AU278" s="2">
        <v>10</v>
      </c>
      <c r="AV278" s="2">
        <v>1</v>
      </c>
      <c r="AW278" s="2">
        <v>1</v>
      </c>
      <c r="AZ278" s="2">
        <v>1</v>
      </c>
      <c r="BA278" s="2">
        <v>1</v>
      </c>
      <c r="BB278" s="2">
        <v>1</v>
      </c>
      <c r="BC278" s="2">
        <v>1</v>
      </c>
      <c r="BD278" s="2" t="s">
        <v>30</v>
      </c>
      <c r="BE278" s="2" t="s">
        <v>30</v>
      </c>
      <c r="BF278" s="2" t="s">
        <v>30</v>
      </c>
      <c r="BG278" s="2" t="s">
        <v>30</v>
      </c>
      <c r="BH278" s="2">
        <v>0</v>
      </c>
      <c r="BI278" s="2">
        <v>4</v>
      </c>
      <c r="BJ278" s="2" t="s">
        <v>453</v>
      </c>
      <c r="BM278" s="2">
        <v>0</v>
      </c>
      <c r="BN278" s="2">
        <v>0</v>
      </c>
      <c r="BO278" s="2" t="s">
        <v>30</v>
      </c>
      <c r="BP278" s="2">
        <v>0</v>
      </c>
      <c r="BQ278" s="2">
        <v>1</v>
      </c>
      <c r="BR278" s="2">
        <v>0</v>
      </c>
      <c r="BS278" s="2">
        <v>1</v>
      </c>
      <c r="BT278" s="2">
        <v>1</v>
      </c>
      <c r="BU278" s="2">
        <v>1</v>
      </c>
      <c r="BV278" s="2">
        <v>1</v>
      </c>
      <c r="BW278" s="2">
        <v>1</v>
      </c>
      <c r="BX278" s="2">
        <v>1</v>
      </c>
      <c r="BY278" s="2" t="s">
        <v>30</v>
      </c>
      <c r="BZ278" s="2">
        <v>70</v>
      </c>
      <c r="CA278" s="2">
        <v>10</v>
      </c>
      <c r="CB278" s="2" t="s">
        <v>30</v>
      </c>
      <c r="CE278" s="2">
        <v>0</v>
      </c>
      <c r="CF278" s="2">
        <v>0</v>
      </c>
      <c r="CG278" s="2">
        <v>0</v>
      </c>
      <c r="CM278" s="2">
        <v>0</v>
      </c>
      <c r="CN278" s="2" t="s">
        <v>30</v>
      </c>
      <c r="CO278" s="2">
        <v>0</v>
      </c>
      <c r="CP278" s="2">
        <f>(P278+Q278+S278)</f>
        <v>0</v>
      </c>
      <c r="CQ278" s="2">
        <f>(AC278*BC278*AW278)</f>
        <v>10593.5</v>
      </c>
      <c r="CR278" s="2">
        <f>((((ET278)*BB278-(EU278)*BS278)+AE278*BS278)*AV278)</f>
        <v>26.69</v>
      </c>
      <c r="CS278" s="2">
        <f>(AE278*BS278*AV278)</f>
        <v>0.09</v>
      </c>
      <c r="CT278" s="2">
        <f>(AF278*BA278*AV278)</f>
        <v>1804.3</v>
      </c>
      <c r="CU278" s="2">
        <f>AG278</f>
        <v>0</v>
      </c>
      <c r="CV278" s="2">
        <f>(AH278*AV278)</f>
        <v>8.5</v>
      </c>
      <c r="CW278" s="2">
        <f t="shared" ref="CW278:CX282" si="161">AI278</f>
        <v>0</v>
      </c>
      <c r="CX278" s="2">
        <f t="shared" si="161"/>
        <v>0</v>
      </c>
      <c r="CY278" s="2">
        <f>((S278*BZ278)/100)</f>
        <v>0</v>
      </c>
      <c r="CZ278" s="2">
        <f>((S278*CA278)/100)</f>
        <v>0</v>
      </c>
      <c r="DC278" s="2" t="s">
        <v>30</v>
      </c>
      <c r="DD278" s="2" t="s">
        <v>30</v>
      </c>
      <c r="DE278" s="2" t="s">
        <v>30</v>
      </c>
      <c r="DF278" s="2" t="s">
        <v>30</v>
      </c>
      <c r="DG278" s="2" t="s">
        <v>30</v>
      </c>
      <c r="DH278" s="2" t="s">
        <v>30</v>
      </c>
      <c r="DI278" s="2" t="s">
        <v>30</v>
      </c>
      <c r="DJ278" s="2" t="s">
        <v>30</v>
      </c>
      <c r="DK278" s="2" t="s">
        <v>30</v>
      </c>
      <c r="DL278" s="2" t="s">
        <v>30</v>
      </c>
      <c r="DM278" s="2" t="s">
        <v>30</v>
      </c>
      <c r="DN278" s="2">
        <v>0</v>
      </c>
      <c r="DO278" s="2">
        <v>0</v>
      </c>
      <c r="DP278" s="2">
        <v>1</v>
      </c>
      <c r="DQ278" s="2">
        <v>1</v>
      </c>
      <c r="DU278" s="2">
        <v>1013</v>
      </c>
      <c r="DV278" s="2" t="s">
        <v>405</v>
      </c>
      <c r="DW278" s="2" t="s">
        <v>405</v>
      </c>
      <c r="DX278" s="2">
        <v>1</v>
      </c>
      <c r="DZ278" s="2" t="s">
        <v>30</v>
      </c>
      <c r="EA278" s="2" t="s">
        <v>30</v>
      </c>
      <c r="EB278" s="2" t="s">
        <v>30</v>
      </c>
      <c r="EC278" s="2" t="s">
        <v>30</v>
      </c>
      <c r="EE278" s="2">
        <v>49661954</v>
      </c>
      <c r="EF278" s="2">
        <v>1</v>
      </c>
      <c r="EG278" s="2" t="s">
        <v>180</v>
      </c>
      <c r="EH278" s="2">
        <v>0</v>
      </c>
      <c r="EI278" s="2" t="s">
        <v>30</v>
      </c>
      <c r="EJ278" s="2">
        <v>4</v>
      </c>
      <c r="EK278" s="2">
        <v>0</v>
      </c>
      <c r="EL278" s="2" t="s">
        <v>181</v>
      </c>
      <c r="EM278" s="2" t="s">
        <v>182</v>
      </c>
      <c r="EO278" s="2" t="s">
        <v>30</v>
      </c>
      <c r="EQ278" s="2">
        <v>0</v>
      </c>
      <c r="ER278" s="2">
        <v>12424.49</v>
      </c>
      <c r="ES278" s="2">
        <v>10593.5</v>
      </c>
      <c r="ET278" s="2">
        <v>26.69</v>
      </c>
      <c r="EU278" s="2">
        <v>0.09</v>
      </c>
      <c r="EV278" s="2">
        <v>1804.3</v>
      </c>
      <c r="EW278" s="2">
        <v>8.5</v>
      </c>
      <c r="EX278" s="2">
        <v>0</v>
      </c>
      <c r="EY278" s="2">
        <v>0</v>
      </c>
      <c r="FQ278" s="2">
        <v>0</v>
      </c>
      <c r="FR278" s="2">
        <f>ROUND(IF(AND(BH278=3,BI278=3),P278,0),2)</f>
        <v>0</v>
      </c>
      <c r="FS278" s="2">
        <v>0</v>
      </c>
      <c r="FX278" s="2">
        <v>70</v>
      </c>
      <c r="FY278" s="2">
        <v>10</v>
      </c>
      <c r="GA278" s="2" t="s">
        <v>30</v>
      </c>
      <c r="GD278" s="2">
        <v>0</v>
      </c>
      <c r="GF278" s="2">
        <v>-9670174</v>
      </c>
      <c r="GG278" s="2">
        <v>2</v>
      </c>
      <c r="GH278" s="2">
        <v>1</v>
      </c>
      <c r="GI278" s="2">
        <v>-2</v>
      </c>
      <c r="GJ278" s="2">
        <v>0</v>
      </c>
      <c r="GK278" s="2">
        <f>ROUND(R278*(R12)/100,2)</f>
        <v>0</v>
      </c>
      <c r="GL278" s="2">
        <f>ROUND(IF(AND(BH278=3,BI278=3,FS278&lt;&gt;0),P278,0),2)</f>
        <v>0</v>
      </c>
      <c r="GM278" s="2">
        <f>ROUND(O278+X278+Y278+GK278,2)+GX278</f>
        <v>0</v>
      </c>
      <c r="GN278" s="2">
        <f>IF(OR(BI278=0,BI278=1),ROUND(O278+X278+Y278+GK278,2),0)</f>
        <v>0</v>
      </c>
      <c r="GO278" s="2">
        <f>IF(BI278=2,ROUND(O278+X278+Y278+GK278,2),0)</f>
        <v>0</v>
      </c>
      <c r="GP278" s="2">
        <f>IF(BI278=4,ROUND(O278+X278+Y278+GK278,2)+GX278,0)</f>
        <v>0</v>
      </c>
      <c r="GR278" s="2">
        <v>0</v>
      </c>
      <c r="GS278" s="2">
        <v>0</v>
      </c>
      <c r="GT278" s="2">
        <v>0</v>
      </c>
      <c r="GU278" s="2" t="s">
        <v>30</v>
      </c>
      <c r="GV278" s="2">
        <f>ROUND((GT278),6)</f>
        <v>0</v>
      </c>
      <c r="GW278" s="2">
        <v>1</v>
      </c>
      <c r="GX278" s="2">
        <f>ROUND(HC278*I278,2)</f>
        <v>0</v>
      </c>
      <c r="HA278" s="2">
        <v>0</v>
      </c>
      <c r="HB278" s="2">
        <v>0</v>
      </c>
      <c r="HC278" s="2">
        <f>GV278*GW278</f>
        <v>0</v>
      </c>
      <c r="HE278" s="2" t="s">
        <v>30</v>
      </c>
      <c r="HF278" s="2" t="s">
        <v>30</v>
      </c>
      <c r="HM278" s="2" t="s">
        <v>30</v>
      </c>
      <c r="HN278" s="2" t="s">
        <v>30</v>
      </c>
      <c r="HO278" s="2" t="s">
        <v>30</v>
      </c>
      <c r="HP278" s="2" t="s">
        <v>30</v>
      </c>
      <c r="HQ278" s="2" t="s">
        <v>30</v>
      </c>
      <c r="IK278" s="2">
        <v>0</v>
      </c>
    </row>
    <row r="279" spans="1:245" x14ac:dyDescent="0.25">
      <c r="A279" s="2">
        <v>17</v>
      </c>
      <c r="B279" s="2">
        <v>1</v>
      </c>
      <c r="C279" s="2">
        <f>ROW('SmtRes (3)'!A114)</f>
        <v>114</v>
      </c>
      <c r="D279" s="2">
        <f>ROW('EtalonRes (3)'!A109)</f>
        <v>109</v>
      </c>
      <c r="E279" s="2" t="s">
        <v>454</v>
      </c>
      <c r="F279" s="2" t="s">
        <v>455</v>
      </c>
      <c r="G279" s="2" t="s">
        <v>456</v>
      </c>
      <c r="H279" s="2" t="s">
        <v>66</v>
      </c>
      <c r="I279" s="2">
        <v>0</v>
      </c>
      <c r="J279" s="2">
        <v>0</v>
      </c>
      <c r="K279" s="2">
        <f>ROUND(42/100,9)</f>
        <v>0.42</v>
      </c>
      <c r="O279" s="2">
        <f>ROUND(CP279,2)</f>
        <v>0</v>
      </c>
      <c r="P279" s="2">
        <f>ROUND(CQ279*I279,2)</f>
        <v>0</v>
      </c>
      <c r="Q279" s="2">
        <f>ROUND(CR279*I279,2)</f>
        <v>0</v>
      </c>
      <c r="R279" s="2">
        <f>ROUND(CS279*I279,2)</f>
        <v>0</v>
      </c>
      <c r="S279" s="2">
        <f>ROUND(CT279*I279,2)</f>
        <v>0</v>
      </c>
      <c r="T279" s="2">
        <f>ROUND(CU279*I279,2)</f>
        <v>0</v>
      </c>
      <c r="U279" s="2">
        <f>CV279*I279</f>
        <v>0</v>
      </c>
      <c r="V279" s="2">
        <f>CW279*I279</f>
        <v>0</v>
      </c>
      <c r="W279" s="2">
        <f>ROUND(CX279*I279,2)</f>
        <v>0</v>
      </c>
      <c r="X279" s="2">
        <f t="shared" si="158"/>
        <v>0</v>
      </c>
      <c r="Y279" s="2">
        <f t="shared" si="158"/>
        <v>0</v>
      </c>
      <c r="AA279" s="2">
        <v>52286166</v>
      </c>
      <c r="AB279" s="2">
        <f>ROUND((AC279+AD279+AF279),6)</f>
        <v>154094.88</v>
      </c>
      <c r="AC279" s="2">
        <f>ROUND((ES279),6)</f>
        <v>149515.95000000001</v>
      </c>
      <c r="AD279" s="2">
        <f>ROUND((((ET279)-(EU279))+AE279),6)</f>
        <v>0</v>
      </c>
      <c r="AE279" s="2">
        <f t="shared" si="159"/>
        <v>0</v>
      </c>
      <c r="AF279" s="2">
        <f t="shared" si="159"/>
        <v>4578.93</v>
      </c>
      <c r="AG279" s="2">
        <f>ROUND((AP279),6)</f>
        <v>0</v>
      </c>
      <c r="AH279" s="2">
        <f t="shared" si="160"/>
        <v>15.41</v>
      </c>
      <c r="AI279" s="2">
        <f t="shared" si="160"/>
        <v>0</v>
      </c>
      <c r="AJ279" s="2">
        <f>(AS279)</f>
        <v>0</v>
      </c>
      <c r="AK279" s="2">
        <v>154094.88</v>
      </c>
      <c r="AL279" s="2">
        <v>149515.95000000001</v>
      </c>
      <c r="AM279" s="2">
        <v>0</v>
      </c>
      <c r="AN279" s="2">
        <v>0</v>
      </c>
      <c r="AO279" s="2">
        <v>4578.93</v>
      </c>
      <c r="AP279" s="2">
        <v>0</v>
      </c>
      <c r="AQ279" s="2">
        <v>15.41</v>
      </c>
      <c r="AR279" s="2">
        <v>0</v>
      </c>
      <c r="AS279" s="2">
        <v>0</v>
      </c>
      <c r="AT279" s="2">
        <v>70</v>
      </c>
      <c r="AU279" s="2">
        <v>10</v>
      </c>
      <c r="AV279" s="2">
        <v>1</v>
      </c>
      <c r="AW279" s="2">
        <v>1</v>
      </c>
      <c r="AZ279" s="2">
        <v>1</v>
      </c>
      <c r="BA279" s="2">
        <v>1</v>
      </c>
      <c r="BB279" s="2">
        <v>1</v>
      </c>
      <c r="BC279" s="2">
        <v>1</v>
      </c>
      <c r="BD279" s="2" t="s">
        <v>30</v>
      </c>
      <c r="BE279" s="2" t="s">
        <v>30</v>
      </c>
      <c r="BF279" s="2" t="s">
        <v>30</v>
      </c>
      <c r="BG279" s="2" t="s">
        <v>30</v>
      </c>
      <c r="BH279" s="2">
        <v>0</v>
      </c>
      <c r="BI279" s="2">
        <v>4</v>
      </c>
      <c r="BJ279" s="2" t="s">
        <v>457</v>
      </c>
      <c r="BM279" s="2">
        <v>0</v>
      </c>
      <c r="BN279" s="2">
        <v>0</v>
      </c>
      <c r="BO279" s="2" t="s">
        <v>30</v>
      </c>
      <c r="BP279" s="2">
        <v>0</v>
      </c>
      <c r="BQ279" s="2">
        <v>1</v>
      </c>
      <c r="BR279" s="2">
        <v>0</v>
      </c>
      <c r="BS279" s="2">
        <v>1</v>
      </c>
      <c r="BT279" s="2">
        <v>1</v>
      </c>
      <c r="BU279" s="2">
        <v>1</v>
      </c>
      <c r="BV279" s="2">
        <v>1</v>
      </c>
      <c r="BW279" s="2">
        <v>1</v>
      </c>
      <c r="BX279" s="2">
        <v>1</v>
      </c>
      <c r="BY279" s="2" t="s">
        <v>30</v>
      </c>
      <c r="BZ279" s="2">
        <v>70</v>
      </c>
      <c r="CA279" s="2">
        <v>10</v>
      </c>
      <c r="CB279" s="2" t="s">
        <v>30</v>
      </c>
      <c r="CE279" s="2">
        <v>0</v>
      </c>
      <c r="CF279" s="2">
        <v>0</v>
      </c>
      <c r="CG279" s="2">
        <v>0</v>
      </c>
      <c r="CM279" s="2">
        <v>0</v>
      </c>
      <c r="CN279" s="2" t="s">
        <v>30</v>
      </c>
      <c r="CO279" s="2">
        <v>0</v>
      </c>
      <c r="CP279" s="2">
        <f>(P279+Q279+S279)</f>
        <v>0</v>
      </c>
      <c r="CQ279" s="2">
        <f>(AC279*BC279*AW279)</f>
        <v>149515.95000000001</v>
      </c>
      <c r="CR279" s="2">
        <f>((((ET279)*BB279-(EU279)*BS279)+AE279*BS279)*AV279)</f>
        <v>0</v>
      </c>
      <c r="CS279" s="2">
        <f>(AE279*BS279*AV279)</f>
        <v>0</v>
      </c>
      <c r="CT279" s="2">
        <f>(AF279*BA279*AV279)</f>
        <v>4578.93</v>
      </c>
      <c r="CU279" s="2">
        <f>AG279</f>
        <v>0</v>
      </c>
      <c r="CV279" s="2">
        <f>(AH279*AV279)</f>
        <v>15.41</v>
      </c>
      <c r="CW279" s="2">
        <f t="shared" si="161"/>
        <v>0</v>
      </c>
      <c r="CX279" s="2">
        <f t="shared" si="161"/>
        <v>0</v>
      </c>
      <c r="CY279" s="2">
        <f>((S279*BZ279)/100)</f>
        <v>0</v>
      </c>
      <c r="CZ279" s="2">
        <f>((S279*CA279)/100)</f>
        <v>0</v>
      </c>
      <c r="DC279" s="2" t="s">
        <v>30</v>
      </c>
      <c r="DD279" s="2" t="s">
        <v>30</v>
      </c>
      <c r="DE279" s="2" t="s">
        <v>30</v>
      </c>
      <c r="DF279" s="2" t="s">
        <v>30</v>
      </c>
      <c r="DG279" s="2" t="s">
        <v>30</v>
      </c>
      <c r="DH279" s="2" t="s">
        <v>30</v>
      </c>
      <c r="DI279" s="2" t="s">
        <v>30</v>
      </c>
      <c r="DJ279" s="2" t="s">
        <v>30</v>
      </c>
      <c r="DK279" s="2" t="s">
        <v>30</v>
      </c>
      <c r="DL279" s="2" t="s">
        <v>30</v>
      </c>
      <c r="DM279" s="2" t="s">
        <v>30</v>
      </c>
      <c r="DN279" s="2">
        <v>0</v>
      </c>
      <c r="DO279" s="2">
        <v>0</v>
      </c>
      <c r="DP279" s="2">
        <v>1</v>
      </c>
      <c r="DQ279" s="2">
        <v>1</v>
      </c>
      <c r="DU279" s="2">
        <v>1010</v>
      </c>
      <c r="DV279" s="2" t="s">
        <v>66</v>
      </c>
      <c r="DW279" s="2" t="s">
        <v>66</v>
      </c>
      <c r="DX279" s="2">
        <v>100</v>
      </c>
      <c r="DZ279" s="2" t="s">
        <v>30</v>
      </c>
      <c r="EA279" s="2" t="s">
        <v>30</v>
      </c>
      <c r="EB279" s="2" t="s">
        <v>30</v>
      </c>
      <c r="EC279" s="2" t="s">
        <v>30</v>
      </c>
      <c r="EE279" s="2">
        <v>49661954</v>
      </c>
      <c r="EF279" s="2">
        <v>1</v>
      </c>
      <c r="EG279" s="2" t="s">
        <v>180</v>
      </c>
      <c r="EH279" s="2">
        <v>0</v>
      </c>
      <c r="EI279" s="2" t="s">
        <v>30</v>
      </c>
      <c r="EJ279" s="2">
        <v>4</v>
      </c>
      <c r="EK279" s="2">
        <v>0</v>
      </c>
      <c r="EL279" s="2" t="s">
        <v>181</v>
      </c>
      <c r="EM279" s="2" t="s">
        <v>182</v>
      </c>
      <c r="EO279" s="2" t="s">
        <v>30</v>
      </c>
      <c r="EQ279" s="2">
        <v>0</v>
      </c>
      <c r="ER279" s="2">
        <v>154094.88</v>
      </c>
      <c r="ES279" s="2">
        <v>149515.95000000001</v>
      </c>
      <c r="ET279" s="2">
        <v>0</v>
      </c>
      <c r="EU279" s="2">
        <v>0</v>
      </c>
      <c r="EV279" s="2">
        <v>4578.93</v>
      </c>
      <c r="EW279" s="2">
        <v>15.41</v>
      </c>
      <c r="EX279" s="2">
        <v>0</v>
      </c>
      <c r="EY279" s="2">
        <v>0</v>
      </c>
      <c r="FQ279" s="2">
        <v>0</v>
      </c>
      <c r="FR279" s="2">
        <f>ROUND(IF(AND(BH279=3,BI279=3),P279,0),2)</f>
        <v>0</v>
      </c>
      <c r="FS279" s="2">
        <v>0</v>
      </c>
      <c r="FX279" s="2">
        <v>70</v>
      </c>
      <c r="FY279" s="2">
        <v>10</v>
      </c>
      <c r="GA279" s="2" t="s">
        <v>30</v>
      </c>
      <c r="GD279" s="2">
        <v>0</v>
      </c>
      <c r="GF279" s="2">
        <v>-702884957</v>
      </c>
      <c r="GG279" s="2">
        <v>2</v>
      </c>
      <c r="GH279" s="2">
        <v>1</v>
      </c>
      <c r="GI279" s="2">
        <v>-2</v>
      </c>
      <c r="GJ279" s="2">
        <v>0</v>
      </c>
      <c r="GK279" s="2">
        <f>ROUND(R279*(R12)/100,2)</f>
        <v>0</v>
      </c>
      <c r="GL279" s="2">
        <f>ROUND(IF(AND(BH279=3,BI279=3,FS279&lt;&gt;0),P279,0),2)</f>
        <v>0</v>
      </c>
      <c r="GM279" s="2">
        <f>ROUND(O279+X279+Y279+GK279,2)+GX279</f>
        <v>0</v>
      </c>
      <c r="GN279" s="2">
        <f>IF(OR(BI279=0,BI279=1),ROUND(O279+X279+Y279+GK279,2),0)</f>
        <v>0</v>
      </c>
      <c r="GO279" s="2">
        <f>IF(BI279=2,ROUND(O279+X279+Y279+GK279,2),0)</f>
        <v>0</v>
      </c>
      <c r="GP279" s="2">
        <f>IF(BI279=4,ROUND(O279+X279+Y279+GK279,2)+GX279,0)</f>
        <v>0</v>
      </c>
      <c r="GR279" s="2">
        <v>0</v>
      </c>
      <c r="GS279" s="2">
        <v>0</v>
      </c>
      <c r="GT279" s="2">
        <v>0</v>
      </c>
      <c r="GU279" s="2" t="s">
        <v>30</v>
      </c>
      <c r="GV279" s="2">
        <f>ROUND((GT279),6)</f>
        <v>0</v>
      </c>
      <c r="GW279" s="2">
        <v>1</v>
      </c>
      <c r="GX279" s="2">
        <f>ROUND(HC279*I279,2)</f>
        <v>0</v>
      </c>
      <c r="HA279" s="2">
        <v>0</v>
      </c>
      <c r="HB279" s="2">
        <v>0</v>
      </c>
      <c r="HC279" s="2">
        <f>GV279*GW279</f>
        <v>0</v>
      </c>
      <c r="HE279" s="2" t="s">
        <v>30</v>
      </c>
      <c r="HF279" s="2" t="s">
        <v>30</v>
      </c>
      <c r="HM279" s="2" t="s">
        <v>30</v>
      </c>
      <c r="HN279" s="2" t="s">
        <v>30</v>
      </c>
      <c r="HO279" s="2" t="s">
        <v>30</v>
      </c>
      <c r="HP279" s="2" t="s">
        <v>30</v>
      </c>
      <c r="HQ279" s="2" t="s">
        <v>30</v>
      </c>
      <c r="IK279" s="2">
        <v>0</v>
      </c>
    </row>
    <row r="280" spans="1:245" x14ac:dyDescent="0.25">
      <c r="A280" s="2">
        <v>18</v>
      </c>
      <c r="B280" s="2">
        <v>1</v>
      </c>
      <c r="C280" s="2">
        <v>112</v>
      </c>
      <c r="E280" s="2" t="s">
        <v>458</v>
      </c>
      <c r="F280" s="2" t="s">
        <v>459</v>
      </c>
      <c r="G280" s="2" t="s">
        <v>460</v>
      </c>
      <c r="H280" s="2" t="s">
        <v>66</v>
      </c>
      <c r="I280" s="2">
        <f>I279*J280</f>
        <v>0</v>
      </c>
      <c r="J280" s="2">
        <v>-0.5</v>
      </c>
      <c r="K280" s="2">
        <v>-0.5</v>
      </c>
      <c r="O280" s="2">
        <f>ROUND(CP280,2)</f>
        <v>0</v>
      </c>
      <c r="P280" s="2">
        <f>ROUND(CQ280*I280,2)</f>
        <v>0</v>
      </c>
      <c r="Q280" s="2">
        <f>ROUND(CR280*I280,2)</f>
        <v>0</v>
      </c>
      <c r="R280" s="2">
        <f>ROUND(CS280*I280,2)</f>
        <v>0</v>
      </c>
      <c r="S280" s="2">
        <f>ROUND(CT280*I280,2)</f>
        <v>0</v>
      </c>
      <c r="T280" s="2">
        <f>ROUND(CU280*I280,2)</f>
        <v>0</v>
      </c>
      <c r="U280" s="2">
        <f>CV280*I280</f>
        <v>0</v>
      </c>
      <c r="V280" s="2">
        <f>CW280*I280</f>
        <v>0</v>
      </c>
      <c r="W280" s="2">
        <f>ROUND(CX280*I280,2)</f>
        <v>0</v>
      </c>
      <c r="X280" s="2">
        <f t="shared" si="158"/>
        <v>0</v>
      </c>
      <c r="Y280" s="2">
        <f t="shared" si="158"/>
        <v>0</v>
      </c>
      <c r="AA280" s="2">
        <v>52286166</v>
      </c>
      <c r="AB280" s="2">
        <f>ROUND((AC280+AD280+AF280),6)</f>
        <v>156380.45000000001</v>
      </c>
      <c r="AC280" s="2">
        <f>ROUND((ES280),6)</f>
        <v>156380.45000000001</v>
      </c>
      <c r="AD280" s="2">
        <f>ROUND((((ET280)-(EU280))+AE280),6)</f>
        <v>0</v>
      </c>
      <c r="AE280" s="2">
        <f t="shared" si="159"/>
        <v>0</v>
      </c>
      <c r="AF280" s="2">
        <f t="shared" si="159"/>
        <v>0</v>
      </c>
      <c r="AG280" s="2">
        <f>ROUND((AP280),6)</f>
        <v>0</v>
      </c>
      <c r="AH280" s="2">
        <f t="shared" si="160"/>
        <v>0</v>
      </c>
      <c r="AI280" s="2">
        <f t="shared" si="160"/>
        <v>0</v>
      </c>
      <c r="AJ280" s="2">
        <f>(AS280)</f>
        <v>0</v>
      </c>
      <c r="AK280" s="2">
        <v>156380.45000000001</v>
      </c>
      <c r="AL280" s="2">
        <v>156380.45000000001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70</v>
      </c>
      <c r="AU280" s="2">
        <v>10</v>
      </c>
      <c r="AV280" s="2">
        <v>1</v>
      </c>
      <c r="AW280" s="2">
        <v>1</v>
      </c>
      <c r="AZ280" s="2">
        <v>1</v>
      </c>
      <c r="BA280" s="2">
        <v>1</v>
      </c>
      <c r="BB280" s="2">
        <v>1</v>
      </c>
      <c r="BC280" s="2">
        <v>1</v>
      </c>
      <c r="BD280" s="2" t="s">
        <v>30</v>
      </c>
      <c r="BE280" s="2" t="s">
        <v>30</v>
      </c>
      <c r="BF280" s="2" t="s">
        <v>30</v>
      </c>
      <c r="BG280" s="2" t="s">
        <v>30</v>
      </c>
      <c r="BH280" s="2">
        <v>3</v>
      </c>
      <c r="BI280" s="2">
        <v>4</v>
      </c>
      <c r="BJ280" s="2" t="s">
        <v>461</v>
      </c>
      <c r="BM280" s="2">
        <v>0</v>
      </c>
      <c r="BN280" s="2">
        <v>0</v>
      </c>
      <c r="BO280" s="2" t="s">
        <v>30</v>
      </c>
      <c r="BP280" s="2">
        <v>0</v>
      </c>
      <c r="BQ280" s="2">
        <v>1</v>
      </c>
      <c r="BR280" s="2">
        <v>1</v>
      </c>
      <c r="BS280" s="2">
        <v>1</v>
      </c>
      <c r="BT280" s="2">
        <v>1</v>
      </c>
      <c r="BU280" s="2">
        <v>1</v>
      </c>
      <c r="BV280" s="2">
        <v>1</v>
      </c>
      <c r="BW280" s="2">
        <v>1</v>
      </c>
      <c r="BX280" s="2">
        <v>1</v>
      </c>
      <c r="BY280" s="2" t="s">
        <v>30</v>
      </c>
      <c r="BZ280" s="2">
        <v>70</v>
      </c>
      <c r="CA280" s="2">
        <v>10</v>
      </c>
      <c r="CB280" s="2" t="s">
        <v>30</v>
      </c>
      <c r="CE280" s="2">
        <v>0</v>
      </c>
      <c r="CF280" s="2">
        <v>0</v>
      </c>
      <c r="CG280" s="2">
        <v>0</v>
      </c>
      <c r="CM280" s="2">
        <v>0</v>
      </c>
      <c r="CN280" s="2" t="s">
        <v>30</v>
      </c>
      <c r="CO280" s="2">
        <v>0</v>
      </c>
      <c r="CP280" s="2">
        <f>(P280+Q280+S280)</f>
        <v>0</v>
      </c>
      <c r="CQ280" s="2">
        <f>(AC280*BC280*AW280)</f>
        <v>156380.45000000001</v>
      </c>
      <c r="CR280" s="2">
        <f>((((ET280)*BB280-(EU280)*BS280)+AE280*BS280)*AV280)</f>
        <v>0</v>
      </c>
      <c r="CS280" s="2">
        <f>(AE280*BS280*AV280)</f>
        <v>0</v>
      </c>
      <c r="CT280" s="2">
        <f>(AF280*BA280*AV280)</f>
        <v>0</v>
      </c>
      <c r="CU280" s="2">
        <f>AG280</f>
        <v>0</v>
      </c>
      <c r="CV280" s="2">
        <f>(AH280*AV280)</f>
        <v>0</v>
      </c>
      <c r="CW280" s="2">
        <f t="shared" si="161"/>
        <v>0</v>
      </c>
      <c r="CX280" s="2">
        <f t="shared" si="161"/>
        <v>0</v>
      </c>
      <c r="CY280" s="2">
        <f>((S280*BZ280)/100)</f>
        <v>0</v>
      </c>
      <c r="CZ280" s="2">
        <f>((S280*CA280)/100)</f>
        <v>0</v>
      </c>
      <c r="DC280" s="2" t="s">
        <v>30</v>
      </c>
      <c r="DD280" s="2" t="s">
        <v>30</v>
      </c>
      <c r="DE280" s="2" t="s">
        <v>30</v>
      </c>
      <c r="DF280" s="2" t="s">
        <v>30</v>
      </c>
      <c r="DG280" s="2" t="s">
        <v>30</v>
      </c>
      <c r="DH280" s="2" t="s">
        <v>30</v>
      </c>
      <c r="DI280" s="2" t="s">
        <v>30</v>
      </c>
      <c r="DJ280" s="2" t="s">
        <v>30</v>
      </c>
      <c r="DK280" s="2" t="s">
        <v>30</v>
      </c>
      <c r="DL280" s="2" t="s">
        <v>30</v>
      </c>
      <c r="DM280" s="2" t="s">
        <v>30</v>
      </c>
      <c r="DN280" s="2">
        <v>0</v>
      </c>
      <c r="DO280" s="2">
        <v>0</v>
      </c>
      <c r="DP280" s="2">
        <v>1</v>
      </c>
      <c r="DQ280" s="2">
        <v>1</v>
      </c>
      <c r="DU280" s="2">
        <v>1010</v>
      </c>
      <c r="DV280" s="2" t="s">
        <v>66</v>
      </c>
      <c r="DW280" s="2" t="s">
        <v>66</v>
      </c>
      <c r="DX280" s="2">
        <v>100</v>
      </c>
      <c r="DZ280" s="2" t="s">
        <v>30</v>
      </c>
      <c r="EA280" s="2" t="s">
        <v>30</v>
      </c>
      <c r="EB280" s="2" t="s">
        <v>30</v>
      </c>
      <c r="EC280" s="2" t="s">
        <v>30</v>
      </c>
      <c r="EE280" s="2">
        <v>49661954</v>
      </c>
      <c r="EF280" s="2">
        <v>1</v>
      </c>
      <c r="EG280" s="2" t="s">
        <v>180</v>
      </c>
      <c r="EH280" s="2">
        <v>0</v>
      </c>
      <c r="EI280" s="2" t="s">
        <v>30</v>
      </c>
      <c r="EJ280" s="2">
        <v>4</v>
      </c>
      <c r="EK280" s="2">
        <v>0</v>
      </c>
      <c r="EL280" s="2" t="s">
        <v>181</v>
      </c>
      <c r="EM280" s="2" t="s">
        <v>182</v>
      </c>
      <c r="EO280" s="2" t="s">
        <v>30</v>
      </c>
      <c r="EQ280" s="2">
        <v>32768</v>
      </c>
      <c r="ER280" s="2">
        <v>156380.45000000001</v>
      </c>
      <c r="ES280" s="2">
        <v>156380.45000000001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FQ280" s="2">
        <v>0</v>
      </c>
      <c r="FR280" s="2">
        <f>ROUND(IF(AND(BH280=3,BI280=3),P280,0),2)</f>
        <v>0</v>
      </c>
      <c r="FS280" s="2">
        <v>0</v>
      </c>
      <c r="FX280" s="2">
        <v>70</v>
      </c>
      <c r="FY280" s="2">
        <v>10</v>
      </c>
      <c r="GA280" s="2" t="s">
        <v>30</v>
      </c>
      <c r="GD280" s="2">
        <v>0</v>
      </c>
      <c r="GF280" s="2">
        <v>1593177023</v>
      </c>
      <c r="GG280" s="2">
        <v>2</v>
      </c>
      <c r="GH280" s="2">
        <v>1</v>
      </c>
      <c r="GI280" s="2">
        <v>-2</v>
      </c>
      <c r="GJ280" s="2">
        <v>0</v>
      </c>
      <c r="GK280" s="2">
        <f>ROUND(R280*(R12)/100,2)</f>
        <v>0</v>
      </c>
      <c r="GL280" s="2">
        <f>ROUND(IF(AND(BH280=3,BI280=3,FS280&lt;&gt;0),P280,0),2)</f>
        <v>0</v>
      </c>
      <c r="GM280" s="2">
        <f>ROUND(O280+X280+Y280+GK280,2)+GX280</f>
        <v>0</v>
      </c>
      <c r="GN280" s="2">
        <f>IF(OR(BI280=0,BI280=1),ROUND(O280+X280+Y280+GK280,2),0)</f>
        <v>0</v>
      </c>
      <c r="GO280" s="2">
        <f>IF(BI280=2,ROUND(O280+X280+Y280+GK280,2),0)</f>
        <v>0</v>
      </c>
      <c r="GP280" s="2">
        <f>IF(BI280=4,ROUND(O280+X280+Y280+GK280,2)+GX280,0)</f>
        <v>0</v>
      </c>
      <c r="GR280" s="2">
        <v>0</v>
      </c>
      <c r="GS280" s="2">
        <v>0</v>
      </c>
      <c r="GT280" s="2">
        <v>0</v>
      </c>
      <c r="GU280" s="2" t="s">
        <v>30</v>
      </c>
      <c r="GV280" s="2">
        <f>ROUND((GT280),6)</f>
        <v>0</v>
      </c>
      <c r="GW280" s="2">
        <v>1</v>
      </c>
      <c r="GX280" s="2">
        <f>ROUND(HC280*I280,2)</f>
        <v>0</v>
      </c>
      <c r="HA280" s="2">
        <v>0</v>
      </c>
      <c r="HB280" s="2">
        <v>0</v>
      </c>
      <c r="HC280" s="2">
        <f>GV280*GW280</f>
        <v>0</v>
      </c>
      <c r="HE280" s="2" t="s">
        <v>30</v>
      </c>
      <c r="HF280" s="2" t="s">
        <v>30</v>
      </c>
      <c r="HM280" s="2" t="s">
        <v>30</v>
      </c>
      <c r="HN280" s="2" t="s">
        <v>30</v>
      </c>
      <c r="HO280" s="2" t="s">
        <v>30</v>
      </c>
      <c r="HP280" s="2" t="s">
        <v>30</v>
      </c>
      <c r="HQ280" s="2" t="s">
        <v>30</v>
      </c>
      <c r="IK280" s="2">
        <v>0</v>
      </c>
    </row>
    <row r="281" spans="1:245" x14ac:dyDescent="0.25">
      <c r="A281" s="2">
        <v>18</v>
      </c>
      <c r="B281" s="2">
        <v>1</v>
      </c>
      <c r="C281" s="2">
        <v>113</v>
      </c>
      <c r="E281" s="2" t="s">
        <v>462</v>
      </c>
      <c r="F281" s="2" t="s">
        <v>463</v>
      </c>
      <c r="G281" s="2" t="s">
        <v>464</v>
      </c>
      <c r="H281" s="2" t="s">
        <v>66</v>
      </c>
      <c r="I281" s="2">
        <f>I279*J281</f>
        <v>0</v>
      </c>
      <c r="J281" s="2">
        <v>-0.5</v>
      </c>
      <c r="K281" s="2">
        <v>-0.5</v>
      </c>
      <c r="O281" s="2">
        <f>ROUND(CP281,2)</f>
        <v>0</v>
      </c>
      <c r="P281" s="2">
        <f>ROUND(CQ281*I281,2)</f>
        <v>0</v>
      </c>
      <c r="Q281" s="2">
        <f>ROUND(CR281*I281,2)</f>
        <v>0</v>
      </c>
      <c r="R281" s="2">
        <f>ROUND(CS281*I281,2)</f>
        <v>0</v>
      </c>
      <c r="S281" s="2">
        <f>ROUND(CT281*I281,2)</f>
        <v>0</v>
      </c>
      <c r="T281" s="2">
        <f>ROUND(CU281*I281,2)</f>
        <v>0</v>
      </c>
      <c r="U281" s="2">
        <f>CV281*I281</f>
        <v>0</v>
      </c>
      <c r="V281" s="2">
        <f>CW281*I281</f>
        <v>0</v>
      </c>
      <c r="W281" s="2">
        <f>ROUND(CX281*I281,2)</f>
        <v>0</v>
      </c>
      <c r="X281" s="2">
        <f t="shared" si="158"/>
        <v>0</v>
      </c>
      <c r="Y281" s="2">
        <f t="shared" si="158"/>
        <v>0</v>
      </c>
      <c r="AA281" s="2">
        <v>52286166</v>
      </c>
      <c r="AB281" s="2">
        <f>ROUND((AC281+AD281+AF281),6)</f>
        <v>142651.44</v>
      </c>
      <c r="AC281" s="2">
        <f>ROUND((ES281),6)</f>
        <v>142651.44</v>
      </c>
      <c r="AD281" s="2">
        <f>ROUND((((ET281)-(EU281))+AE281),6)</f>
        <v>0</v>
      </c>
      <c r="AE281" s="2">
        <f t="shared" si="159"/>
        <v>0</v>
      </c>
      <c r="AF281" s="2">
        <f t="shared" si="159"/>
        <v>0</v>
      </c>
      <c r="AG281" s="2">
        <f>ROUND((AP281),6)</f>
        <v>0</v>
      </c>
      <c r="AH281" s="2">
        <f t="shared" si="160"/>
        <v>0</v>
      </c>
      <c r="AI281" s="2">
        <f t="shared" si="160"/>
        <v>0</v>
      </c>
      <c r="AJ281" s="2">
        <f>(AS281)</f>
        <v>0</v>
      </c>
      <c r="AK281" s="2">
        <v>142651.44</v>
      </c>
      <c r="AL281" s="2">
        <v>142651.44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70</v>
      </c>
      <c r="AU281" s="2">
        <v>10</v>
      </c>
      <c r="AV281" s="2">
        <v>1</v>
      </c>
      <c r="AW281" s="2">
        <v>1</v>
      </c>
      <c r="AZ281" s="2">
        <v>1</v>
      </c>
      <c r="BA281" s="2">
        <v>1</v>
      </c>
      <c r="BB281" s="2">
        <v>1</v>
      </c>
      <c r="BC281" s="2">
        <v>1</v>
      </c>
      <c r="BD281" s="2" t="s">
        <v>30</v>
      </c>
      <c r="BE281" s="2" t="s">
        <v>30</v>
      </c>
      <c r="BF281" s="2" t="s">
        <v>30</v>
      </c>
      <c r="BG281" s="2" t="s">
        <v>30</v>
      </c>
      <c r="BH281" s="2">
        <v>3</v>
      </c>
      <c r="BI281" s="2">
        <v>4</v>
      </c>
      <c r="BJ281" s="2" t="s">
        <v>465</v>
      </c>
      <c r="BM281" s="2">
        <v>0</v>
      </c>
      <c r="BN281" s="2">
        <v>0</v>
      </c>
      <c r="BO281" s="2" t="s">
        <v>30</v>
      </c>
      <c r="BP281" s="2">
        <v>0</v>
      </c>
      <c r="BQ281" s="2">
        <v>1</v>
      </c>
      <c r="BR281" s="2">
        <v>1</v>
      </c>
      <c r="BS281" s="2">
        <v>1</v>
      </c>
      <c r="BT281" s="2">
        <v>1</v>
      </c>
      <c r="BU281" s="2">
        <v>1</v>
      </c>
      <c r="BV281" s="2">
        <v>1</v>
      </c>
      <c r="BW281" s="2">
        <v>1</v>
      </c>
      <c r="BX281" s="2">
        <v>1</v>
      </c>
      <c r="BY281" s="2" t="s">
        <v>30</v>
      </c>
      <c r="BZ281" s="2">
        <v>70</v>
      </c>
      <c r="CA281" s="2">
        <v>10</v>
      </c>
      <c r="CB281" s="2" t="s">
        <v>30</v>
      </c>
      <c r="CE281" s="2">
        <v>0</v>
      </c>
      <c r="CF281" s="2">
        <v>0</v>
      </c>
      <c r="CG281" s="2">
        <v>0</v>
      </c>
      <c r="CM281" s="2">
        <v>0</v>
      </c>
      <c r="CN281" s="2" t="s">
        <v>30</v>
      </c>
      <c r="CO281" s="2">
        <v>0</v>
      </c>
      <c r="CP281" s="2">
        <f>(P281+Q281+S281)</f>
        <v>0</v>
      </c>
      <c r="CQ281" s="2">
        <f>(AC281*BC281*AW281)</f>
        <v>142651.44</v>
      </c>
      <c r="CR281" s="2">
        <f>((((ET281)*BB281-(EU281)*BS281)+AE281*BS281)*AV281)</f>
        <v>0</v>
      </c>
      <c r="CS281" s="2">
        <f>(AE281*BS281*AV281)</f>
        <v>0</v>
      </c>
      <c r="CT281" s="2">
        <f>(AF281*BA281*AV281)</f>
        <v>0</v>
      </c>
      <c r="CU281" s="2">
        <f>AG281</f>
        <v>0</v>
      </c>
      <c r="CV281" s="2">
        <f>(AH281*AV281)</f>
        <v>0</v>
      </c>
      <c r="CW281" s="2">
        <f t="shared" si="161"/>
        <v>0</v>
      </c>
      <c r="CX281" s="2">
        <f t="shared" si="161"/>
        <v>0</v>
      </c>
      <c r="CY281" s="2">
        <f>((S281*BZ281)/100)</f>
        <v>0</v>
      </c>
      <c r="CZ281" s="2">
        <f>((S281*CA281)/100)</f>
        <v>0</v>
      </c>
      <c r="DC281" s="2" t="s">
        <v>30</v>
      </c>
      <c r="DD281" s="2" t="s">
        <v>30</v>
      </c>
      <c r="DE281" s="2" t="s">
        <v>30</v>
      </c>
      <c r="DF281" s="2" t="s">
        <v>30</v>
      </c>
      <c r="DG281" s="2" t="s">
        <v>30</v>
      </c>
      <c r="DH281" s="2" t="s">
        <v>30</v>
      </c>
      <c r="DI281" s="2" t="s">
        <v>30</v>
      </c>
      <c r="DJ281" s="2" t="s">
        <v>30</v>
      </c>
      <c r="DK281" s="2" t="s">
        <v>30</v>
      </c>
      <c r="DL281" s="2" t="s">
        <v>30</v>
      </c>
      <c r="DM281" s="2" t="s">
        <v>30</v>
      </c>
      <c r="DN281" s="2">
        <v>0</v>
      </c>
      <c r="DO281" s="2">
        <v>0</v>
      </c>
      <c r="DP281" s="2">
        <v>1</v>
      </c>
      <c r="DQ281" s="2">
        <v>1</v>
      </c>
      <c r="DU281" s="2">
        <v>1010</v>
      </c>
      <c r="DV281" s="2" t="s">
        <v>66</v>
      </c>
      <c r="DW281" s="2" t="s">
        <v>66</v>
      </c>
      <c r="DX281" s="2">
        <v>100</v>
      </c>
      <c r="DZ281" s="2" t="s">
        <v>30</v>
      </c>
      <c r="EA281" s="2" t="s">
        <v>30</v>
      </c>
      <c r="EB281" s="2" t="s">
        <v>30</v>
      </c>
      <c r="EC281" s="2" t="s">
        <v>30</v>
      </c>
      <c r="EE281" s="2">
        <v>49661954</v>
      </c>
      <c r="EF281" s="2">
        <v>1</v>
      </c>
      <c r="EG281" s="2" t="s">
        <v>180</v>
      </c>
      <c r="EH281" s="2">
        <v>0</v>
      </c>
      <c r="EI281" s="2" t="s">
        <v>30</v>
      </c>
      <c r="EJ281" s="2">
        <v>4</v>
      </c>
      <c r="EK281" s="2">
        <v>0</v>
      </c>
      <c r="EL281" s="2" t="s">
        <v>181</v>
      </c>
      <c r="EM281" s="2" t="s">
        <v>182</v>
      </c>
      <c r="EO281" s="2" t="s">
        <v>30</v>
      </c>
      <c r="EQ281" s="2">
        <v>32768</v>
      </c>
      <c r="ER281" s="2">
        <v>142651.44</v>
      </c>
      <c r="ES281" s="2">
        <v>142651.44</v>
      </c>
      <c r="ET281" s="2">
        <v>0</v>
      </c>
      <c r="EU281" s="2">
        <v>0</v>
      </c>
      <c r="EV281" s="2">
        <v>0</v>
      </c>
      <c r="EW281" s="2">
        <v>0</v>
      </c>
      <c r="EX281" s="2">
        <v>0</v>
      </c>
      <c r="FQ281" s="2">
        <v>0</v>
      </c>
      <c r="FR281" s="2">
        <f>ROUND(IF(AND(BH281=3,BI281=3),P281,0),2)</f>
        <v>0</v>
      </c>
      <c r="FS281" s="2">
        <v>0</v>
      </c>
      <c r="FX281" s="2">
        <v>70</v>
      </c>
      <c r="FY281" s="2">
        <v>10</v>
      </c>
      <c r="GA281" s="2" t="s">
        <v>30</v>
      </c>
      <c r="GD281" s="2">
        <v>0</v>
      </c>
      <c r="GF281" s="2">
        <v>1629044256</v>
      </c>
      <c r="GG281" s="2">
        <v>2</v>
      </c>
      <c r="GH281" s="2">
        <v>1</v>
      </c>
      <c r="GI281" s="2">
        <v>-2</v>
      </c>
      <c r="GJ281" s="2">
        <v>0</v>
      </c>
      <c r="GK281" s="2">
        <f>ROUND(R281*(R12)/100,2)</f>
        <v>0</v>
      </c>
      <c r="GL281" s="2">
        <f>ROUND(IF(AND(BH281=3,BI281=3,FS281&lt;&gt;0),P281,0),2)</f>
        <v>0</v>
      </c>
      <c r="GM281" s="2">
        <f>ROUND(O281+X281+Y281+GK281,2)+GX281</f>
        <v>0</v>
      </c>
      <c r="GN281" s="2">
        <f>IF(OR(BI281=0,BI281=1),ROUND(O281+X281+Y281+GK281,2),0)</f>
        <v>0</v>
      </c>
      <c r="GO281" s="2">
        <f>IF(BI281=2,ROUND(O281+X281+Y281+GK281,2),0)</f>
        <v>0</v>
      </c>
      <c r="GP281" s="2">
        <f>IF(BI281=4,ROUND(O281+X281+Y281+GK281,2)+GX281,0)</f>
        <v>0</v>
      </c>
      <c r="GR281" s="2">
        <v>0</v>
      </c>
      <c r="GS281" s="2">
        <v>0</v>
      </c>
      <c r="GT281" s="2">
        <v>0</v>
      </c>
      <c r="GU281" s="2" t="s">
        <v>30</v>
      </c>
      <c r="GV281" s="2">
        <f>ROUND((GT281),6)</f>
        <v>0</v>
      </c>
      <c r="GW281" s="2">
        <v>1</v>
      </c>
      <c r="GX281" s="2">
        <f>ROUND(HC281*I281,2)</f>
        <v>0</v>
      </c>
      <c r="HA281" s="2">
        <v>0</v>
      </c>
      <c r="HB281" s="2">
        <v>0</v>
      </c>
      <c r="HC281" s="2">
        <f>GV281*GW281</f>
        <v>0</v>
      </c>
      <c r="HE281" s="2" t="s">
        <v>30</v>
      </c>
      <c r="HF281" s="2" t="s">
        <v>30</v>
      </c>
      <c r="HM281" s="2" t="s">
        <v>30</v>
      </c>
      <c r="HN281" s="2" t="s">
        <v>30</v>
      </c>
      <c r="HO281" s="2" t="s">
        <v>30</v>
      </c>
      <c r="HP281" s="2" t="s">
        <v>30</v>
      </c>
      <c r="HQ281" s="2" t="s">
        <v>30</v>
      </c>
      <c r="IK281" s="2">
        <v>0</v>
      </c>
    </row>
    <row r="282" spans="1:245" x14ac:dyDescent="0.25">
      <c r="A282" s="2">
        <v>18</v>
      </c>
      <c r="B282" s="2">
        <v>1</v>
      </c>
      <c r="C282" s="2">
        <v>114</v>
      </c>
      <c r="E282" s="2" t="s">
        <v>466</v>
      </c>
      <c r="F282" s="2" t="s">
        <v>414</v>
      </c>
      <c r="G282" s="2" t="s">
        <v>415</v>
      </c>
      <c r="H282" s="2" t="s">
        <v>67</v>
      </c>
      <c r="I282" s="2">
        <f>I279*J282</f>
        <v>0</v>
      </c>
      <c r="J282" s="2">
        <v>100</v>
      </c>
      <c r="K282" s="2">
        <v>100</v>
      </c>
      <c r="O282" s="2">
        <f>ROUND(CP282,2)</f>
        <v>0</v>
      </c>
      <c r="P282" s="2">
        <f>ROUND(CQ282*I282,2)</f>
        <v>0</v>
      </c>
      <c r="Q282" s="2">
        <f>ROUND(CR282*I282,2)</f>
        <v>0</v>
      </c>
      <c r="R282" s="2">
        <f>ROUND(CS282*I282,2)</f>
        <v>0</v>
      </c>
      <c r="S282" s="2">
        <f>ROUND(CT282*I282,2)</f>
        <v>0</v>
      </c>
      <c r="T282" s="2">
        <f>ROUND(CU282*I282,2)</f>
        <v>0</v>
      </c>
      <c r="U282" s="2">
        <f>CV282*I282</f>
        <v>0</v>
      </c>
      <c r="V282" s="2">
        <f>CW282*I282</f>
        <v>0</v>
      </c>
      <c r="W282" s="2">
        <f>ROUND(CX282*I282,2)</f>
        <v>0</v>
      </c>
      <c r="X282" s="2">
        <f t="shared" si="158"/>
        <v>0</v>
      </c>
      <c r="Y282" s="2">
        <f t="shared" si="158"/>
        <v>0</v>
      </c>
      <c r="AA282" s="2">
        <v>52286166</v>
      </c>
      <c r="AB282" s="2">
        <f>ROUND((AC282+AD282+AF282),6)</f>
        <v>1291.67</v>
      </c>
      <c r="AC282" s="2">
        <f>ROUND((ES282),6)</f>
        <v>1291.67</v>
      </c>
      <c r="AD282" s="2">
        <f>ROUND((((ET282)-(EU282))+AE282),6)</f>
        <v>0</v>
      </c>
      <c r="AE282" s="2">
        <f t="shared" si="159"/>
        <v>0</v>
      </c>
      <c r="AF282" s="2">
        <f t="shared" si="159"/>
        <v>0</v>
      </c>
      <c r="AG282" s="2">
        <f>ROUND((AP282),6)</f>
        <v>0</v>
      </c>
      <c r="AH282" s="2">
        <f t="shared" si="160"/>
        <v>0</v>
      </c>
      <c r="AI282" s="2">
        <f t="shared" si="160"/>
        <v>0</v>
      </c>
      <c r="AJ282" s="2">
        <f>(AS282)</f>
        <v>0</v>
      </c>
      <c r="AK282" s="2">
        <v>1291.67</v>
      </c>
      <c r="AL282" s="2">
        <v>1291.67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70</v>
      </c>
      <c r="AU282" s="2">
        <v>10</v>
      </c>
      <c r="AV282" s="2">
        <v>1</v>
      </c>
      <c r="AW282" s="2">
        <v>1</v>
      </c>
      <c r="AZ282" s="2">
        <v>1</v>
      </c>
      <c r="BA282" s="2">
        <v>1</v>
      </c>
      <c r="BB282" s="2">
        <v>1</v>
      </c>
      <c r="BC282" s="2">
        <v>1</v>
      </c>
      <c r="BD282" s="2" t="s">
        <v>30</v>
      </c>
      <c r="BE282" s="2" t="s">
        <v>30</v>
      </c>
      <c r="BF282" s="2" t="s">
        <v>30</v>
      </c>
      <c r="BG282" s="2" t="s">
        <v>30</v>
      </c>
      <c r="BH282" s="2">
        <v>3</v>
      </c>
      <c r="BI282" s="2">
        <v>4</v>
      </c>
      <c r="BJ282" s="2" t="s">
        <v>30</v>
      </c>
      <c r="BM282" s="2">
        <v>0</v>
      </c>
      <c r="BN282" s="2">
        <v>0</v>
      </c>
      <c r="BO282" s="2" t="s">
        <v>30</v>
      </c>
      <c r="BP282" s="2">
        <v>0</v>
      </c>
      <c r="BQ282" s="2">
        <v>1</v>
      </c>
      <c r="BR282" s="2">
        <v>0</v>
      </c>
      <c r="BS282" s="2">
        <v>1</v>
      </c>
      <c r="BT282" s="2">
        <v>1</v>
      </c>
      <c r="BU282" s="2">
        <v>1</v>
      </c>
      <c r="BV282" s="2">
        <v>1</v>
      </c>
      <c r="BW282" s="2">
        <v>1</v>
      </c>
      <c r="BX282" s="2">
        <v>1</v>
      </c>
      <c r="BY282" s="2" t="s">
        <v>30</v>
      </c>
      <c r="BZ282" s="2">
        <v>70</v>
      </c>
      <c r="CA282" s="2">
        <v>10</v>
      </c>
      <c r="CB282" s="2" t="s">
        <v>30</v>
      </c>
      <c r="CE282" s="2">
        <v>0</v>
      </c>
      <c r="CF282" s="2">
        <v>0</v>
      </c>
      <c r="CG282" s="2">
        <v>0</v>
      </c>
      <c r="CM282" s="2">
        <v>0</v>
      </c>
      <c r="CN282" s="2" t="s">
        <v>30</v>
      </c>
      <c r="CO282" s="2">
        <v>0</v>
      </c>
      <c r="CP282" s="2">
        <f>(P282+Q282+S282)</f>
        <v>0</v>
      </c>
      <c r="CQ282" s="2">
        <f>(AC282*BC282*AW282)</f>
        <v>1291.67</v>
      </c>
      <c r="CR282" s="2">
        <f>((((ET282)*BB282-(EU282)*BS282)+AE282*BS282)*AV282)</f>
        <v>0</v>
      </c>
      <c r="CS282" s="2">
        <f>(AE282*BS282*AV282)</f>
        <v>0</v>
      </c>
      <c r="CT282" s="2">
        <f>(AF282*BA282*AV282)</f>
        <v>0</v>
      </c>
      <c r="CU282" s="2">
        <f>AG282</f>
        <v>0</v>
      </c>
      <c r="CV282" s="2">
        <f>(AH282*AV282)</f>
        <v>0</v>
      </c>
      <c r="CW282" s="2">
        <f t="shared" si="161"/>
        <v>0</v>
      </c>
      <c r="CX282" s="2">
        <f t="shared" si="161"/>
        <v>0</v>
      </c>
      <c r="CY282" s="2">
        <f>((S282*BZ282)/100)</f>
        <v>0</v>
      </c>
      <c r="CZ282" s="2">
        <f>((S282*CA282)/100)</f>
        <v>0</v>
      </c>
      <c r="DC282" s="2" t="s">
        <v>30</v>
      </c>
      <c r="DD282" s="2" t="s">
        <v>30</v>
      </c>
      <c r="DE282" s="2" t="s">
        <v>30</v>
      </c>
      <c r="DF282" s="2" t="s">
        <v>30</v>
      </c>
      <c r="DG282" s="2" t="s">
        <v>30</v>
      </c>
      <c r="DH282" s="2" t="s">
        <v>30</v>
      </c>
      <c r="DI282" s="2" t="s">
        <v>30</v>
      </c>
      <c r="DJ282" s="2" t="s">
        <v>30</v>
      </c>
      <c r="DK282" s="2" t="s">
        <v>30</v>
      </c>
      <c r="DL282" s="2" t="s">
        <v>30</v>
      </c>
      <c r="DM282" s="2" t="s">
        <v>30</v>
      </c>
      <c r="DN282" s="2">
        <v>0</v>
      </c>
      <c r="DO282" s="2">
        <v>0</v>
      </c>
      <c r="DP282" s="2">
        <v>1</v>
      </c>
      <c r="DQ282" s="2">
        <v>1</v>
      </c>
      <c r="DU282" s="2">
        <v>1010</v>
      </c>
      <c r="DV282" s="2" t="s">
        <v>67</v>
      </c>
      <c r="DW282" s="2" t="s">
        <v>67</v>
      </c>
      <c r="DX282" s="2">
        <v>1</v>
      </c>
      <c r="DZ282" s="2" t="s">
        <v>30</v>
      </c>
      <c r="EA282" s="2" t="s">
        <v>30</v>
      </c>
      <c r="EB282" s="2" t="s">
        <v>30</v>
      </c>
      <c r="EC282" s="2" t="s">
        <v>30</v>
      </c>
      <c r="EE282" s="2">
        <v>49661954</v>
      </c>
      <c r="EF282" s="2">
        <v>1</v>
      </c>
      <c r="EG282" s="2" t="s">
        <v>180</v>
      </c>
      <c r="EH282" s="2">
        <v>0</v>
      </c>
      <c r="EI282" s="2" t="s">
        <v>30</v>
      </c>
      <c r="EJ282" s="2">
        <v>4</v>
      </c>
      <c r="EK282" s="2">
        <v>0</v>
      </c>
      <c r="EL282" s="2" t="s">
        <v>181</v>
      </c>
      <c r="EM282" s="2" t="s">
        <v>182</v>
      </c>
      <c r="EO282" s="2" t="s">
        <v>30</v>
      </c>
      <c r="EQ282" s="2">
        <v>0</v>
      </c>
      <c r="ER282" s="2">
        <v>1291.67</v>
      </c>
      <c r="ES282" s="2">
        <v>1291.67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FQ282" s="2">
        <v>0</v>
      </c>
      <c r="FR282" s="2">
        <f>ROUND(IF(AND(BH282=3,BI282=3),P282,0),2)</f>
        <v>0</v>
      </c>
      <c r="FS282" s="2">
        <v>0</v>
      </c>
      <c r="FX282" s="2">
        <v>70</v>
      </c>
      <c r="FY282" s="2">
        <v>10</v>
      </c>
      <c r="GA282" s="2" t="s">
        <v>467</v>
      </c>
      <c r="GD282" s="2">
        <v>0</v>
      </c>
      <c r="GF282" s="2">
        <v>-1521540751</v>
      </c>
      <c r="GG282" s="2">
        <v>2</v>
      </c>
      <c r="GH282" s="2">
        <v>0</v>
      </c>
      <c r="GI282" s="2">
        <v>-2</v>
      </c>
      <c r="GJ282" s="2">
        <v>0</v>
      </c>
      <c r="GK282" s="2">
        <f>ROUND(R282*(R12)/100,2)</f>
        <v>0</v>
      </c>
      <c r="GL282" s="2">
        <f>ROUND(IF(AND(BH282=3,BI282=3,FS282&lt;&gt;0),P282,0),2)</f>
        <v>0</v>
      </c>
      <c r="GM282" s="2">
        <f>ROUND(O282+X282+Y282+GK282,2)+GX282</f>
        <v>0</v>
      </c>
      <c r="GN282" s="2">
        <f>IF(OR(BI282=0,BI282=1),ROUND(O282+X282+Y282+GK282,2),0)</f>
        <v>0</v>
      </c>
      <c r="GO282" s="2">
        <f>IF(BI282=2,ROUND(O282+X282+Y282+GK282,2),0)</f>
        <v>0</v>
      </c>
      <c r="GP282" s="2">
        <f>IF(BI282=4,ROUND(O282+X282+Y282+GK282,2)+GX282,0)</f>
        <v>0</v>
      </c>
      <c r="GR282" s="2">
        <v>0</v>
      </c>
      <c r="GS282" s="2">
        <v>4</v>
      </c>
      <c r="GT282" s="2">
        <v>0</v>
      </c>
      <c r="GU282" s="2" t="s">
        <v>30</v>
      </c>
      <c r="GV282" s="2">
        <f>ROUND((GT282),6)</f>
        <v>0</v>
      </c>
      <c r="GW282" s="2">
        <v>1</v>
      </c>
      <c r="GX282" s="2">
        <f>ROUND(HC282*I282,2)</f>
        <v>0</v>
      </c>
      <c r="HA282" s="2">
        <v>0</v>
      </c>
      <c r="HB282" s="2">
        <v>0</v>
      </c>
      <c r="HC282" s="2">
        <f>GV282*GW282</f>
        <v>0</v>
      </c>
      <c r="HE282" s="2" t="s">
        <v>30</v>
      </c>
      <c r="HF282" s="2" t="s">
        <v>30</v>
      </c>
      <c r="HM282" s="2" t="s">
        <v>30</v>
      </c>
      <c r="HN282" s="2" t="s">
        <v>30</v>
      </c>
      <c r="HO282" s="2" t="s">
        <v>30</v>
      </c>
      <c r="HP282" s="2" t="s">
        <v>30</v>
      </c>
      <c r="HQ282" s="2" t="s">
        <v>30</v>
      </c>
      <c r="IK282" s="2">
        <v>0</v>
      </c>
    </row>
    <row r="284" spans="1:245" ht="13" x14ac:dyDescent="0.3">
      <c r="A284" s="52">
        <v>51</v>
      </c>
      <c r="B284" s="52">
        <f>B274</f>
        <v>1</v>
      </c>
      <c r="C284" s="52">
        <f>A274</f>
        <v>4</v>
      </c>
      <c r="D284" s="52">
        <f>ROW(A274)</f>
        <v>274</v>
      </c>
      <c r="E284" s="52"/>
      <c r="F284" s="52" t="str">
        <f>IF(F274&lt;&gt;"",F274,"")</f>
        <v>Новый раздел</v>
      </c>
      <c r="G284" s="52" t="str">
        <f>IF(G274&lt;&gt;"",G274,"")</f>
        <v>Устройство парковочных столбиков -42 шт.</v>
      </c>
      <c r="H284" s="52">
        <v>0</v>
      </c>
      <c r="I284" s="52"/>
      <c r="J284" s="52"/>
      <c r="K284" s="52"/>
      <c r="L284" s="52"/>
      <c r="M284" s="52"/>
      <c r="N284" s="52"/>
      <c r="O284" s="52">
        <f t="shared" ref="O284:T284" si="162">ROUND(AB284,2)</f>
        <v>0</v>
      </c>
      <c r="P284" s="52">
        <f t="shared" si="162"/>
        <v>0</v>
      </c>
      <c r="Q284" s="52">
        <f t="shared" si="162"/>
        <v>0</v>
      </c>
      <c r="R284" s="52">
        <f t="shared" si="162"/>
        <v>0</v>
      </c>
      <c r="S284" s="52">
        <f t="shared" si="162"/>
        <v>0</v>
      </c>
      <c r="T284" s="52">
        <f t="shared" si="162"/>
        <v>0</v>
      </c>
      <c r="U284" s="52">
        <f>AH284</f>
        <v>0</v>
      </c>
      <c r="V284" s="52">
        <f>AI284</f>
        <v>0</v>
      </c>
      <c r="W284" s="52">
        <f>ROUND(AJ284,2)</f>
        <v>0</v>
      </c>
      <c r="X284" s="52">
        <f>ROUND(AK284,2)</f>
        <v>0</v>
      </c>
      <c r="Y284" s="52">
        <f>ROUND(AL284,2)</f>
        <v>0</v>
      </c>
      <c r="Z284" s="52"/>
      <c r="AA284" s="52"/>
      <c r="AB284" s="52">
        <f>ROUND(SUMIF(AA278:AA282,"=52286166",O278:O282),2)</f>
        <v>0</v>
      </c>
      <c r="AC284" s="52">
        <f>ROUND(SUMIF(AA278:AA282,"=52286166",P278:P282),2)</f>
        <v>0</v>
      </c>
      <c r="AD284" s="52">
        <f>ROUND(SUMIF(AA278:AA282,"=52286166",Q278:Q282),2)</f>
        <v>0</v>
      </c>
      <c r="AE284" s="52">
        <f>ROUND(SUMIF(AA278:AA282,"=52286166",R278:R282),2)</f>
        <v>0</v>
      </c>
      <c r="AF284" s="52">
        <f>ROUND(SUMIF(AA278:AA282,"=52286166",S278:S282),2)</f>
        <v>0</v>
      </c>
      <c r="AG284" s="52">
        <f>ROUND(SUMIF(AA278:AA282,"=52286166",T278:T282),2)</f>
        <v>0</v>
      </c>
      <c r="AH284" s="52">
        <f>SUMIF(AA278:AA282,"=52286166",U278:U282)</f>
        <v>0</v>
      </c>
      <c r="AI284" s="52">
        <f>SUMIF(AA278:AA282,"=52286166",V278:V282)</f>
        <v>0</v>
      </c>
      <c r="AJ284" s="52">
        <f>ROUND(SUMIF(AA278:AA282,"=52286166",W278:W282),2)</f>
        <v>0</v>
      </c>
      <c r="AK284" s="52">
        <f>ROUND(SUMIF(AA278:AA282,"=52286166",X278:X282),2)</f>
        <v>0</v>
      </c>
      <c r="AL284" s="52">
        <f>ROUND(SUMIF(AA278:AA282,"=52286166",Y278:Y282),2)</f>
        <v>0</v>
      </c>
      <c r="AM284" s="52"/>
      <c r="AN284" s="52"/>
      <c r="AO284" s="52">
        <f t="shared" ref="AO284:BD284" si="163">ROUND(BX284,2)</f>
        <v>0</v>
      </c>
      <c r="AP284" s="52">
        <f t="shared" si="163"/>
        <v>0</v>
      </c>
      <c r="AQ284" s="52">
        <f t="shared" si="163"/>
        <v>0</v>
      </c>
      <c r="AR284" s="52">
        <f t="shared" si="163"/>
        <v>0</v>
      </c>
      <c r="AS284" s="52">
        <f t="shared" si="163"/>
        <v>0</v>
      </c>
      <c r="AT284" s="52">
        <f t="shared" si="163"/>
        <v>0</v>
      </c>
      <c r="AU284" s="52">
        <f t="shared" si="163"/>
        <v>0</v>
      </c>
      <c r="AV284" s="52">
        <f t="shared" si="163"/>
        <v>0</v>
      </c>
      <c r="AW284" s="52">
        <f t="shared" si="163"/>
        <v>0</v>
      </c>
      <c r="AX284" s="52">
        <f t="shared" si="163"/>
        <v>0</v>
      </c>
      <c r="AY284" s="52">
        <f t="shared" si="163"/>
        <v>0</v>
      </c>
      <c r="AZ284" s="52">
        <f t="shared" si="163"/>
        <v>0</v>
      </c>
      <c r="BA284" s="52">
        <f t="shared" si="163"/>
        <v>0</v>
      </c>
      <c r="BB284" s="52">
        <f t="shared" si="163"/>
        <v>0</v>
      </c>
      <c r="BC284" s="52">
        <f t="shared" si="163"/>
        <v>0</v>
      </c>
      <c r="BD284" s="52">
        <f t="shared" si="163"/>
        <v>0</v>
      </c>
      <c r="BE284" s="52"/>
      <c r="BF284" s="52"/>
      <c r="BG284" s="52"/>
      <c r="BH284" s="52"/>
      <c r="BI284" s="52"/>
      <c r="BJ284" s="52"/>
      <c r="BK284" s="52"/>
      <c r="BL284" s="52"/>
      <c r="BM284" s="52"/>
      <c r="BN284" s="52"/>
      <c r="BO284" s="52"/>
      <c r="BP284" s="52"/>
      <c r="BQ284" s="52"/>
      <c r="BR284" s="52"/>
      <c r="BS284" s="52"/>
      <c r="BT284" s="52"/>
      <c r="BU284" s="52"/>
      <c r="BV284" s="52"/>
      <c r="BW284" s="52"/>
      <c r="BX284" s="52">
        <f>ROUND(SUMIF(AA278:AA282,"=52286166",FQ278:FQ282),2)</f>
        <v>0</v>
      </c>
      <c r="BY284" s="52">
        <f>ROUND(SUMIF(AA278:AA282,"=52286166",FR278:FR282),2)</f>
        <v>0</v>
      </c>
      <c r="BZ284" s="52">
        <f>ROUND(SUMIF(AA278:AA282,"=52286166",GL278:GL282),2)</f>
        <v>0</v>
      </c>
      <c r="CA284" s="52">
        <f>ROUND(SUMIF(AA278:AA282,"=52286166",GM278:GM282),2)</f>
        <v>0</v>
      </c>
      <c r="CB284" s="52">
        <f>ROUND(SUMIF(AA278:AA282,"=52286166",GN278:GN282),2)</f>
        <v>0</v>
      </c>
      <c r="CC284" s="52">
        <f>ROUND(SUMIF(AA278:AA282,"=52286166",GO278:GO282),2)</f>
        <v>0</v>
      </c>
      <c r="CD284" s="52">
        <f>ROUND(SUMIF(AA278:AA282,"=52286166",GP278:GP282),2)</f>
        <v>0</v>
      </c>
      <c r="CE284" s="52">
        <f>AC284-BX284</f>
        <v>0</v>
      </c>
      <c r="CF284" s="52">
        <f>AC284-BY284</f>
        <v>0</v>
      </c>
      <c r="CG284" s="52">
        <f>BX284-BZ284</f>
        <v>0</v>
      </c>
      <c r="CH284" s="52">
        <f>AC284-BX284-BY284+BZ284</f>
        <v>0</v>
      </c>
      <c r="CI284" s="52">
        <f>BY284-BZ284</f>
        <v>0</v>
      </c>
      <c r="CJ284" s="52">
        <f>ROUND(SUMIF(AA278:AA282,"=52286166",GX278:GX282),2)</f>
        <v>0</v>
      </c>
      <c r="CK284" s="52">
        <f>ROUND(SUMIF(AA278:AA282,"=52286166",GY278:GY282),2)</f>
        <v>0</v>
      </c>
      <c r="CL284" s="52">
        <f>ROUND(SUMIF(AA278:AA282,"=52286166",GZ278:GZ282),2)</f>
        <v>0</v>
      </c>
      <c r="CM284" s="52">
        <f>ROUND(SUMIF(AA278:AA282,"=52286166",HD278:HD282),2)</f>
        <v>0</v>
      </c>
      <c r="CN284" s="52"/>
      <c r="CO284" s="52"/>
      <c r="CP284" s="52"/>
      <c r="CQ284" s="52"/>
      <c r="CR284" s="52"/>
      <c r="CS284" s="52"/>
      <c r="CT284" s="52"/>
      <c r="CU284" s="52"/>
      <c r="CV284" s="52"/>
      <c r="CW284" s="52"/>
      <c r="CX284" s="52"/>
      <c r="CY284" s="52"/>
      <c r="CZ284" s="52"/>
      <c r="DA284" s="52"/>
      <c r="DB284" s="52"/>
      <c r="DC284" s="52"/>
      <c r="DD284" s="52"/>
      <c r="DE284" s="52"/>
      <c r="DF284" s="52"/>
      <c r="DG284" s="53"/>
      <c r="DH284" s="53"/>
      <c r="DI284" s="53"/>
      <c r="DJ284" s="53"/>
      <c r="DK284" s="53"/>
      <c r="DL284" s="53"/>
      <c r="DM284" s="53"/>
      <c r="DN284" s="53"/>
      <c r="DO284" s="53"/>
      <c r="DP284" s="53"/>
      <c r="DQ284" s="53"/>
      <c r="DR284" s="53"/>
      <c r="DS284" s="53"/>
      <c r="DT284" s="53"/>
      <c r="DU284" s="53"/>
      <c r="DV284" s="53"/>
      <c r="DW284" s="53"/>
      <c r="DX284" s="53"/>
      <c r="DY284" s="53"/>
      <c r="DZ284" s="53"/>
      <c r="EA284" s="53"/>
      <c r="EB284" s="53"/>
      <c r="EC284" s="53"/>
      <c r="ED284" s="53"/>
      <c r="EE284" s="53"/>
      <c r="EF284" s="53"/>
      <c r="EG284" s="53"/>
      <c r="EH284" s="53"/>
      <c r="EI284" s="53"/>
      <c r="EJ284" s="53"/>
      <c r="EK284" s="53"/>
      <c r="EL284" s="53"/>
      <c r="EM284" s="53"/>
      <c r="EN284" s="53"/>
      <c r="EO284" s="53"/>
      <c r="EP284" s="53"/>
      <c r="EQ284" s="53"/>
      <c r="ER284" s="53"/>
      <c r="ES284" s="53"/>
      <c r="ET284" s="53"/>
      <c r="EU284" s="53"/>
      <c r="EV284" s="53"/>
      <c r="EW284" s="53"/>
      <c r="EX284" s="53"/>
      <c r="EY284" s="53"/>
      <c r="EZ284" s="53"/>
      <c r="FA284" s="53"/>
      <c r="FB284" s="53"/>
      <c r="FC284" s="53"/>
      <c r="FD284" s="53"/>
      <c r="FE284" s="53"/>
      <c r="FF284" s="53"/>
      <c r="FG284" s="53"/>
      <c r="FH284" s="53"/>
      <c r="FI284" s="53"/>
      <c r="FJ284" s="53"/>
      <c r="FK284" s="53"/>
      <c r="FL284" s="53"/>
      <c r="FM284" s="53"/>
      <c r="FN284" s="53"/>
      <c r="FO284" s="53"/>
      <c r="FP284" s="53"/>
      <c r="FQ284" s="53"/>
      <c r="FR284" s="53"/>
      <c r="FS284" s="53"/>
      <c r="FT284" s="53"/>
      <c r="FU284" s="53"/>
      <c r="FV284" s="53"/>
      <c r="FW284" s="53"/>
      <c r="FX284" s="53"/>
      <c r="FY284" s="53"/>
      <c r="FZ284" s="53"/>
      <c r="GA284" s="53"/>
      <c r="GB284" s="53"/>
      <c r="GC284" s="53"/>
      <c r="GD284" s="53"/>
      <c r="GE284" s="53"/>
      <c r="GF284" s="53"/>
      <c r="GG284" s="53"/>
      <c r="GH284" s="53"/>
      <c r="GI284" s="53"/>
      <c r="GJ284" s="53"/>
      <c r="GK284" s="53"/>
      <c r="GL284" s="53"/>
      <c r="GM284" s="53"/>
      <c r="GN284" s="53"/>
      <c r="GO284" s="53"/>
      <c r="GP284" s="53"/>
      <c r="GQ284" s="53"/>
      <c r="GR284" s="53"/>
      <c r="GS284" s="53"/>
      <c r="GT284" s="53"/>
      <c r="GU284" s="53"/>
      <c r="GV284" s="53"/>
      <c r="GW284" s="53"/>
      <c r="GX284" s="53">
        <v>0</v>
      </c>
    </row>
    <row r="286" spans="1:245" ht="13" x14ac:dyDescent="0.3">
      <c r="A286" s="54">
        <v>50</v>
      </c>
      <c r="B286" s="54">
        <v>0</v>
      </c>
      <c r="C286" s="54">
        <v>0</v>
      </c>
      <c r="D286" s="54">
        <v>1</v>
      </c>
      <c r="E286" s="54">
        <v>201</v>
      </c>
      <c r="F286" s="54">
        <f>ROUND('Source (3)'!O284,O286)</f>
        <v>0</v>
      </c>
      <c r="G286" s="54" t="s">
        <v>214</v>
      </c>
      <c r="H286" s="54" t="s">
        <v>215</v>
      </c>
      <c r="I286" s="54"/>
      <c r="J286" s="54"/>
      <c r="K286" s="54">
        <v>201</v>
      </c>
      <c r="L286" s="54">
        <v>1</v>
      </c>
      <c r="M286" s="54">
        <v>3</v>
      </c>
      <c r="N286" s="54" t="s">
        <v>30</v>
      </c>
      <c r="O286" s="54">
        <v>2</v>
      </c>
      <c r="P286" s="54"/>
      <c r="Q286" s="54"/>
      <c r="R286" s="54"/>
      <c r="S286" s="54"/>
      <c r="T286" s="54"/>
      <c r="U286" s="54"/>
      <c r="V286" s="54"/>
      <c r="W286" s="54">
        <v>61391.59</v>
      </c>
      <c r="X286" s="54">
        <v>1</v>
      </c>
      <c r="Y286" s="54">
        <v>61391.59</v>
      </c>
      <c r="Z286" s="54"/>
      <c r="AA286" s="54"/>
      <c r="AB286" s="54"/>
    </row>
    <row r="287" spans="1:245" ht="13" x14ac:dyDescent="0.3">
      <c r="A287" s="54">
        <v>50</v>
      </c>
      <c r="B287" s="54">
        <v>0</v>
      </c>
      <c r="C287" s="54">
        <v>0</v>
      </c>
      <c r="D287" s="54">
        <v>1</v>
      </c>
      <c r="E287" s="54">
        <v>202</v>
      </c>
      <c r="F287" s="54">
        <f>ROUND('Source (3)'!P284,O287)</f>
        <v>0</v>
      </c>
      <c r="G287" s="54" t="s">
        <v>216</v>
      </c>
      <c r="H287" s="54" t="s">
        <v>217</v>
      </c>
      <c r="I287" s="54"/>
      <c r="J287" s="54"/>
      <c r="K287" s="54">
        <v>202</v>
      </c>
      <c r="L287" s="54">
        <v>2</v>
      </c>
      <c r="M287" s="54">
        <v>3</v>
      </c>
      <c r="N287" s="54" t="s">
        <v>30</v>
      </c>
      <c r="O287" s="54">
        <v>2</v>
      </c>
      <c r="P287" s="54"/>
      <c r="Q287" s="54"/>
      <c r="R287" s="54"/>
      <c r="S287" s="54"/>
      <c r="T287" s="54"/>
      <c r="U287" s="54"/>
      <c r="V287" s="54"/>
      <c r="W287" s="54">
        <v>58699.42</v>
      </c>
      <c r="X287" s="54">
        <v>1</v>
      </c>
      <c r="Y287" s="54">
        <v>58699.42</v>
      </c>
      <c r="Z287" s="54"/>
      <c r="AA287" s="54"/>
      <c r="AB287" s="54"/>
    </row>
    <row r="288" spans="1:245" ht="13" x14ac:dyDescent="0.3">
      <c r="A288" s="54">
        <v>50</v>
      </c>
      <c r="B288" s="54">
        <v>0</v>
      </c>
      <c r="C288" s="54">
        <v>0</v>
      </c>
      <c r="D288" s="54">
        <v>1</v>
      </c>
      <c r="E288" s="54">
        <v>222</v>
      </c>
      <c r="F288" s="54">
        <f>ROUND('Source (3)'!AO284,O288)</f>
        <v>0</v>
      </c>
      <c r="G288" s="54" t="s">
        <v>218</v>
      </c>
      <c r="H288" s="54" t="s">
        <v>219</v>
      </c>
      <c r="I288" s="54"/>
      <c r="J288" s="54"/>
      <c r="K288" s="54">
        <v>222</v>
      </c>
      <c r="L288" s="54">
        <v>3</v>
      </c>
      <c r="M288" s="54">
        <v>3</v>
      </c>
      <c r="N288" s="54" t="s">
        <v>30</v>
      </c>
      <c r="O288" s="54">
        <v>2</v>
      </c>
      <c r="P288" s="54"/>
      <c r="Q288" s="54"/>
      <c r="R288" s="54"/>
      <c r="S288" s="54"/>
      <c r="T288" s="54"/>
      <c r="U288" s="54"/>
      <c r="V288" s="54"/>
      <c r="W288" s="54">
        <v>0</v>
      </c>
      <c r="X288" s="54">
        <v>1</v>
      </c>
      <c r="Y288" s="54">
        <v>0</v>
      </c>
      <c r="Z288" s="54"/>
      <c r="AA288" s="54"/>
      <c r="AB288" s="54"/>
    </row>
    <row r="289" spans="1:28" ht="13" x14ac:dyDescent="0.3">
      <c r="A289" s="54">
        <v>50</v>
      </c>
      <c r="B289" s="54">
        <v>0</v>
      </c>
      <c r="C289" s="54">
        <v>0</v>
      </c>
      <c r="D289" s="54">
        <v>1</v>
      </c>
      <c r="E289" s="54">
        <v>225</v>
      </c>
      <c r="F289" s="54">
        <f>ROUND('Source (3)'!AV284,O289)</f>
        <v>0</v>
      </c>
      <c r="G289" s="54" t="s">
        <v>220</v>
      </c>
      <c r="H289" s="54" t="s">
        <v>221</v>
      </c>
      <c r="I289" s="54"/>
      <c r="J289" s="54"/>
      <c r="K289" s="54">
        <v>225</v>
      </c>
      <c r="L289" s="54">
        <v>4</v>
      </c>
      <c r="M289" s="54">
        <v>3</v>
      </c>
      <c r="N289" s="54" t="s">
        <v>30</v>
      </c>
      <c r="O289" s="54">
        <v>2</v>
      </c>
      <c r="P289" s="54"/>
      <c r="Q289" s="54"/>
      <c r="R289" s="54"/>
      <c r="S289" s="54"/>
      <c r="T289" s="54"/>
      <c r="U289" s="54"/>
      <c r="V289" s="54"/>
      <c r="W289" s="54">
        <v>58699.42</v>
      </c>
      <c r="X289" s="54">
        <v>1</v>
      </c>
      <c r="Y289" s="54">
        <v>58699.42</v>
      </c>
      <c r="Z289" s="54"/>
      <c r="AA289" s="54"/>
      <c r="AB289" s="54"/>
    </row>
    <row r="290" spans="1:28" ht="13" x14ac:dyDescent="0.3">
      <c r="A290" s="54">
        <v>50</v>
      </c>
      <c r="B290" s="54">
        <v>0</v>
      </c>
      <c r="C290" s="54">
        <v>0</v>
      </c>
      <c r="D290" s="54">
        <v>1</v>
      </c>
      <c r="E290" s="54">
        <v>226</v>
      </c>
      <c r="F290" s="54">
        <f>ROUND('Source (3)'!AW284,O290)</f>
        <v>0</v>
      </c>
      <c r="G290" s="54" t="s">
        <v>222</v>
      </c>
      <c r="H290" s="54" t="s">
        <v>223</v>
      </c>
      <c r="I290" s="54"/>
      <c r="J290" s="54"/>
      <c r="K290" s="54">
        <v>226</v>
      </c>
      <c r="L290" s="54">
        <v>5</v>
      </c>
      <c r="M290" s="54">
        <v>3</v>
      </c>
      <c r="N290" s="54" t="s">
        <v>30</v>
      </c>
      <c r="O290" s="54">
        <v>2</v>
      </c>
      <c r="P290" s="54"/>
      <c r="Q290" s="54"/>
      <c r="R290" s="54"/>
      <c r="S290" s="54"/>
      <c r="T290" s="54"/>
      <c r="U290" s="54"/>
      <c r="V290" s="54"/>
      <c r="W290" s="54">
        <v>58699.42</v>
      </c>
      <c r="X290" s="54">
        <v>1</v>
      </c>
      <c r="Y290" s="54">
        <v>58699.42</v>
      </c>
      <c r="Z290" s="54"/>
      <c r="AA290" s="54"/>
      <c r="AB290" s="54"/>
    </row>
    <row r="291" spans="1:28" ht="13" x14ac:dyDescent="0.3">
      <c r="A291" s="54">
        <v>50</v>
      </c>
      <c r="B291" s="54">
        <v>0</v>
      </c>
      <c r="C291" s="54">
        <v>0</v>
      </c>
      <c r="D291" s="54">
        <v>1</v>
      </c>
      <c r="E291" s="54">
        <v>227</v>
      </c>
      <c r="F291" s="54">
        <f>ROUND('Source (3)'!AX284,O291)</f>
        <v>0</v>
      </c>
      <c r="G291" s="54" t="s">
        <v>224</v>
      </c>
      <c r="H291" s="54" t="s">
        <v>225</v>
      </c>
      <c r="I291" s="54"/>
      <c r="J291" s="54"/>
      <c r="K291" s="54">
        <v>227</v>
      </c>
      <c r="L291" s="54">
        <v>6</v>
      </c>
      <c r="M291" s="54">
        <v>3</v>
      </c>
      <c r="N291" s="54" t="s">
        <v>30</v>
      </c>
      <c r="O291" s="54">
        <v>2</v>
      </c>
      <c r="P291" s="54"/>
      <c r="Q291" s="54"/>
      <c r="R291" s="54"/>
      <c r="S291" s="54"/>
      <c r="T291" s="54"/>
      <c r="U291" s="54"/>
      <c r="V291" s="54"/>
      <c r="W291" s="54">
        <v>0</v>
      </c>
      <c r="X291" s="54">
        <v>1</v>
      </c>
      <c r="Y291" s="54">
        <v>0</v>
      </c>
      <c r="Z291" s="54"/>
      <c r="AA291" s="54"/>
      <c r="AB291" s="54"/>
    </row>
    <row r="292" spans="1:28" ht="13" x14ac:dyDescent="0.3">
      <c r="A292" s="54">
        <v>50</v>
      </c>
      <c r="B292" s="54">
        <v>0</v>
      </c>
      <c r="C292" s="54">
        <v>0</v>
      </c>
      <c r="D292" s="54">
        <v>1</v>
      </c>
      <c r="E292" s="54">
        <v>228</v>
      </c>
      <c r="F292" s="54">
        <f>ROUND('Source (3)'!AY284,O292)</f>
        <v>0</v>
      </c>
      <c r="G292" s="54" t="s">
        <v>226</v>
      </c>
      <c r="H292" s="54" t="s">
        <v>227</v>
      </c>
      <c r="I292" s="54"/>
      <c r="J292" s="54"/>
      <c r="K292" s="54">
        <v>228</v>
      </c>
      <c r="L292" s="54">
        <v>7</v>
      </c>
      <c r="M292" s="54">
        <v>3</v>
      </c>
      <c r="N292" s="54" t="s">
        <v>30</v>
      </c>
      <c r="O292" s="54">
        <v>2</v>
      </c>
      <c r="P292" s="54"/>
      <c r="Q292" s="54"/>
      <c r="R292" s="54"/>
      <c r="S292" s="54"/>
      <c r="T292" s="54"/>
      <c r="U292" s="54"/>
      <c r="V292" s="54"/>
      <c r="W292" s="54">
        <v>58699.42</v>
      </c>
      <c r="X292" s="54">
        <v>1</v>
      </c>
      <c r="Y292" s="54">
        <v>58699.42</v>
      </c>
      <c r="Z292" s="54"/>
      <c r="AA292" s="54"/>
      <c r="AB292" s="54"/>
    </row>
    <row r="293" spans="1:28" ht="13" x14ac:dyDescent="0.3">
      <c r="A293" s="54">
        <v>50</v>
      </c>
      <c r="B293" s="54">
        <v>0</v>
      </c>
      <c r="C293" s="54">
        <v>0</v>
      </c>
      <c r="D293" s="54">
        <v>1</v>
      </c>
      <c r="E293" s="54">
        <v>216</v>
      </c>
      <c r="F293" s="54">
        <f>ROUND('Source (3)'!AP284,O293)</f>
        <v>0</v>
      </c>
      <c r="G293" s="54" t="s">
        <v>228</v>
      </c>
      <c r="H293" s="54" t="s">
        <v>229</v>
      </c>
      <c r="I293" s="54"/>
      <c r="J293" s="54"/>
      <c r="K293" s="54">
        <v>216</v>
      </c>
      <c r="L293" s="54">
        <v>8</v>
      </c>
      <c r="M293" s="54">
        <v>3</v>
      </c>
      <c r="N293" s="54" t="s">
        <v>30</v>
      </c>
      <c r="O293" s="54">
        <v>2</v>
      </c>
      <c r="P293" s="54"/>
      <c r="Q293" s="54"/>
      <c r="R293" s="54"/>
      <c r="S293" s="54"/>
      <c r="T293" s="54"/>
      <c r="U293" s="54"/>
      <c r="V293" s="54"/>
      <c r="W293" s="54">
        <v>0</v>
      </c>
      <c r="X293" s="54">
        <v>1</v>
      </c>
      <c r="Y293" s="54">
        <v>0</v>
      </c>
      <c r="Z293" s="54"/>
      <c r="AA293" s="54"/>
      <c r="AB293" s="54"/>
    </row>
    <row r="294" spans="1:28" ht="13" x14ac:dyDescent="0.3">
      <c r="A294" s="54">
        <v>50</v>
      </c>
      <c r="B294" s="54">
        <v>0</v>
      </c>
      <c r="C294" s="54">
        <v>0</v>
      </c>
      <c r="D294" s="54">
        <v>1</v>
      </c>
      <c r="E294" s="54">
        <v>223</v>
      </c>
      <c r="F294" s="54">
        <f>ROUND('Source (3)'!AQ284,O294)</f>
        <v>0</v>
      </c>
      <c r="G294" s="54" t="s">
        <v>230</v>
      </c>
      <c r="H294" s="54" t="s">
        <v>231</v>
      </c>
      <c r="I294" s="54"/>
      <c r="J294" s="54"/>
      <c r="K294" s="54">
        <v>223</v>
      </c>
      <c r="L294" s="54">
        <v>9</v>
      </c>
      <c r="M294" s="54">
        <v>3</v>
      </c>
      <c r="N294" s="54" t="s">
        <v>30</v>
      </c>
      <c r="O294" s="54">
        <v>2</v>
      </c>
      <c r="P294" s="54"/>
      <c r="Q294" s="54"/>
      <c r="R294" s="54"/>
      <c r="S294" s="54"/>
      <c r="T294" s="54"/>
      <c r="U294" s="54"/>
      <c r="V294" s="54"/>
      <c r="W294" s="54">
        <v>0</v>
      </c>
      <c r="X294" s="54">
        <v>1</v>
      </c>
      <c r="Y294" s="54">
        <v>0</v>
      </c>
      <c r="Z294" s="54"/>
      <c r="AA294" s="54"/>
      <c r="AB294" s="54"/>
    </row>
    <row r="295" spans="1:28" ht="13" x14ac:dyDescent="0.3">
      <c r="A295" s="54">
        <v>50</v>
      </c>
      <c r="B295" s="54">
        <v>0</v>
      </c>
      <c r="C295" s="54">
        <v>0</v>
      </c>
      <c r="D295" s="54">
        <v>1</v>
      </c>
      <c r="E295" s="54">
        <v>229</v>
      </c>
      <c r="F295" s="54">
        <f>ROUND('Source (3)'!AZ284,O295)</f>
        <v>0</v>
      </c>
      <c r="G295" s="54" t="s">
        <v>232</v>
      </c>
      <c r="H295" s="54" t="s">
        <v>233</v>
      </c>
      <c r="I295" s="54"/>
      <c r="J295" s="54"/>
      <c r="K295" s="54">
        <v>229</v>
      </c>
      <c r="L295" s="54">
        <v>10</v>
      </c>
      <c r="M295" s="54">
        <v>3</v>
      </c>
      <c r="N295" s="54" t="s">
        <v>30</v>
      </c>
      <c r="O295" s="54">
        <v>2</v>
      </c>
      <c r="P295" s="54"/>
      <c r="Q295" s="54"/>
      <c r="R295" s="54"/>
      <c r="S295" s="54"/>
      <c r="T295" s="54"/>
      <c r="U295" s="54"/>
      <c r="V295" s="54"/>
      <c r="W295" s="54">
        <v>0</v>
      </c>
      <c r="X295" s="54">
        <v>1</v>
      </c>
      <c r="Y295" s="54">
        <v>0</v>
      </c>
      <c r="Z295" s="54"/>
      <c r="AA295" s="54"/>
      <c r="AB295" s="54"/>
    </row>
    <row r="296" spans="1:28" ht="13" x14ac:dyDescent="0.3">
      <c r="A296" s="54">
        <v>50</v>
      </c>
      <c r="B296" s="54">
        <v>0</v>
      </c>
      <c r="C296" s="54">
        <v>0</v>
      </c>
      <c r="D296" s="54">
        <v>1</v>
      </c>
      <c r="E296" s="54">
        <v>203</v>
      </c>
      <c r="F296" s="54">
        <f>ROUND('Source (3)'!Q284,O296)</f>
        <v>0</v>
      </c>
      <c r="G296" s="54" t="s">
        <v>234</v>
      </c>
      <c r="H296" s="54" t="s">
        <v>235</v>
      </c>
      <c r="I296" s="54"/>
      <c r="J296" s="54"/>
      <c r="K296" s="54">
        <v>203</v>
      </c>
      <c r="L296" s="54">
        <v>11</v>
      </c>
      <c r="M296" s="54">
        <v>3</v>
      </c>
      <c r="N296" s="54" t="s">
        <v>30</v>
      </c>
      <c r="O296" s="54">
        <v>2</v>
      </c>
      <c r="P296" s="54"/>
      <c r="Q296" s="54"/>
      <c r="R296" s="54"/>
      <c r="S296" s="54"/>
      <c r="T296" s="54"/>
      <c r="U296" s="54"/>
      <c r="V296" s="54"/>
      <c r="W296" s="54">
        <v>11.21</v>
      </c>
      <c r="X296" s="54">
        <v>1</v>
      </c>
      <c r="Y296" s="54">
        <v>11.21</v>
      </c>
      <c r="Z296" s="54"/>
      <c r="AA296" s="54"/>
      <c r="AB296" s="54"/>
    </row>
    <row r="297" spans="1:28" ht="13" x14ac:dyDescent="0.3">
      <c r="A297" s="54">
        <v>50</v>
      </c>
      <c r="B297" s="54">
        <v>0</v>
      </c>
      <c r="C297" s="54">
        <v>0</v>
      </c>
      <c r="D297" s="54">
        <v>1</v>
      </c>
      <c r="E297" s="54">
        <v>231</v>
      </c>
      <c r="F297" s="54">
        <f>ROUND('Source (3)'!BB284,O297)</f>
        <v>0</v>
      </c>
      <c r="G297" s="54" t="s">
        <v>236</v>
      </c>
      <c r="H297" s="54" t="s">
        <v>237</v>
      </c>
      <c r="I297" s="54"/>
      <c r="J297" s="54"/>
      <c r="K297" s="54">
        <v>231</v>
      </c>
      <c r="L297" s="54">
        <v>12</v>
      </c>
      <c r="M297" s="54">
        <v>3</v>
      </c>
      <c r="N297" s="54" t="s">
        <v>30</v>
      </c>
      <c r="O297" s="54">
        <v>2</v>
      </c>
      <c r="P297" s="54"/>
      <c r="Q297" s="54"/>
      <c r="R297" s="54"/>
      <c r="S297" s="54"/>
      <c r="T297" s="54"/>
      <c r="U297" s="54"/>
      <c r="V297" s="54"/>
      <c r="W297" s="54">
        <v>0</v>
      </c>
      <c r="X297" s="54">
        <v>1</v>
      </c>
      <c r="Y297" s="54">
        <v>0</v>
      </c>
      <c r="Z297" s="54"/>
      <c r="AA297" s="54"/>
      <c r="AB297" s="54"/>
    </row>
    <row r="298" spans="1:28" ht="13" x14ac:dyDescent="0.3">
      <c r="A298" s="54">
        <v>50</v>
      </c>
      <c r="B298" s="54">
        <v>0</v>
      </c>
      <c r="C298" s="54">
        <v>0</v>
      </c>
      <c r="D298" s="54">
        <v>1</v>
      </c>
      <c r="E298" s="54">
        <v>204</v>
      </c>
      <c r="F298" s="54">
        <f>ROUND('Source (3)'!R284,O298)</f>
        <v>0</v>
      </c>
      <c r="G298" s="54" t="s">
        <v>238</v>
      </c>
      <c r="H298" s="54" t="s">
        <v>239</v>
      </c>
      <c r="I298" s="54"/>
      <c r="J298" s="54"/>
      <c r="K298" s="54">
        <v>204</v>
      </c>
      <c r="L298" s="54">
        <v>13</v>
      </c>
      <c r="M298" s="54">
        <v>3</v>
      </c>
      <c r="N298" s="54" t="s">
        <v>30</v>
      </c>
      <c r="O298" s="54">
        <v>2</v>
      </c>
      <c r="P298" s="54"/>
      <c r="Q298" s="54"/>
      <c r="R298" s="54"/>
      <c r="S298" s="54"/>
      <c r="T298" s="54"/>
      <c r="U298" s="54"/>
      <c r="V298" s="54"/>
      <c r="W298" s="54">
        <v>0.04</v>
      </c>
      <c r="X298" s="54">
        <v>1</v>
      </c>
      <c r="Y298" s="54">
        <v>0.04</v>
      </c>
      <c r="Z298" s="54"/>
      <c r="AA298" s="54"/>
      <c r="AB298" s="54"/>
    </row>
    <row r="299" spans="1:28" ht="13" x14ac:dyDescent="0.3">
      <c r="A299" s="54">
        <v>50</v>
      </c>
      <c r="B299" s="54">
        <v>0</v>
      </c>
      <c r="C299" s="54">
        <v>0</v>
      </c>
      <c r="D299" s="54">
        <v>1</v>
      </c>
      <c r="E299" s="54">
        <v>205</v>
      </c>
      <c r="F299" s="54">
        <f>ROUND('Source (3)'!S284,O299)</f>
        <v>0</v>
      </c>
      <c r="G299" s="54" t="s">
        <v>240</v>
      </c>
      <c r="H299" s="54" t="s">
        <v>241</v>
      </c>
      <c r="I299" s="54"/>
      <c r="J299" s="54"/>
      <c r="K299" s="54">
        <v>205</v>
      </c>
      <c r="L299" s="54">
        <v>14</v>
      </c>
      <c r="M299" s="54">
        <v>3</v>
      </c>
      <c r="N299" s="54" t="s">
        <v>30</v>
      </c>
      <c r="O299" s="54">
        <v>2</v>
      </c>
      <c r="P299" s="54"/>
      <c r="Q299" s="54"/>
      <c r="R299" s="54"/>
      <c r="S299" s="54"/>
      <c r="T299" s="54"/>
      <c r="U299" s="54"/>
      <c r="V299" s="54"/>
      <c r="W299" s="54">
        <v>2680.96</v>
      </c>
      <c r="X299" s="54">
        <v>1</v>
      </c>
      <c r="Y299" s="54">
        <v>2680.96</v>
      </c>
      <c r="Z299" s="54"/>
      <c r="AA299" s="54"/>
      <c r="AB299" s="54"/>
    </row>
    <row r="300" spans="1:28" ht="13" x14ac:dyDescent="0.3">
      <c r="A300" s="54">
        <v>50</v>
      </c>
      <c r="B300" s="54">
        <v>0</v>
      </c>
      <c r="C300" s="54">
        <v>0</v>
      </c>
      <c r="D300" s="54">
        <v>1</v>
      </c>
      <c r="E300" s="54">
        <v>232</v>
      </c>
      <c r="F300" s="54">
        <f>ROUND('Source (3)'!BC284,O300)</f>
        <v>0</v>
      </c>
      <c r="G300" s="54" t="s">
        <v>242</v>
      </c>
      <c r="H300" s="54" t="s">
        <v>243</v>
      </c>
      <c r="I300" s="54"/>
      <c r="J300" s="54"/>
      <c r="K300" s="54">
        <v>232</v>
      </c>
      <c r="L300" s="54">
        <v>15</v>
      </c>
      <c r="M300" s="54">
        <v>3</v>
      </c>
      <c r="N300" s="54" t="s">
        <v>30</v>
      </c>
      <c r="O300" s="54">
        <v>2</v>
      </c>
      <c r="P300" s="54"/>
      <c r="Q300" s="54"/>
      <c r="R300" s="54"/>
      <c r="S300" s="54"/>
      <c r="T300" s="54"/>
      <c r="U300" s="54"/>
      <c r="V300" s="54"/>
      <c r="W300" s="54">
        <v>0</v>
      </c>
      <c r="X300" s="54">
        <v>1</v>
      </c>
      <c r="Y300" s="54">
        <v>0</v>
      </c>
      <c r="Z300" s="54"/>
      <c r="AA300" s="54"/>
      <c r="AB300" s="54"/>
    </row>
    <row r="301" spans="1:28" ht="13" x14ac:dyDescent="0.3">
      <c r="A301" s="54">
        <v>50</v>
      </c>
      <c r="B301" s="54">
        <v>0</v>
      </c>
      <c r="C301" s="54">
        <v>0</v>
      </c>
      <c r="D301" s="54">
        <v>1</v>
      </c>
      <c r="E301" s="54">
        <v>214</v>
      </c>
      <c r="F301" s="54">
        <f>ROUND('Source (3)'!AS284,O301)</f>
        <v>0</v>
      </c>
      <c r="G301" s="54" t="s">
        <v>244</v>
      </c>
      <c r="H301" s="54" t="s">
        <v>245</v>
      </c>
      <c r="I301" s="54"/>
      <c r="J301" s="54"/>
      <c r="K301" s="54">
        <v>214</v>
      </c>
      <c r="L301" s="54">
        <v>16</v>
      </c>
      <c r="M301" s="54">
        <v>3</v>
      </c>
      <c r="N301" s="54" t="s">
        <v>30</v>
      </c>
      <c r="O301" s="54">
        <v>2</v>
      </c>
      <c r="P301" s="54"/>
      <c r="Q301" s="54"/>
      <c r="R301" s="54"/>
      <c r="S301" s="54"/>
      <c r="T301" s="54"/>
      <c r="U301" s="54"/>
      <c r="V301" s="54"/>
      <c r="W301" s="54">
        <v>0</v>
      </c>
      <c r="X301" s="54">
        <v>1</v>
      </c>
      <c r="Y301" s="54">
        <v>0</v>
      </c>
      <c r="Z301" s="54"/>
      <c r="AA301" s="54"/>
      <c r="AB301" s="54"/>
    </row>
    <row r="302" spans="1:28" ht="13" x14ac:dyDescent="0.3">
      <c r="A302" s="54">
        <v>50</v>
      </c>
      <c r="B302" s="54">
        <v>0</v>
      </c>
      <c r="C302" s="54">
        <v>0</v>
      </c>
      <c r="D302" s="54">
        <v>1</v>
      </c>
      <c r="E302" s="54">
        <v>215</v>
      </c>
      <c r="F302" s="54">
        <f>ROUND('Source (3)'!AT284,O302)</f>
        <v>0</v>
      </c>
      <c r="G302" s="54" t="s">
        <v>246</v>
      </c>
      <c r="H302" s="54" t="s">
        <v>247</v>
      </c>
      <c r="I302" s="54"/>
      <c r="J302" s="54"/>
      <c r="K302" s="54">
        <v>215</v>
      </c>
      <c r="L302" s="54">
        <v>17</v>
      </c>
      <c r="M302" s="54">
        <v>3</v>
      </c>
      <c r="N302" s="54" t="s">
        <v>30</v>
      </c>
      <c r="O302" s="54">
        <v>2</v>
      </c>
      <c r="P302" s="54"/>
      <c r="Q302" s="54"/>
      <c r="R302" s="54"/>
      <c r="S302" s="54"/>
      <c r="T302" s="54"/>
      <c r="U302" s="54"/>
      <c r="V302" s="54"/>
      <c r="W302" s="54">
        <v>0</v>
      </c>
      <c r="X302" s="54">
        <v>1</v>
      </c>
      <c r="Y302" s="54">
        <v>0</v>
      </c>
      <c r="Z302" s="54"/>
      <c r="AA302" s="54"/>
      <c r="AB302" s="54"/>
    </row>
    <row r="303" spans="1:28" ht="13" x14ac:dyDescent="0.3">
      <c r="A303" s="54">
        <v>50</v>
      </c>
      <c r="B303" s="54">
        <v>0</v>
      </c>
      <c r="C303" s="54">
        <v>0</v>
      </c>
      <c r="D303" s="54">
        <v>1</v>
      </c>
      <c r="E303" s="54">
        <v>217</v>
      </c>
      <c r="F303" s="54">
        <f>ROUND('Source (3)'!AU284,O303)</f>
        <v>0</v>
      </c>
      <c r="G303" s="54" t="s">
        <v>248</v>
      </c>
      <c r="H303" s="54" t="s">
        <v>249</v>
      </c>
      <c r="I303" s="54"/>
      <c r="J303" s="54"/>
      <c r="K303" s="54">
        <v>217</v>
      </c>
      <c r="L303" s="54">
        <v>18</v>
      </c>
      <c r="M303" s="54">
        <v>3</v>
      </c>
      <c r="N303" s="54" t="s">
        <v>30</v>
      </c>
      <c r="O303" s="54">
        <v>2</v>
      </c>
      <c r="P303" s="54"/>
      <c r="Q303" s="54"/>
      <c r="R303" s="54"/>
      <c r="S303" s="54"/>
      <c r="T303" s="54"/>
      <c r="U303" s="54"/>
      <c r="V303" s="54"/>
      <c r="W303" s="54">
        <v>63536.41</v>
      </c>
      <c r="X303" s="54">
        <v>1</v>
      </c>
      <c r="Y303" s="54">
        <v>63536.41</v>
      </c>
      <c r="Z303" s="54"/>
      <c r="AA303" s="54"/>
      <c r="AB303" s="54"/>
    </row>
    <row r="304" spans="1:28" ht="13" x14ac:dyDescent="0.3">
      <c r="A304" s="54">
        <v>50</v>
      </c>
      <c r="B304" s="54">
        <v>0</v>
      </c>
      <c r="C304" s="54">
        <v>0</v>
      </c>
      <c r="D304" s="54">
        <v>1</v>
      </c>
      <c r="E304" s="54">
        <v>230</v>
      </c>
      <c r="F304" s="54">
        <f>ROUND('Source (3)'!BA284,O304)</f>
        <v>0</v>
      </c>
      <c r="G304" s="54" t="s">
        <v>250</v>
      </c>
      <c r="H304" s="54" t="s">
        <v>251</v>
      </c>
      <c r="I304" s="54"/>
      <c r="J304" s="54"/>
      <c r="K304" s="54">
        <v>230</v>
      </c>
      <c r="L304" s="54">
        <v>19</v>
      </c>
      <c r="M304" s="54">
        <v>3</v>
      </c>
      <c r="N304" s="54" t="s">
        <v>30</v>
      </c>
      <c r="O304" s="54">
        <v>2</v>
      </c>
      <c r="P304" s="54"/>
      <c r="Q304" s="54"/>
      <c r="R304" s="54"/>
      <c r="S304" s="54"/>
      <c r="T304" s="54"/>
      <c r="U304" s="54"/>
      <c r="V304" s="54"/>
      <c r="W304" s="54">
        <v>0</v>
      </c>
      <c r="X304" s="54">
        <v>1</v>
      </c>
      <c r="Y304" s="54">
        <v>0</v>
      </c>
      <c r="Z304" s="54"/>
      <c r="AA304" s="54"/>
      <c r="AB304" s="54"/>
    </row>
    <row r="305" spans="1:206" ht="13" x14ac:dyDescent="0.3">
      <c r="A305" s="54">
        <v>50</v>
      </c>
      <c r="B305" s="54">
        <v>0</v>
      </c>
      <c r="C305" s="54">
        <v>0</v>
      </c>
      <c r="D305" s="54">
        <v>1</v>
      </c>
      <c r="E305" s="54">
        <v>206</v>
      </c>
      <c r="F305" s="54">
        <f>ROUND('Source (3)'!T284,O305)</f>
        <v>0</v>
      </c>
      <c r="G305" s="54" t="s">
        <v>252</v>
      </c>
      <c r="H305" s="54" t="s">
        <v>253</v>
      </c>
      <c r="I305" s="54"/>
      <c r="J305" s="54"/>
      <c r="K305" s="54">
        <v>206</v>
      </c>
      <c r="L305" s="54">
        <v>20</v>
      </c>
      <c r="M305" s="54">
        <v>3</v>
      </c>
      <c r="N305" s="54" t="s">
        <v>30</v>
      </c>
      <c r="O305" s="54">
        <v>2</v>
      </c>
      <c r="P305" s="54"/>
      <c r="Q305" s="54"/>
      <c r="R305" s="54"/>
      <c r="S305" s="54"/>
      <c r="T305" s="54"/>
      <c r="U305" s="54"/>
      <c r="V305" s="54"/>
      <c r="W305" s="54">
        <v>0</v>
      </c>
      <c r="X305" s="54">
        <v>1</v>
      </c>
      <c r="Y305" s="54">
        <v>0</v>
      </c>
      <c r="Z305" s="54"/>
      <c r="AA305" s="54"/>
      <c r="AB305" s="54"/>
    </row>
    <row r="306" spans="1:206" ht="13" x14ac:dyDescent="0.3">
      <c r="A306" s="54">
        <v>50</v>
      </c>
      <c r="B306" s="54">
        <v>0</v>
      </c>
      <c r="C306" s="54">
        <v>0</v>
      </c>
      <c r="D306" s="54">
        <v>1</v>
      </c>
      <c r="E306" s="54">
        <v>207</v>
      </c>
      <c r="F306" s="54">
        <f>'Source (3)'!U284</f>
        <v>0</v>
      </c>
      <c r="G306" s="54" t="s">
        <v>254</v>
      </c>
      <c r="H306" s="54" t="s">
        <v>255</v>
      </c>
      <c r="I306" s="54"/>
      <c r="J306" s="54"/>
      <c r="K306" s="54">
        <v>207</v>
      </c>
      <c r="L306" s="54">
        <v>21</v>
      </c>
      <c r="M306" s="54">
        <v>3</v>
      </c>
      <c r="N306" s="54" t="s">
        <v>30</v>
      </c>
      <c r="O306" s="54">
        <v>-1</v>
      </c>
      <c r="P306" s="54"/>
      <c r="Q306" s="54"/>
      <c r="R306" s="54"/>
      <c r="S306" s="54"/>
      <c r="T306" s="54"/>
      <c r="U306" s="54"/>
      <c r="V306" s="54"/>
      <c r="W306" s="54">
        <v>10.042199999999999</v>
      </c>
      <c r="X306" s="54">
        <v>1</v>
      </c>
      <c r="Y306" s="54">
        <v>10.042199999999999</v>
      </c>
      <c r="Z306" s="54"/>
      <c r="AA306" s="54"/>
      <c r="AB306" s="54"/>
    </row>
    <row r="307" spans="1:206" ht="13" x14ac:dyDescent="0.3">
      <c r="A307" s="54">
        <v>50</v>
      </c>
      <c r="B307" s="54">
        <v>0</v>
      </c>
      <c r="C307" s="54">
        <v>0</v>
      </c>
      <c r="D307" s="54">
        <v>1</v>
      </c>
      <c r="E307" s="54">
        <v>208</v>
      </c>
      <c r="F307" s="54">
        <f>'Source (3)'!V284</f>
        <v>0</v>
      </c>
      <c r="G307" s="54" t="s">
        <v>256</v>
      </c>
      <c r="H307" s="54" t="s">
        <v>257</v>
      </c>
      <c r="I307" s="54"/>
      <c r="J307" s="54"/>
      <c r="K307" s="54">
        <v>208</v>
      </c>
      <c r="L307" s="54">
        <v>22</v>
      </c>
      <c r="M307" s="54">
        <v>3</v>
      </c>
      <c r="N307" s="54" t="s">
        <v>30</v>
      </c>
      <c r="O307" s="54">
        <v>-1</v>
      </c>
      <c r="P307" s="54"/>
      <c r="Q307" s="54"/>
      <c r="R307" s="54"/>
      <c r="S307" s="54"/>
      <c r="T307" s="54"/>
      <c r="U307" s="54"/>
      <c r="V307" s="54"/>
      <c r="W307" s="54">
        <v>0</v>
      </c>
      <c r="X307" s="54">
        <v>1</v>
      </c>
      <c r="Y307" s="54">
        <v>0</v>
      </c>
      <c r="Z307" s="54"/>
      <c r="AA307" s="54"/>
      <c r="AB307" s="54"/>
    </row>
    <row r="308" spans="1:206" ht="13" x14ac:dyDescent="0.3">
      <c r="A308" s="54">
        <v>50</v>
      </c>
      <c r="B308" s="54">
        <v>0</v>
      </c>
      <c r="C308" s="54">
        <v>0</v>
      </c>
      <c r="D308" s="54">
        <v>1</v>
      </c>
      <c r="E308" s="54">
        <v>209</v>
      </c>
      <c r="F308" s="54">
        <f>ROUND('Source (3)'!W284,O308)</f>
        <v>0</v>
      </c>
      <c r="G308" s="54" t="s">
        <v>258</v>
      </c>
      <c r="H308" s="54" t="s">
        <v>259</v>
      </c>
      <c r="I308" s="54"/>
      <c r="J308" s="54"/>
      <c r="K308" s="54">
        <v>209</v>
      </c>
      <c r="L308" s="54">
        <v>23</v>
      </c>
      <c r="M308" s="54">
        <v>3</v>
      </c>
      <c r="N308" s="54" t="s">
        <v>30</v>
      </c>
      <c r="O308" s="54">
        <v>2</v>
      </c>
      <c r="P308" s="54"/>
      <c r="Q308" s="54"/>
      <c r="R308" s="54"/>
      <c r="S308" s="54"/>
      <c r="T308" s="54"/>
      <c r="U308" s="54"/>
      <c r="V308" s="54"/>
      <c r="W308" s="54">
        <v>0</v>
      </c>
      <c r="X308" s="54">
        <v>1</v>
      </c>
      <c r="Y308" s="54">
        <v>0</v>
      </c>
      <c r="Z308" s="54"/>
      <c r="AA308" s="54"/>
      <c r="AB308" s="54"/>
    </row>
    <row r="309" spans="1:206" ht="13" x14ac:dyDescent="0.3">
      <c r="A309" s="54">
        <v>50</v>
      </c>
      <c r="B309" s="54">
        <v>0</v>
      </c>
      <c r="C309" s="54">
        <v>0</v>
      </c>
      <c r="D309" s="54">
        <v>1</v>
      </c>
      <c r="E309" s="54">
        <v>233</v>
      </c>
      <c r="F309" s="54">
        <f>ROUND('Source (3)'!BD284,O309)</f>
        <v>0</v>
      </c>
      <c r="G309" s="54" t="s">
        <v>260</v>
      </c>
      <c r="H309" s="54" t="s">
        <v>261</v>
      </c>
      <c r="I309" s="54"/>
      <c r="J309" s="54"/>
      <c r="K309" s="54">
        <v>233</v>
      </c>
      <c r="L309" s="54">
        <v>24</v>
      </c>
      <c r="M309" s="54">
        <v>3</v>
      </c>
      <c r="N309" s="54" t="s">
        <v>30</v>
      </c>
      <c r="O309" s="54">
        <v>2</v>
      </c>
      <c r="P309" s="54"/>
      <c r="Q309" s="54"/>
      <c r="R309" s="54"/>
      <c r="S309" s="54"/>
      <c r="T309" s="54"/>
      <c r="U309" s="54"/>
      <c r="V309" s="54"/>
      <c r="W309" s="54">
        <v>0</v>
      </c>
      <c r="X309" s="54">
        <v>1</v>
      </c>
      <c r="Y309" s="54">
        <v>0</v>
      </c>
      <c r="Z309" s="54"/>
      <c r="AA309" s="54"/>
      <c r="AB309" s="54"/>
    </row>
    <row r="310" spans="1:206" ht="13" x14ac:dyDescent="0.3">
      <c r="A310" s="54">
        <v>50</v>
      </c>
      <c r="B310" s="54">
        <v>0</v>
      </c>
      <c r="C310" s="54">
        <v>0</v>
      </c>
      <c r="D310" s="54">
        <v>1</v>
      </c>
      <c r="E310" s="54">
        <v>210</v>
      </c>
      <c r="F310" s="54">
        <f>ROUND('Source (3)'!X284,O310)</f>
        <v>0</v>
      </c>
      <c r="G310" s="54" t="s">
        <v>262</v>
      </c>
      <c r="H310" s="54" t="s">
        <v>263</v>
      </c>
      <c r="I310" s="54"/>
      <c r="J310" s="54"/>
      <c r="K310" s="54">
        <v>210</v>
      </c>
      <c r="L310" s="54">
        <v>25</v>
      </c>
      <c r="M310" s="54">
        <v>3</v>
      </c>
      <c r="N310" s="54" t="s">
        <v>30</v>
      </c>
      <c r="O310" s="54">
        <v>2</v>
      </c>
      <c r="P310" s="54"/>
      <c r="Q310" s="54"/>
      <c r="R310" s="54"/>
      <c r="S310" s="54"/>
      <c r="T310" s="54"/>
      <c r="U310" s="54"/>
      <c r="V310" s="54"/>
      <c r="W310" s="54">
        <v>1876.68</v>
      </c>
      <c r="X310" s="54">
        <v>1</v>
      </c>
      <c r="Y310" s="54">
        <v>1876.68</v>
      </c>
      <c r="Z310" s="54"/>
      <c r="AA310" s="54"/>
      <c r="AB310" s="54"/>
    </row>
    <row r="311" spans="1:206" ht="13" x14ac:dyDescent="0.3">
      <c r="A311" s="54">
        <v>50</v>
      </c>
      <c r="B311" s="54">
        <v>0</v>
      </c>
      <c r="C311" s="54">
        <v>0</v>
      </c>
      <c r="D311" s="54">
        <v>1</v>
      </c>
      <c r="E311" s="54">
        <v>211</v>
      </c>
      <c r="F311" s="54">
        <f>ROUND('Source (3)'!Y284,O311)</f>
        <v>0</v>
      </c>
      <c r="G311" s="54" t="s">
        <v>264</v>
      </c>
      <c r="H311" s="54" t="s">
        <v>265</v>
      </c>
      <c r="I311" s="54"/>
      <c r="J311" s="54"/>
      <c r="K311" s="54">
        <v>211</v>
      </c>
      <c r="L311" s="54">
        <v>26</v>
      </c>
      <c r="M311" s="54">
        <v>3</v>
      </c>
      <c r="N311" s="54" t="s">
        <v>30</v>
      </c>
      <c r="O311" s="54">
        <v>2</v>
      </c>
      <c r="P311" s="54"/>
      <c r="Q311" s="54"/>
      <c r="R311" s="54"/>
      <c r="S311" s="54"/>
      <c r="T311" s="54"/>
      <c r="U311" s="54"/>
      <c r="V311" s="54"/>
      <c r="W311" s="54">
        <v>268.10000000000002</v>
      </c>
      <c r="X311" s="54">
        <v>1</v>
      </c>
      <c r="Y311" s="54">
        <v>268.10000000000002</v>
      </c>
      <c r="Z311" s="54"/>
      <c r="AA311" s="54"/>
      <c r="AB311" s="54"/>
    </row>
    <row r="312" spans="1:206" ht="13" x14ac:dyDescent="0.3">
      <c r="A312" s="54">
        <v>50</v>
      </c>
      <c r="B312" s="54">
        <v>0</v>
      </c>
      <c r="C312" s="54">
        <v>0</v>
      </c>
      <c r="D312" s="54">
        <v>1</v>
      </c>
      <c r="E312" s="54">
        <v>224</v>
      </c>
      <c r="F312" s="54">
        <f>ROUND('Source (3)'!AR284,O312)</f>
        <v>0</v>
      </c>
      <c r="G312" s="54" t="s">
        <v>266</v>
      </c>
      <c r="H312" s="54" t="s">
        <v>267</v>
      </c>
      <c r="I312" s="54"/>
      <c r="J312" s="54"/>
      <c r="K312" s="54">
        <v>224</v>
      </c>
      <c r="L312" s="54">
        <v>27</v>
      </c>
      <c r="M312" s="54">
        <v>3</v>
      </c>
      <c r="N312" s="54" t="s">
        <v>30</v>
      </c>
      <c r="O312" s="54">
        <v>2</v>
      </c>
      <c r="P312" s="54"/>
      <c r="Q312" s="54"/>
      <c r="R312" s="54"/>
      <c r="S312" s="54"/>
      <c r="T312" s="54"/>
      <c r="U312" s="54"/>
      <c r="V312" s="54"/>
      <c r="W312" s="54">
        <v>63536.41</v>
      </c>
      <c r="X312" s="54">
        <v>1</v>
      </c>
      <c r="Y312" s="54">
        <v>63536.41</v>
      </c>
      <c r="Z312" s="54"/>
      <c r="AA312" s="54"/>
      <c r="AB312" s="54"/>
    </row>
    <row r="314" spans="1:206" ht="13" x14ac:dyDescent="0.3">
      <c r="A314" s="52">
        <v>51</v>
      </c>
      <c r="B314" s="52">
        <f>B20</f>
        <v>1</v>
      </c>
      <c r="C314" s="52">
        <f>A20</f>
        <v>3</v>
      </c>
      <c r="D314" s="52">
        <f>ROW(A20)</f>
        <v>20</v>
      </c>
      <c r="E314" s="52"/>
      <c r="F314" s="52" t="str">
        <f>IF(F20&lt;&gt;"",F20,"")</f>
        <v>Новая локальная смета</v>
      </c>
      <c r="G314" s="52" t="str">
        <f>IF(G20&lt;&gt;"",G20,"")</f>
        <v>Новая локальная смета</v>
      </c>
      <c r="H314" s="52">
        <v>0</v>
      </c>
      <c r="I314" s="52"/>
      <c r="J314" s="52"/>
      <c r="K314" s="52"/>
      <c r="L314" s="52"/>
      <c r="M314" s="52"/>
      <c r="N314" s="52"/>
      <c r="O314" s="52">
        <f t="shared" ref="O314:T314" si="164">ROUND(O40+O93+O140+O205+O244+O284+AB314,2)</f>
        <v>2882247.77</v>
      </c>
      <c r="P314" s="52">
        <f t="shared" si="164"/>
        <v>1632800.28</v>
      </c>
      <c r="Q314" s="52">
        <f t="shared" si="164"/>
        <v>967571.03</v>
      </c>
      <c r="R314" s="52">
        <f t="shared" si="164"/>
        <v>499273.45</v>
      </c>
      <c r="S314" s="52">
        <f t="shared" si="164"/>
        <v>281876.46000000002</v>
      </c>
      <c r="T314" s="52">
        <f t="shared" si="164"/>
        <v>0</v>
      </c>
      <c r="U314" s="52">
        <f>U40+U93+U140+U205+U244+U284+AH314</f>
        <v>1305.664231</v>
      </c>
      <c r="V314" s="52">
        <f>V40+V93+V140+V205+V244+V284+AI314</f>
        <v>0</v>
      </c>
      <c r="W314" s="52">
        <f>ROUND(W40+W93+W140+W205+W244+W284+AJ314,2)</f>
        <v>0</v>
      </c>
      <c r="X314" s="52">
        <f>ROUND(X40+X93+X140+X205+X244+X284+AK314,2)</f>
        <v>197313.54</v>
      </c>
      <c r="Y314" s="52">
        <f>ROUND(Y40+Y93+Y140+Y205+Y244+Y284+AL314,2)</f>
        <v>28187.66</v>
      </c>
      <c r="Z314" s="52"/>
      <c r="AA314" s="52"/>
      <c r="AB314" s="52"/>
      <c r="AC314" s="52"/>
      <c r="AD314" s="52"/>
      <c r="AE314" s="52"/>
      <c r="AF314" s="52"/>
      <c r="AG314" s="52"/>
      <c r="AH314" s="52"/>
      <c r="AI314" s="52"/>
      <c r="AJ314" s="52"/>
      <c r="AK314" s="52"/>
      <c r="AL314" s="52"/>
      <c r="AM314" s="52"/>
      <c r="AN314" s="52"/>
      <c r="AO314" s="52">
        <f t="shared" ref="AO314:BD314" si="165">ROUND(AO40+AO93+AO140+AO205+AO244+AO284+BX314,2)</f>
        <v>0</v>
      </c>
      <c r="AP314" s="52">
        <f t="shared" si="165"/>
        <v>0</v>
      </c>
      <c r="AQ314" s="52">
        <f t="shared" si="165"/>
        <v>0</v>
      </c>
      <c r="AR314" s="52">
        <f t="shared" si="165"/>
        <v>3243130.39</v>
      </c>
      <c r="AS314" s="52">
        <f t="shared" si="165"/>
        <v>0</v>
      </c>
      <c r="AT314" s="52">
        <f t="shared" si="165"/>
        <v>0</v>
      </c>
      <c r="AU314" s="52">
        <f t="shared" si="165"/>
        <v>3243130.39</v>
      </c>
      <c r="AV314" s="52">
        <f t="shared" si="165"/>
        <v>1632800.28</v>
      </c>
      <c r="AW314" s="52">
        <f t="shared" si="165"/>
        <v>1632800.28</v>
      </c>
      <c r="AX314" s="52">
        <f t="shared" si="165"/>
        <v>0</v>
      </c>
      <c r="AY314" s="52">
        <f t="shared" si="165"/>
        <v>1632800.28</v>
      </c>
      <c r="AZ314" s="52">
        <f t="shared" si="165"/>
        <v>0</v>
      </c>
      <c r="BA314" s="52">
        <f t="shared" si="165"/>
        <v>0</v>
      </c>
      <c r="BB314" s="52">
        <f t="shared" si="165"/>
        <v>0</v>
      </c>
      <c r="BC314" s="52">
        <f t="shared" si="165"/>
        <v>0</v>
      </c>
      <c r="BD314" s="52">
        <f t="shared" si="165"/>
        <v>0</v>
      </c>
      <c r="BE314" s="52"/>
      <c r="BF314" s="52"/>
      <c r="BG314" s="52"/>
      <c r="BH314" s="52"/>
      <c r="BI314" s="52"/>
      <c r="BJ314" s="52"/>
      <c r="BK314" s="52"/>
      <c r="BL314" s="52"/>
      <c r="BM314" s="52"/>
      <c r="BN314" s="52"/>
      <c r="BO314" s="52"/>
      <c r="BP314" s="52"/>
      <c r="BQ314" s="52"/>
      <c r="BR314" s="52"/>
      <c r="BS314" s="52"/>
      <c r="BT314" s="52"/>
      <c r="BU314" s="52"/>
      <c r="BV314" s="52"/>
      <c r="BW314" s="52"/>
      <c r="BX314" s="52"/>
      <c r="BY314" s="52"/>
      <c r="BZ314" s="52"/>
      <c r="CA314" s="52"/>
      <c r="CB314" s="52"/>
      <c r="CC314" s="52"/>
      <c r="CD314" s="52"/>
      <c r="CE314" s="52"/>
      <c r="CF314" s="52"/>
      <c r="CG314" s="52"/>
      <c r="CH314" s="52"/>
      <c r="CI314" s="52"/>
      <c r="CJ314" s="52"/>
      <c r="CK314" s="52"/>
      <c r="CL314" s="52"/>
      <c r="CM314" s="52"/>
      <c r="CN314" s="52"/>
      <c r="CO314" s="52"/>
      <c r="CP314" s="52"/>
      <c r="CQ314" s="52"/>
      <c r="CR314" s="52"/>
      <c r="CS314" s="52"/>
      <c r="CT314" s="52"/>
      <c r="CU314" s="52"/>
      <c r="CV314" s="52"/>
      <c r="CW314" s="52"/>
      <c r="CX314" s="52"/>
      <c r="CY314" s="52"/>
      <c r="CZ314" s="52"/>
      <c r="DA314" s="52"/>
      <c r="DB314" s="52"/>
      <c r="DC314" s="52"/>
      <c r="DD314" s="52"/>
      <c r="DE314" s="52"/>
      <c r="DF314" s="52"/>
      <c r="DG314" s="53"/>
      <c r="DH314" s="53"/>
      <c r="DI314" s="53"/>
      <c r="DJ314" s="53"/>
      <c r="DK314" s="53"/>
      <c r="DL314" s="53"/>
      <c r="DM314" s="53"/>
      <c r="DN314" s="53"/>
      <c r="DO314" s="53"/>
      <c r="DP314" s="53"/>
      <c r="DQ314" s="53"/>
      <c r="DR314" s="53"/>
      <c r="DS314" s="53"/>
      <c r="DT314" s="53"/>
      <c r="DU314" s="53"/>
      <c r="DV314" s="53"/>
      <c r="DW314" s="53"/>
      <c r="DX314" s="53"/>
      <c r="DY314" s="53"/>
      <c r="DZ314" s="53"/>
      <c r="EA314" s="53"/>
      <c r="EB314" s="53"/>
      <c r="EC314" s="53"/>
      <c r="ED314" s="53"/>
      <c r="EE314" s="53"/>
      <c r="EF314" s="53"/>
      <c r="EG314" s="53"/>
      <c r="EH314" s="53"/>
      <c r="EI314" s="53"/>
      <c r="EJ314" s="53"/>
      <c r="EK314" s="53"/>
      <c r="EL314" s="53"/>
      <c r="EM314" s="53"/>
      <c r="EN314" s="53"/>
      <c r="EO314" s="53"/>
      <c r="EP314" s="53"/>
      <c r="EQ314" s="53"/>
      <c r="ER314" s="53"/>
      <c r="ES314" s="53"/>
      <c r="ET314" s="53"/>
      <c r="EU314" s="53"/>
      <c r="EV314" s="53"/>
      <c r="EW314" s="53"/>
      <c r="EX314" s="53"/>
      <c r="EY314" s="53"/>
      <c r="EZ314" s="53"/>
      <c r="FA314" s="53"/>
      <c r="FB314" s="53"/>
      <c r="FC314" s="53"/>
      <c r="FD314" s="53"/>
      <c r="FE314" s="53"/>
      <c r="FF314" s="53"/>
      <c r="FG314" s="53"/>
      <c r="FH314" s="53"/>
      <c r="FI314" s="53"/>
      <c r="FJ314" s="53"/>
      <c r="FK314" s="53"/>
      <c r="FL314" s="53"/>
      <c r="FM314" s="53"/>
      <c r="FN314" s="53"/>
      <c r="FO314" s="53"/>
      <c r="FP314" s="53"/>
      <c r="FQ314" s="53"/>
      <c r="FR314" s="53"/>
      <c r="FS314" s="53"/>
      <c r="FT314" s="53"/>
      <c r="FU314" s="53"/>
      <c r="FV314" s="53"/>
      <c r="FW314" s="53"/>
      <c r="FX314" s="53"/>
      <c r="FY314" s="53"/>
      <c r="FZ314" s="53"/>
      <c r="GA314" s="53"/>
      <c r="GB314" s="53"/>
      <c r="GC314" s="53"/>
      <c r="GD314" s="53"/>
      <c r="GE314" s="53"/>
      <c r="GF314" s="53"/>
      <c r="GG314" s="53"/>
      <c r="GH314" s="53"/>
      <c r="GI314" s="53"/>
      <c r="GJ314" s="53"/>
      <c r="GK314" s="53"/>
      <c r="GL314" s="53"/>
      <c r="GM314" s="53"/>
      <c r="GN314" s="53"/>
      <c r="GO314" s="53"/>
      <c r="GP314" s="53"/>
      <c r="GQ314" s="53"/>
      <c r="GR314" s="53"/>
      <c r="GS314" s="53"/>
      <c r="GT314" s="53"/>
      <c r="GU314" s="53"/>
      <c r="GV314" s="53"/>
      <c r="GW314" s="53"/>
      <c r="GX314" s="53">
        <v>0</v>
      </c>
    </row>
    <row r="316" spans="1:206" ht="13" x14ac:dyDescent="0.3">
      <c r="A316" s="54">
        <v>50</v>
      </c>
      <c r="B316" s="54">
        <v>0</v>
      </c>
      <c r="C316" s="54">
        <v>0</v>
      </c>
      <c r="D316" s="54">
        <v>1</v>
      </c>
      <c r="E316" s="54">
        <v>201</v>
      </c>
      <c r="F316" s="54">
        <f>ROUND('Source (3)'!O314,O316)</f>
        <v>2882247.77</v>
      </c>
      <c r="G316" s="54" t="s">
        <v>214</v>
      </c>
      <c r="H316" s="54" t="s">
        <v>215</v>
      </c>
      <c r="I316" s="54"/>
      <c r="J316" s="54"/>
      <c r="K316" s="54">
        <v>201</v>
      </c>
      <c r="L316" s="54">
        <v>1</v>
      </c>
      <c r="M316" s="54">
        <v>3</v>
      </c>
      <c r="N316" s="54" t="s">
        <v>30</v>
      </c>
      <c r="O316" s="54">
        <v>2</v>
      </c>
      <c r="P316" s="54"/>
      <c r="Q316" s="54"/>
      <c r="R316" s="54"/>
      <c r="S316" s="54"/>
      <c r="T316" s="54"/>
      <c r="U316" s="54"/>
      <c r="V316" s="54"/>
      <c r="W316" s="54">
        <v>3057889.36</v>
      </c>
      <c r="X316" s="54">
        <v>1</v>
      </c>
      <c r="Y316" s="54">
        <v>3057889.36</v>
      </c>
      <c r="Z316" s="54"/>
      <c r="AA316" s="54"/>
      <c r="AB316" s="54"/>
    </row>
    <row r="317" spans="1:206" ht="13" x14ac:dyDescent="0.3">
      <c r="A317" s="54">
        <v>50</v>
      </c>
      <c r="B317" s="54">
        <v>0</v>
      </c>
      <c r="C317" s="54">
        <v>0</v>
      </c>
      <c r="D317" s="54">
        <v>1</v>
      </c>
      <c r="E317" s="54">
        <v>202</v>
      </c>
      <c r="F317" s="54">
        <f>ROUND('Source (3)'!P314,O317)</f>
        <v>1632800.28</v>
      </c>
      <c r="G317" s="54" t="s">
        <v>216</v>
      </c>
      <c r="H317" s="54" t="s">
        <v>217</v>
      </c>
      <c r="I317" s="54"/>
      <c r="J317" s="54"/>
      <c r="K317" s="54">
        <v>202</v>
      </c>
      <c r="L317" s="54">
        <v>2</v>
      </c>
      <c r="M317" s="54">
        <v>3</v>
      </c>
      <c r="N317" s="54" t="s">
        <v>30</v>
      </c>
      <c r="O317" s="54">
        <v>2</v>
      </c>
      <c r="P317" s="54"/>
      <c r="Q317" s="54"/>
      <c r="R317" s="54"/>
      <c r="S317" s="54"/>
      <c r="T317" s="54"/>
      <c r="U317" s="54"/>
      <c r="V317" s="54"/>
      <c r="W317" s="54">
        <v>1805749.7</v>
      </c>
      <c r="X317" s="54">
        <v>1</v>
      </c>
      <c r="Y317" s="54">
        <v>1805749.7</v>
      </c>
      <c r="Z317" s="54"/>
      <c r="AA317" s="54"/>
      <c r="AB317" s="54"/>
    </row>
    <row r="318" spans="1:206" ht="13" x14ac:dyDescent="0.3">
      <c r="A318" s="54">
        <v>50</v>
      </c>
      <c r="B318" s="54">
        <v>0</v>
      </c>
      <c r="C318" s="54">
        <v>0</v>
      </c>
      <c r="D318" s="54">
        <v>1</v>
      </c>
      <c r="E318" s="54">
        <v>222</v>
      </c>
      <c r="F318" s="54">
        <f>ROUND('Source (3)'!AO314,O318)</f>
        <v>0</v>
      </c>
      <c r="G318" s="54" t="s">
        <v>218</v>
      </c>
      <c r="H318" s="54" t="s">
        <v>219</v>
      </c>
      <c r="I318" s="54"/>
      <c r="J318" s="54"/>
      <c r="K318" s="54">
        <v>222</v>
      </c>
      <c r="L318" s="54">
        <v>3</v>
      </c>
      <c r="M318" s="54">
        <v>3</v>
      </c>
      <c r="N318" s="54" t="s">
        <v>30</v>
      </c>
      <c r="O318" s="54">
        <v>2</v>
      </c>
      <c r="P318" s="54"/>
      <c r="Q318" s="54"/>
      <c r="R318" s="54"/>
      <c r="S318" s="54"/>
      <c r="T318" s="54"/>
      <c r="U318" s="54"/>
      <c r="V318" s="54"/>
      <c r="W318" s="54">
        <v>0</v>
      </c>
      <c r="X318" s="54">
        <v>1</v>
      </c>
      <c r="Y318" s="54">
        <v>0</v>
      </c>
      <c r="Z318" s="54"/>
      <c r="AA318" s="54"/>
      <c r="AB318" s="54"/>
    </row>
    <row r="319" spans="1:206" ht="13" x14ac:dyDescent="0.3">
      <c r="A319" s="54">
        <v>50</v>
      </c>
      <c r="B319" s="54">
        <v>0</v>
      </c>
      <c r="C319" s="54">
        <v>0</v>
      </c>
      <c r="D319" s="54">
        <v>1</v>
      </c>
      <c r="E319" s="54">
        <v>225</v>
      </c>
      <c r="F319" s="54">
        <f>ROUND('Source (3)'!AV314,O319)</f>
        <v>1632800.28</v>
      </c>
      <c r="G319" s="54" t="s">
        <v>220</v>
      </c>
      <c r="H319" s="54" t="s">
        <v>221</v>
      </c>
      <c r="I319" s="54"/>
      <c r="J319" s="54"/>
      <c r="K319" s="54">
        <v>225</v>
      </c>
      <c r="L319" s="54">
        <v>4</v>
      </c>
      <c r="M319" s="54">
        <v>3</v>
      </c>
      <c r="N319" s="54" t="s">
        <v>30</v>
      </c>
      <c r="O319" s="54">
        <v>2</v>
      </c>
      <c r="P319" s="54"/>
      <c r="Q319" s="54"/>
      <c r="R319" s="54"/>
      <c r="S319" s="54"/>
      <c r="T319" s="54"/>
      <c r="U319" s="54"/>
      <c r="V319" s="54"/>
      <c r="W319" s="54">
        <v>1805749.7</v>
      </c>
      <c r="X319" s="54">
        <v>1</v>
      </c>
      <c r="Y319" s="54">
        <v>1805749.7</v>
      </c>
      <c r="Z319" s="54"/>
      <c r="AA319" s="54"/>
      <c r="AB319" s="54"/>
    </row>
    <row r="320" spans="1:206" ht="13" x14ac:dyDescent="0.3">
      <c r="A320" s="54">
        <v>50</v>
      </c>
      <c r="B320" s="54">
        <v>0</v>
      </c>
      <c r="C320" s="54">
        <v>0</v>
      </c>
      <c r="D320" s="54">
        <v>1</v>
      </c>
      <c r="E320" s="54">
        <v>226</v>
      </c>
      <c r="F320" s="54">
        <f>ROUND('Source (3)'!AW314,O320)</f>
        <v>1632800.28</v>
      </c>
      <c r="G320" s="54" t="s">
        <v>222</v>
      </c>
      <c r="H320" s="54" t="s">
        <v>223</v>
      </c>
      <c r="I320" s="54"/>
      <c r="J320" s="54"/>
      <c r="K320" s="54">
        <v>226</v>
      </c>
      <c r="L320" s="54">
        <v>5</v>
      </c>
      <c r="M320" s="54">
        <v>3</v>
      </c>
      <c r="N320" s="54" t="s">
        <v>30</v>
      </c>
      <c r="O320" s="54">
        <v>2</v>
      </c>
      <c r="P320" s="54"/>
      <c r="Q320" s="54"/>
      <c r="R320" s="54"/>
      <c r="S320" s="54"/>
      <c r="T320" s="54"/>
      <c r="U320" s="54"/>
      <c r="V320" s="54"/>
      <c r="W320" s="54">
        <v>1805749.7</v>
      </c>
      <c r="X320" s="54">
        <v>1</v>
      </c>
      <c r="Y320" s="54">
        <v>1805749.7</v>
      </c>
      <c r="Z320" s="54"/>
      <c r="AA320" s="54"/>
      <c r="AB320" s="54"/>
    </row>
    <row r="321" spans="1:28" ht="13" x14ac:dyDescent="0.3">
      <c r="A321" s="54">
        <v>50</v>
      </c>
      <c r="B321" s="54">
        <v>0</v>
      </c>
      <c r="C321" s="54">
        <v>0</v>
      </c>
      <c r="D321" s="54">
        <v>1</v>
      </c>
      <c r="E321" s="54">
        <v>227</v>
      </c>
      <c r="F321" s="54">
        <f>ROUND('Source (3)'!AX314,O321)</f>
        <v>0</v>
      </c>
      <c r="G321" s="54" t="s">
        <v>224</v>
      </c>
      <c r="H321" s="54" t="s">
        <v>225</v>
      </c>
      <c r="I321" s="54"/>
      <c r="J321" s="54"/>
      <c r="K321" s="54">
        <v>227</v>
      </c>
      <c r="L321" s="54">
        <v>6</v>
      </c>
      <c r="M321" s="54">
        <v>3</v>
      </c>
      <c r="N321" s="54" t="s">
        <v>30</v>
      </c>
      <c r="O321" s="54">
        <v>2</v>
      </c>
      <c r="P321" s="54"/>
      <c r="Q321" s="54"/>
      <c r="R321" s="54"/>
      <c r="S321" s="54"/>
      <c r="T321" s="54"/>
      <c r="U321" s="54"/>
      <c r="V321" s="54"/>
      <c r="W321" s="54">
        <v>0</v>
      </c>
      <c r="X321" s="54">
        <v>1</v>
      </c>
      <c r="Y321" s="54">
        <v>0</v>
      </c>
      <c r="Z321" s="54"/>
      <c r="AA321" s="54"/>
      <c r="AB321" s="54"/>
    </row>
    <row r="322" spans="1:28" ht="13" x14ac:dyDescent="0.3">
      <c r="A322" s="54">
        <v>50</v>
      </c>
      <c r="B322" s="54">
        <v>0</v>
      </c>
      <c r="C322" s="54">
        <v>0</v>
      </c>
      <c r="D322" s="54">
        <v>1</v>
      </c>
      <c r="E322" s="54">
        <v>228</v>
      </c>
      <c r="F322" s="54">
        <f>ROUND('Source (3)'!AY314,O322)</f>
        <v>1632800.28</v>
      </c>
      <c r="G322" s="54" t="s">
        <v>226</v>
      </c>
      <c r="H322" s="54" t="s">
        <v>227</v>
      </c>
      <c r="I322" s="54"/>
      <c r="J322" s="54"/>
      <c r="K322" s="54">
        <v>228</v>
      </c>
      <c r="L322" s="54">
        <v>7</v>
      </c>
      <c r="M322" s="54">
        <v>3</v>
      </c>
      <c r="N322" s="54" t="s">
        <v>30</v>
      </c>
      <c r="O322" s="54">
        <v>2</v>
      </c>
      <c r="P322" s="54"/>
      <c r="Q322" s="54"/>
      <c r="R322" s="54"/>
      <c r="S322" s="54"/>
      <c r="T322" s="54"/>
      <c r="U322" s="54"/>
      <c r="V322" s="54"/>
      <c r="W322" s="54">
        <v>1805749.7</v>
      </c>
      <c r="X322" s="54">
        <v>1</v>
      </c>
      <c r="Y322" s="54">
        <v>1805749.7</v>
      </c>
      <c r="Z322" s="54"/>
      <c r="AA322" s="54"/>
      <c r="AB322" s="54"/>
    </row>
    <row r="323" spans="1:28" ht="13" x14ac:dyDescent="0.3">
      <c r="A323" s="54">
        <v>50</v>
      </c>
      <c r="B323" s="54">
        <v>0</v>
      </c>
      <c r="C323" s="54">
        <v>0</v>
      </c>
      <c r="D323" s="54">
        <v>1</v>
      </c>
      <c r="E323" s="54">
        <v>216</v>
      </c>
      <c r="F323" s="54">
        <f>ROUND('Source (3)'!AP314,O323)</f>
        <v>0</v>
      </c>
      <c r="G323" s="54" t="s">
        <v>228</v>
      </c>
      <c r="H323" s="54" t="s">
        <v>229</v>
      </c>
      <c r="I323" s="54"/>
      <c r="J323" s="54"/>
      <c r="K323" s="54">
        <v>216</v>
      </c>
      <c r="L323" s="54">
        <v>8</v>
      </c>
      <c r="M323" s="54">
        <v>3</v>
      </c>
      <c r="N323" s="54" t="s">
        <v>30</v>
      </c>
      <c r="O323" s="54">
        <v>2</v>
      </c>
      <c r="P323" s="54"/>
      <c r="Q323" s="54"/>
      <c r="R323" s="54"/>
      <c r="S323" s="54"/>
      <c r="T323" s="54"/>
      <c r="U323" s="54"/>
      <c r="V323" s="54"/>
      <c r="W323" s="54">
        <v>0</v>
      </c>
      <c r="X323" s="54">
        <v>1</v>
      </c>
      <c r="Y323" s="54">
        <v>0</v>
      </c>
      <c r="Z323" s="54"/>
      <c r="AA323" s="54"/>
      <c r="AB323" s="54"/>
    </row>
    <row r="324" spans="1:28" ht="13" x14ac:dyDescent="0.3">
      <c r="A324" s="54">
        <v>50</v>
      </c>
      <c r="B324" s="54">
        <v>0</v>
      </c>
      <c r="C324" s="54">
        <v>0</v>
      </c>
      <c r="D324" s="54">
        <v>1</v>
      </c>
      <c r="E324" s="54">
        <v>223</v>
      </c>
      <c r="F324" s="54">
        <f>ROUND('Source (3)'!AQ314,O324)</f>
        <v>0</v>
      </c>
      <c r="G324" s="54" t="s">
        <v>230</v>
      </c>
      <c r="H324" s="54" t="s">
        <v>231</v>
      </c>
      <c r="I324" s="54"/>
      <c r="J324" s="54"/>
      <c r="K324" s="54">
        <v>223</v>
      </c>
      <c r="L324" s="54">
        <v>9</v>
      </c>
      <c r="M324" s="54">
        <v>3</v>
      </c>
      <c r="N324" s="54" t="s">
        <v>30</v>
      </c>
      <c r="O324" s="54">
        <v>2</v>
      </c>
      <c r="P324" s="54"/>
      <c r="Q324" s="54"/>
      <c r="R324" s="54"/>
      <c r="S324" s="54"/>
      <c r="T324" s="54"/>
      <c r="U324" s="54"/>
      <c r="V324" s="54"/>
      <c r="W324" s="54">
        <v>0</v>
      </c>
      <c r="X324" s="54">
        <v>1</v>
      </c>
      <c r="Y324" s="54">
        <v>0</v>
      </c>
      <c r="Z324" s="54"/>
      <c r="AA324" s="54"/>
      <c r="AB324" s="54"/>
    </row>
    <row r="325" spans="1:28" ht="13" x14ac:dyDescent="0.3">
      <c r="A325" s="54">
        <v>50</v>
      </c>
      <c r="B325" s="54">
        <v>0</v>
      </c>
      <c r="C325" s="54">
        <v>0</v>
      </c>
      <c r="D325" s="54">
        <v>1</v>
      </c>
      <c r="E325" s="54">
        <v>229</v>
      </c>
      <c r="F325" s="54">
        <f>ROUND('Source (3)'!AZ314,O325)</f>
        <v>0</v>
      </c>
      <c r="G325" s="54" t="s">
        <v>232</v>
      </c>
      <c r="H325" s="54" t="s">
        <v>233</v>
      </c>
      <c r="I325" s="54"/>
      <c r="J325" s="54"/>
      <c r="K325" s="54">
        <v>229</v>
      </c>
      <c r="L325" s="54">
        <v>10</v>
      </c>
      <c r="M325" s="54">
        <v>3</v>
      </c>
      <c r="N325" s="54" t="s">
        <v>30</v>
      </c>
      <c r="O325" s="54">
        <v>2</v>
      </c>
      <c r="P325" s="54"/>
      <c r="Q325" s="54"/>
      <c r="R325" s="54"/>
      <c r="S325" s="54"/>
      <c r="T325" s="54"/>
      <c r="U325" s="54"/>
      <c r="V325" s="54"/>
      <c r="W325" s="54">
        <v>0</v>
      </c>
      <c r="X325" s="54">
        <v>1</v>
      </c>
      <c r="Y325" s="54">
        <v>0</v>
      </c>
      <c r="Z325" s="54"/>
      <c r="AA325" s="54"/>
      <c r="AB325" s="54"/>
    </row>
    <row r="326" spans="1:28" ht="13" x14ac:dyDescent="0.3">
      <c r="A326" s="54">
        <v>50</v>
      </c>
      <c r="B326" s="54">
        <v>0</v>
      </c>
      <c r="C326" s="54">
        <v>0</v>
      </c>
      <c r="D326" s="54">
        <v>1</v>
      </c>
      <c r="E326" s="54">
        <v>203</v>
      </c>
      <c r="F326" s="54">
        <f>ROUND('Source (3)'!Q314,O326)</f>
        <v>967571.03</v>
      </c>
      <c r="G326" s="54" t="s">
        <v>234</v>
      </c>
      <c r="H326" s="54" t="s">
        <v>235</v>
      </c>
      <c r="I326" s="54"/>
      <c r="J326" s="54"/>
      <c r="K326" s="54">
        <v>203</v>
      </c>
      <c r="L326" s="54">
        <v>11</v>
      </c>
      <c r="M326" s="54">
        <v>3</v>
      </c>
      <c r="N326" s="54" t="s">
        <v>30</v>
      </c>
      <c r="O326" s="54">
        <v>2</v>
      </c>
      <c r="P326" s="54"/>
      <c r="Q326" s="54"/>
      <c r="R326" s="54"/>
      <c r="S326" s="54"/>
      <c r="T326" s="54"/>
      <c r="U326" s="54"/>
      <c r="V326" s="54"/>
      <c r="W326" s="54">
        <v>967582.24</v>
      </c>
      <c r="X326" s="54">
        <v>1</v>
      </c>
      <c r="Y326" s="54">
        <v>967582.24</v>
      </c>
      <c r="Z326" s="54"/>
      <c r="AA326" s="54"/>
      <c r="AB326" s="54"/>
    </row>
    <row r="327" spans="1:28" ht="13" x14ac:dyDescent="0.3">
      <c r="A327" s="54">
        <v>50</v>
      </c>
      <c r="B327" s="54">
        <v>0</v>
      </c>
      <c r="C327" s="54">
        <v>0</v>
      </c>
      <c r="D327" s="54">
        <v>1</v>
      </c>
      <c r="E327" s="54">
        <v>231</v>
      </c>
      <c r="F327" s="54">
        <f>ROUND('Source (3)'!BB314,O327)</f>
        <v>0</v>
      </c>
      <c r="G327" s="54" t="s">
        <v>236</v>
      </c>
      <c r="H327" s="54" t="s">
        <v>237</v>
      </c>
      <c r="I327" s="54"/>
      <c r="J327" s="54"/>
      <c r="K327" s="54">
        <v>231</v>
      </c>
      <c r="L327" s="54">
        <v>12</v>
      </c>
      <c r="M327" s="54">
        <v>3</v>
      </c>
      <c r="N327" s="54" t="s">
        <v>30</v>
      </c>
      <c r="O327" s="54">
        <v>2</v>
      </c>
      <c r="P327" s="54"/>
      <c r="Q327" s="54"/>
      <c r="R327" s="54"/>
      <c r="S327" s="54"/>
      <c r="T327" s="54"/>
      <c r="U327" s="54"/>
      <c r="V327" s="54"/>
      <c r="W327" s="54">
        <v>0</v>
      </c>
      <c r="X327" s="54">
        <v>1</v>
      </c>
      <c r="Y327" s="54">
        <v>0</v>
      </c>
      <c r="Z327" s="54"/>
      <c r="AA327" s="54"/>
      <c r="AB327" s="54"/>
    </row>
    <row r="328" spans="1:28" ht="13" x14ac:dyDescent="0.3">
      <c r="A328" s="54">
        <v>50</v>
      </c>
      <c r="B328" s="54">
        <v>0</v>
      </c>
      <c r="C328" s="54">
        <v>0</v>
      </c>
      <c r="D328" s="54">
        <v>1</v>
      </c>
      <c r="E328" s="54">
        <v>204</v>
      </c>
      <c r="F328" s="54">
        <f>ROUND('Source (3)'!R314,O328)</f>
        <v>499273.45</v>
      </c>
      <c r="G328" s="54" t="s">
        <v>238</v>
      </c>
      <c r="H328" s="54" t="s">
        <v>239</v>
      </c>
      <c r="I328" s="54"/>
      <c r="J328" s="54"/>
      <c r="K328" s="54">
        <v>204</v>
      </c>
      <c r="L328" s="54">
        <v>13</v>
      </c>
      <c r="M328" s="54">
        <v>3</v>
      </c>
      <c r="N328" s="54" t="s">
        <v>30</v>
      </c>
      <c r="O328" s="54">
        <v>2</v>
      </c>
      <c r="P328" s="54"/>
      <c r="Q328" s="54"/>
      <c r="R328" s="54"/>
      <c r="S328" s="54"/>
      <c r="T328" s="54"/>
      <c r="U328" s="54"/>
      <c r="V328" s="54"/>
      <c r="W328" s="54">
        <v>499273.49</v>
      </c>
      <c r="X328" s="54">
        <v>1</v>
      </c>
      <c r="Y328" s="54">
        <v>499273.49</v>
      </c>
      <c r="Z328" s="54"/>
      <c r="AA328" s="54"/>
      <c r="AB328" s="54"/>
    </row>
    <row r="329" spans="1:28" ht="13" x14ac:dyDescent="0.3">
      <c r="A329" s="54">
        <v>50</v>
      </c>
      <c r="B329" s="54">
        <v>0</v>
      </c>
      <c r="C329" s="54">
        <v>0</v>
      </c>
      <c r="D329" s="54">
        <v>1</v>
      </c>
      <c r="E329" s="54">
        <v>205</v>
      </c>
      <c r="F329" s="54">
        <f>ROUND('Source (3)'!S314,O329)</f>
        <v>281876.46000000002</v>
      </c>
      <c r="G329" s="54" t="s">
        <v>240</v>
      </c>
      <c r="H329" s="54" t="s">
        <v>241</v>
      </c>
      <c r="I329" s="54"/>
      <c r="J329" s="54"/>
      <c r="K329" s="54">
        <v>205</v>
      </c>
      <c r="L329" s="54">
        <v>14</v>
      </c>
      <c r="M329" s="54">
        <v>3</v>
      </c>
      <c r="N329" s="54" t="s">
        <v>30</v>
      </c>
      <c r="O329" s="54">
        <v>2</v>
      </c>
      <c r="P329" s="54"/>
      <c r="Q329" s="54"/>
      <c r="R329" s="54"/>
      <c r="S329" s="54"/>
      <c r="T329" s="54"/>
      <c r="U329" s="54"/>
      <c r="V329" s="54"/>
      <c r="W329" s="54">
        <v>284557.42</v>
      </c>
      <c r="X329" s="54">
        <v>1</v>
      </c>
      <c r="Y329" s="54">
        <v>284557.42</v>
      </c>
      <c r="Z329" s="54"/>
      <c r="AA329" s="54"/>
      <c r="AB329" s="54"/>
    </row>
    <row r="330" spans="1:28" ht="13" x14ac:dyDescent="0.3">
      <c r="A330" s="54">
        <v>50</v>
      </c>
      <c r="B330" s="54">
        <v>0</v>
      </c>
      <c r="C330" s="54">
        <v>0</v>
      </c>
      <c r="D330" s="54">
        <v>1</v>
      </c>
      <c r="E330" s="54">
        <v>232</v>
      </c>
      <c r="F330" s="54">
        <f>ROUND('Source (3)'!BC314,O330)</f>
        <v>0</v>
      </c>
      <c r="G330" s="54" t="s">
        <v>242</v>
      </c>
      <c r="H330" s="54" t="s">
        <v>243</v>
      </c>
      <c r="I330" s="54"/>
      <c r="J330" s="54"/>
      <c r="K330" s="54">
        <v>232</v>
      </c>
      <c r="L330" s="54">
        <v>15</v>
      </c>
      <c r="M330" s="54">
        <v>3</v>
      </c>
      <c r="N330" s="54" t="s">
        <v>30</v>
      </c>
      <c r="O330" s="54">
        <v>2</v>
      </c>
      <c r="P330" s="54"/>
      <c r="Q330" s="54"/>
      <c r="R330" s="54"/>
      <c r="S330" s="54"/>
      <c r="T330" s="54"/>
      <c r="U330" s="54"/>
      <c r="V330" s="54"/>
      <c r="W330" s="54">
        <v>0</v>
      </c>
      <c r="X330" s="54">
        <v>1</v>
      </c>
      <c r="Y330" s="54">
        <v>0</v>
      </c>
      <c r="Z330" s="54"/>
      <c r="AA330" s="54"/>
      <c r="AB330" s="54"/>
    </row>
    <row r="331" spans="1:28" ht="13" x14ac:dyDescent="0.3">
      <c r="A331" s="54">
        <v>50</v>
      </c>
      <c r="B331" s="54">
        <v>0</v>
      </c>
      <c r="C331" s="54">
        <v>0</v>
      </c>
      <c r="D331" s="54">
        <v>1</v>
      </c>
      <c r="E331" s="54">
        <v>214</v>
      </c>
      <c r="F331" s="54">
        <f>ROUND('Source (3)'!AS314,O331)</f>
        <v>0</v>
      </c>
      <c r="G331" s="54" t="s">
        <v>244</v>
      </c>
      <c r="H331" s="54" t="s">
        <v>245</v>
      </c>
      <c r="I331" s="54"/>
      <c r="J331" s="54"/>
      <c r="K331" s="54">
        <v>214</v>
      </c>
      <c r="L331" s="54">
        <v>16</v>
      </c>
      <c r="M331" s="54">
        <v>3</v>
      </c>
      <c r="N331" s="54" t="s">
        <v>30</v>
      </c>
      <c r="O331" s="54">
        <v>2</v>
      </c>
      <c r="P331" s="54"/>
      <c r="Q331" s="54"/>
      <c r="R331" s="54"/>
      <c r="S331" s="54"/>
      <c r="T331" s="54"/>
      <c r="U331" s="54"/>
      <c r="V331" s="54"/>
      <c r="W331" s="54">
        <v>0</v>
      </c>
      <c r="X331" s="54">
        <v>1</v>
      </c>
      <c r="Y331" s="54">
        <v>0</v>
      </c>
      <c r="Z331" s="54"/>
      <c r="AA331" s="54"/>
      <c r="AB331" s="54"/>
    </row>
    <row r="332" spans="1:28" ht="13" x14ac:dyDescent="0.3">
      <c r="A332" s="54">
        <v>50</v>
      </c>
      <c r="B332" s="54">
        <v>0</v>
      </c>
      <c r="C332" s="54">
        <v>0</v>
      </c>
      <c r="D332" s="54">
        <v>1</v>
      </c>
      <c r="E332" s="54">
        <v>215</v>
      </c>
      <c r="F332" s="54">
        <f>ROUND('Source (3)'!AT314,O332)</f>
        <v>0</v>
      </c>
      <c r="G332" s="54" t="s">
        <v>246</v>
      </c>
      <c r="H332" s="54" t="s">
        <v>247</v>
      </c>
      <c r="I332" s="54"/>
      <c r="J332" s="54"/>
      <c r="K332" s="54">
        <v>215</v>
      </c>
      <c r="L332" s="54">
        <v>17</v>
      </c>
      <c r="M332" s="54">
        <v>3</v>
      </c>
      <c r="N332" s="54" t="s">
        <v>30</v>
      </c>
      <c r="O332" s="54">
        <v>2</v>
      </c>
      <c r="P332" s="54"/>
      <c r="Q332" s="54"/>
      <c r="R332" s="54"/>
      <c r="S332" s="54"/>
      <c r="T332" s="54"/>
      <c r="U332" s="54"/>
      <c r="V332" s="54"/>
      <c r="W332" s="54">
        <v>0</v>
      </c>
      <c r="X332" s="54">
        <v>1</v>
      </c>
      <c r="Y332" s="54">
        <v>0</v>
      </c>
      <c r="Z332" s="54"/>
      <c r="AA332" s="54"/>
      <c r="AB332" s="54"/>
    </row>
    <row r="333" spans="1:28" ht="13" x14ac:dyDescent="0.3">
      <c r="A333" s="54">
        <v>50</v>
      </c>
      <c r="B333" s="54">
        <v>0</v>
      </c>
      <c r="C333" s="54">
        <v>0</v>
      </c>
      <c r="D333" s="54">
        <v>1</v>
      </c>
      <c r="E333" s="54">
        <v>217</v>
      </c>
      <c r="F333" s="54">
        <f>ROUND('Source (3)'!AU314,O333)</f>
        <v>3243130.39</v>
      </c>
      <c r="G333" s="54" t="s">
        <v>248</v>
      </c>
      <c r="H333" s="54" t="s">
        <v>249</v>
      </c>
      <c r="I333" s="54"/>
      <c r="J333" s="54"/>
      <c r="K333" s="54">
        <v>217</v>
      </c>
      <c r="L333" s="54">
        <v>18</v>
      </c>
      <c r="M333" s="54">
        <v>3</v>
      </c>
      <c r="N333" s="54" t="s">
        <v>30</v>
      </c>
      <c r="O333" s="54">
        <v>2</v>
      </c>
      <c r="P333" s="54"/>
      <c r="Q333" s="54"/>
      <c r="R333" s="54"/>
      <c r="S333" s="54"/>
      <c r="T333" s="54"/>
      <c r="U333" s="54"/>
      <c r="V333" s="54"/>
      <c r="W333" s="54">
        <v>3420916.8</v>
      </c>
      <c r="X333" s="54">
        <v>1</v>
      </c>
      <c r="Y333" s="54">
        <v>3420916.8</v>
      </c>
      <c r="Z333" s="54"/>
      <c r="AA333" s="54"/>
      <c r="AB333" s="54"/>
    </row>
    <row r="334" spans="1:28" ht="13" x14ac:dyDescent="0.3">
      <c r="A334" s="54">
        <v>50</v>
      </c>
      <c r="B334" s="54">
        <v>0</v>
      </c>
      <c r="C334" s="54">
        <v>0</v>
      </c>
      <c r="D334" s="54">
        <v>1</v>
      </c>
      <c r="E334" s="54">
        <v>230</v>
      </c>
      <c r="F334" s="54">
        <f>ROUND('Source (3)'!BA314,O334)</f>
        <v>0</v>
      </c>
      <c r="G334" s="54" t="s">
        <v>250</v>
      </c>
      <c r="H334" s="54" t="s">
        <v>251</v>
      </c>
      <c r="I334" s="54"/>
      <c r="J334" s="54"/>
      <c r="K334" s="54">
        <v>230</v>
      </c>
      <c r="L334" s="54">
        <v>19</v>
      </c>
      <c r="M334" s="54">
        <v>3</v>
      </c>
      <c r="N334" s="54" t="s">
        <v>30</v>
      </c>
      <c r="O334" s="54">
        <v>2</v>
      </c>
      <c r="P334" s="54"/>
      <c r="Q334" s="54"/>
      <c r="R334" s="54"/>
      <c r="S334" s="54"/>
      <c r="T334" s="54"/>
      <c r="U334" s="54"/>
      <c r="V334" s="54"/>
      <c r="W334" s="54">
        <v>0</v>
      </c>
      <c r="X334" s="54">
        <v>1</v>
      </c>
      <c r="Y334" s="54">
        <v>0</v>
      </c>
      <c r="Z334" s="54"/>
      <c r="AA334" s="54"/>
      <c r="AB334" s="54"/>
    </row>
    <row r="335" spans="1:28" ht="13" x14ac:dyDescent="0.3">
      <c r="A335" s="54">
        <v>50</v>
      </c>
      <c r="B335" s="54">
        <v>0</v>
      </c>
      <c r="C335" s="54">
        <v>0</v>
      </c>
      <c r="D335" s="54">
        <v>1</v>
      </c>
      <c r="E335" s="54">
        <v>206</v>
      </c>
      <c r="F335" s="54">
        <f>ROUND('Source (3)'!T314,O335)</f>
        <v>0</v>
      </c>
      <c r="G335" s="54" t="s">
        <v>252</v>
      </c>
      <c r="H335" s="54" t="s">
        <v>253</v>
      </c>
      <c r="I335" s="54"/>
      <c r="J335" s="54"/>
      <c r="K335" s="54">
        <v>206</v>
      </c>
      <c r="L335" s="54">
        <v>20</v>
      </c>
      <c r="M335" s="54">
        <v>3</v>
      </c>
      <c r="N335" s="54" t="s">
        <v>30</v>
      </c>
      <c r="O335" s="54">
        <v>2</v>
      </c>
      <c r="P335" s="54"/>
      <c r="Q335" s="54"/>
      <c r="R335" s="54"/>
      <c r="S335" s="54"/>
      <c r="T335" s="54"/>
      <c r="U335" s="54"/>
      <c r="V335" s="54"/>
      <c r="W335" s="54">
        <v>0</v>
      </c>
      <c r="X335" s="54">
        <v>1</v>
      </c>
      <c r="Y335" s="54">
        <v>0</v>
      </c>
      <c r="Z335" s="54"/>
      <c r="AA335" s="54"/>
      <c r="AB335" s="54"/>
    </row>
    <row r="336" spans="1:28" ht="13" x14ac:dyDescent="0.3">
      <c r="A336" s="54">
        <v>50</v>
      </c>
      <c r="B336" s="54">
        <v>0</v>
      </c>
      <c r="C336" s="54">
        <v>0</v>
      </c>
      <c r="D336" s="54">
        <v>1</v>
      </c>
      <c r="E336" s="54">
        <v>207</v>
      </c>
      <c r="F336" s="54">
        <f>'Source (3)'!U314</f>
        <v>1305.664231</v>
      </c>
      <c r="G336" s="54" t="s">
        <v>254</v>
      </c>
      <c r="H336" s="54" t="s">
        <v>255</v>
      </c>
      <c r="I336" s="54"/>
      <c r="J336" s="54"/>
      <c r="K336" s="54">
        <v>207</v>
      </c>
      <c r="L336" s="54">
        <v>21</v>
      </c>
      <c r="M336" s="54">
        <v>3</v>
      </c>
      <c r="N336" s="54" t="s">
        <v>30</v>
      </c>
      <c r="O336" s="54">
        <v>-1</v>
      </c>
      <c r="P336" s="54"/>
      <c r="Q336" s="54"/>
      <c r="R336" s="54"/>
      <c r="S336" s="54"/>
      <c r="T336" s="54"/>
      <c r="U336" s="54"/>
      <c r="V336" s="54"/>
      <c r="W336" s="54">
        <v>1315.7064310000001</v>
      </c>
      <c r="X336" s="54">
        <v>1</v>
      </c>
      <c r="Y336" s="54">
        <v>1315.7064310000001</v>
      </c>
      <c r="Z336" s="54"/>
      <c r="AA336" s="54"/>
      <c r="AB336" s="54"/>
    </row>
    <row r="337" spans="1:28" ht="13" x14ac:dyDescent="0.3">
      <c r="A337" s="54">
        <v>50</v>
      </c>
      <c r="B337" s="54">
        <v>0</v>
      </c>
      <c r="C337" s="54">
        <v>0</v>
      </c>
      <c r="D337" s="54">
        <v>1</v>
      </c>
      <c r="E337" s="54">
        <v>208</v>
      </c>
      <c r="F337" s="54">
        <f>'Source (3)'!V314</f>
        <v>0</v>
      </c>
      <c r="G337" s="54" t="s">
        <v>256</v>
      </c>
      <c r="H337" s="54" t="s">
        <v>257</v>
      </c>
      <c r="I337" s="54"/>
      <c r="J337" s="54"/>
      <c r="K337" s="54">
        <v>208</v>
      </c>
      <c r="L337" s="54">
        <v>22</v>
      </c>
      <c r="M337" s="54">
        <v>3</v>
      </c>
      <c r="N337" s="54" t="s">
        <v>30</v>
      </c>
      <c r="O337" s="54">
        <v>-1</v>
      </c>
      <c r="P337" s="54"/>
      <c r="Q337" s="54"/>
      <c r="R337" s="54"/>
      <c r="S337" s="54"/>
      <c r="T337" s="54"/>
      <c r="U337" s="54"/>
      <c r="V337" s="54"/>
      <c r="W337" s="54">
        <v>0</v>
      </c>
      <c r="X337" s="54">
        <v>1</v>
      </c>
      <c r="Y337" s="54">
        <v>0</v>
      </c>
      <c r="Z337" s="54"/>
      <c r="AA337" s="54"/>
      <c r="AB337" s="54"/>
    </row>
    <row r="338" spans="1:28" ht="13" x14ac:dyDescent="0.3">
      <c r="A338" s="54">
        <v>50</v>
      </c>
      <c r="B338" s="54">
        <v>0</v>
      </c>
      <c r="C338" s="54">
        <v>0</v>
      </c>
      <c r="D338" s="54">
        <v>1</v>
      </c>
      <c r="E338" s="54">
        <v>209</v>
      </c>
      <c r="F338" s="54">
        <f>ROUND('Source (3)'!W314,O338)</f>
        <v>0</v>
      </c>
      <c r="G338" s="54" t="s">
        <v>258</v>
      </c>
      <c r="H338" s="54" t="s">
        <v>259</v>
      </c>
      <c r="I338" s="54"/>
      <c r="J338" s="54"/>
      <c r="K338" s="54">
        <v>209</v>
      </c>
      <c r="L338" s="54">
        <v>23</v>
      </c>
      <c r="M338" s="54">
        <v>3</v>
      </c>
      <c r="N338" s="54" t="s">
        <v>30</v>
      </c>
      <c r="O338" s="54">
        <v>2</v>
      </c>
      <c r="P338" s="54"/>
      <c r="Q338" s="54"/>
      <c r="R338" s="54"/>
      <c r="S338" s="54"/>
      <c r="T338" s="54"/>
      <c r="U338" s="54"/>
      <c r="V338" s="54"/>
      <c r="W338" s="54">
        <v>0</v>
      </c>
      <c r="X338" s="54">
        <v>1</v>
      </c>
      <c r="Y338" s="54">
        <v>0</v>
      </c>
      <c r="Z338" s="54"/>
      <c r="AA338" s="54"/>
      <c r="AB338" s="54"/>
    </row>
    <row r="339" spans="1:28" ht="13" x14ac:dyDescent="0.3">
      <c r="A339" s="54">
        <v>50</v>
      </c>
      <c r="B339" s="54">
        <v>0</v>
      </c>
      <c r="C339" s="54">
        <v>0</v>
      </c>
      <c r="D339" s="54">
        <v>1</v>
      </c>
      <c r="E339" s="54">
        <v>233</v>
      </c>
      <c r="F339" s="54">
        <f>ROUND('Source (3)'!BD314,O339)</f>
        <v>0</v>
      </c>
      <c r="G339" s="54" t="s">
        <v>260</v>
      </c>
      <c r="H339" s="54" t="s">
        <v>261</v>
      </c>
      <c r="I339" s="54"/>
      <c r="J339" s="54"/>
      <c r="K339" s="54">
        <v>233</v>
      </c>
      <c r="L339" s="54">
        <v>24</v>
      </c>
      <c r="M339" s="54">
        <v>3</v>
      </c>
      <c r="N339" s="54" t="s">
        <v>30</v>
      </c>
      <c r="O339" s="54">
        <v>2</v>
      </c>
      <c r="P339" s="54"/>
      <c r="Q339" s="54"/>
      <c r="R339" s="54"/>
      <c r="S339" s="54"/>
      <c r="T339" s="54"/>
      <c r="U339" s="54"/>
      <c r="V339" s="54"/>
      <c r="W339" s="54">
        <v>0</v>
      </c>
      <c r="X339" s="54">
        <v>1</v>
      </c>
      <c r="Y339" s="54">
        <v>0</v>
      </c>
      <c r="Z339" s="54"/>
      <c r="AA339" s="54"/>
      <c r="AB339" s="54"/>
    </row>
    <row r="340" spans="1:28" ht="13" x14ac:dyDescent="0.3">
      <c r="A340" s="54">
        <v>50</v>
      </c>
      <c r="B340" s="54">
        <v>0</v>
      </c>
      <c r="C340" s="54">
        <v>0</v>
      </c>
      <c r="D340" s="54">
        <v>1</v>
      </c>
      <c r="E340" s="54">
        <v>210</v>
      </c>
      <c r="F340" s="54">
        <f>ROUND('Source (3)'!X314,O340)</f>
        <v>197313.54</v>
      </c>
      <c r="G340" s="54" t="s">
        <v>262</v>
      </c>
      <c r="H340" s="54" t="s">
        <v>263</v>
      </c>
      <c r="I340" s="54"/>
      <c r="J340" s="54"/>
      <c r="K340" s="54">
        <v>210</v>
      </c>
      <c r="L340" s="54">
        <v>25</v>
      </c>
      <c r="M340" s="54">
        <v>3</v>
      </c>
      <c r="N340" s="54" t="s">
        <v>30</v>
      </c>
      <c r="O340" s="54">
        <v>2</v>
      </c>
      <c r="P340" s="54"/>
      <c r="Q340" s="54"/>
      <c r="R340" s="54"/>
      <c r="S340" s="54"/>
      <c r="T340" s="54"/>
      <c r="U340" s="54"/>
      <c r="V340" s="54"/>
      <c r="W340" s="54">
        <v>199190.22</v>
      </c>
      <c r="X340" s="54">
        <v>1</v>
      </c>
      <c r="Y340" s="54">
        <v>199190.22</v>
      </c>
      <c r="Z340" s="54"/>
      <c r="AA340" s="54"/>
      <c r="AB340" s="54"/>
    </row>
    <row r="341" spans="1:28" ht="13" x14ac:dyDescent="0.3">
      <c r="A341" s="54">
        <v>50</v>
      </c>
      <c r="B341" s="54">
        <v>0</v>
      </c>
      <c r="C341" s="54">
        <v>0</v>
      </c>
      <c r="D341" s="54">
        <v>1</v>
      </c>
      <c r="E341" s="54">
        <v>211</v>
      </c>
      <c r="F341" s="54">
        <f>ROUND('Source (3)'!Y314,O341)</f>
        <v>28187.66</v>
      </c>
      <c r="G341" s="54" t="s">
        <v>264</v>
      </c>
      <c r="H341" s="54" t="s">
        <v>265</v>
      </c>
      <c r="I341" s="54"/>
      <c r="J341" s="54"/>
      <c r="K341" s="54">
        <v>211</v>
      </c>
      <c r="L341" s="54">
        <v>26</v>
      </c>
      <c r="M341" s="54">
        <v>3</v>
      </c>
      <c r="N341" s="54" t="s">
        <v>30</v>
      </c>
      <c r="O341" s="54">
        <v>2</v>
      </c>
      <c r="P341" s="54"/>
      <c r="Q341" s="54"/>
      <c r="R341" s="54"/>
      <c r="S341" s="54"/>
      <c r="T341" s="54"/>
      <c r="U341" s="54"/>
      <c r="V341" s="54"/>
      <c r="W341" s="54">
        <v>28455.759999999998</v>
      </c>
      <c r="X341" s="54">
        <v>1</v>
      </c>
      <c r="Y341" s="54">
        <v>28455.759999999998</v>
      </c>
      <c r="Z341" s="54"/>
      <c r="AA341" s="54"/>
      <c r="AB341" s="54"/>
    </row>
    <row r="342" spans="1:28" ht="13" x14ac:dyDescent="0.3">
      <c r="A342" s="54">
        <v>50</v>
      </c>
      <c r="B342" s="54">
        <v>0</v>
      </c>
      <c r="C342" s="54">
        <v>0</v>
      </c>
      <c r="D342" s="54">
        <v>1</v>
      </c>
      <c r="E342" s="54">
        <v>224</v>
      </c>
      <c r="F342" s="54">
        <f>ROUND('Source (3)'!AR314,O342)</f>
        <v>3243130.39</v>
      </c>
      <c r="G342" s="54" t="s">
        <v>266</v>
      </c>
      <c r="H342" s="54" t="s">
        <v>267</v>
      </c>
      <c r="I342" s="54"/>
      <c r="J342" s="54"/>
      <c r="K342" s="54">
        <v>224</v>
      </c>
      <c r="L342" s="54">
        <v>27</v>
      </c>
      <c r="M342" s="54">
        <v>3</v>
      </c>
      <c r="N342" s="54" t="s">
        <v>30</v>
      </c>
      <c r="O342" s="54">
        <v>2</v>
      </c>
      <c r="P342" s="54"/>
      <c r="Q342" s="54"/>
      <c r="R342" s="54"/>
      <c r="S342" s="54"/>
      <c r="T342" s="54"/>
      <c r="U342" s="54"/>
      <c r="V342" s="54"/>
      <c r="W342" s="54">
        <v>3420916.8</v>
      </c>
      <c r="X342" s="54">
        <v>1</v>
      </c>
      <c r="Y342" s="54">
        <v>3420916.8</v>
      </c>
      <c r="Z342" s="54"/>
      <c r="AA342" s="54"/>
      <c r="AB342" s="54"/>
    </row>
    <row r="343" spans="1:28" ht="13" x14ac:dyDescent="0.3">
      <c r="A343" s="54">
        <v>50</v>
      </c>
      <c r="B343" s="54">
        <v>1</v>
      </c>
      <c r="C343" s="54">
        <v>0</v>
      </c>
      <c r="D343" s="54">
        <v>2</v>
      </c>
      <c r="E343" s="54">
        <v>0</v>
      </c>
      <c r="F343" s="54">
        <f>ROUND(F342,O343)</f>
        <v>3243130.39</v>
      </c>
      <c r="G343" s="54" t="s">
        <v>268</v>
      </c>
      <c r="H343" s="54" t="s">
        <v>269</v>
      </c>
      <c r="I343" s="54"/>
      <c r="J343" s="54"/>
      <c r="K343" s="54">
        <v>212</v>
      </c>
      <c r="L343" s="54">
        <v>28</v>
      </c>
      <c r="M343" s="54">
        <v>0</v>
      </c>
      <c r="N343" s="54" t="s">
        <v>30</v>
      </c>
      <c r="O343" s="54">
        <v>2</v>
      </c>
      <c r="P343" s="54"/>
      <c r="Q343" s="54"/>
      <c r="R343" s="54"/>
      <c r="S343" s="54"/>
      <c r="T343" s="54"/>
      <c r="U343" s="54"/>
      <c r="V343" s="54"/>
      <c r="W343" s="54">
        <v>3420916.8</v>
      </c>
      <c r="X343" s="54">
        <v>1</v>
      </c>
      <c r="Y343" s="54">
        <v>3420916.8</v>
      </c>
      <c r="Z343" s="54"/>
      <c r="AA343" s="54"/>
      <c r="AB343" s="54"/>
    </row>
    <row r="344" spans="1:28" ht="13" x14ac:dyDescent="0.3">
      <c r="A344" s="54">
        <v>50</v>
      </c>
      <c r="B344" s="54">
        <v>1</v>
      </c>
      <c r="C344" s="54">
        <v>0</v>
      </c>
      <c r="D344" s="54">
        <v>2</v>
      </c>
      <c r="E344" s="54">
        <v>0</v>
      </c>
      <c r="F344" s="54">
        <f>ROUND(F342-F329-F328,O344)</f>
        <v>2461980.48</v>
      </c>
      <c r="G344" s="54" t="s">
        <v>270</v>
      </c>
      <c r="H344" s="54" t="s">
        <v>271</v>
      </c>
      <c r="I344" s="54"/>
      <c r="J344" s="54"/>
      <c r="K344" s="54">
        <v>212</v>
      </c>
      <c r="L344" s="54">
        <v>29</v>
      </c>
      <c r="M344" s="54">
        <v>0</v>
      </c>
      <c r="N344" s="54" t="s">
        <v>30</v>
      </c>
      <c r="O344" s="54">
        <v>2</v>
      </c>
      <c r="P344" s="54"/>
      <c r="Q344" s="54"/>
      <c r="R344" s="54"/>
      <c r="S344" s="54"/>
      <c r="T344" s="54"/>
      <c r="U344" s="54"/>
      <c r="V344" s="54"/>
      <c r="W344" s="54">
        <v>2637085.89</v>
      </c>
      <c r="X344" s="54">
        <v>1</v>
      </c>
      <c r="Y344" s="54">
        <v>2637085.89</v>
      </c>
      <c r="Z344" s="54"/>
      <c r="AA344" s="54"/>
      <c r="AB344" s="54"/>
    </row>
    <row r="345" spans="1:28" ht="13" x14ac:dyDescent="0.3">
      <c r="A345" s="54">
        <v>50</v>
      </c>
      <c r="B345" s="54">
        <v>1</v>
      </c>
      <c r="C345" s="54">
        <v>0</v>
      </c>
      <c r="D345" s="54">
        <v>2</v>
      </c>
      <c r="E345" s="54">
        <v>0</v>
      </c>
      <c r="F345" s="54">
        <f>ROUND(F341,O345)</f>
        <v>28187.66</v>
      </c>
      <c r="G345" s="54" t="s">
        <v>25</v>
      </c>
      <c r="H345" s="54" t="s">
        <v>25</v>
      </c>
      <c r="I345" s="54"/>
      <c r="J345" s="54"/>
      <c r="K345" s="54">
        <v>212</v>
      </c>
      <c r="L345" s="54">
        <v>30</v>
      </c>
      <c r="M345" s="54">
        <v>0</v>
      </c>
      <c r="N345" s="54" t="s">
        <v>30</v>
      </c>
      <c r="O345" s="54">
        <v>2</v>
      </c>
      <c r="P345" s="54"/>
      <c r="Q345" s="54"/>
      <c r="R345" s="54"/>
      <c r="S345" s="54"/>
      <c r="T345" s="54"/>
      <c r="U345" s="54"/>
      <c r="V345" s="54"/>
      <c r="W345" s="54">
        <v>28455.759999999998</v>
      </c>
      <c r="X345" s="54">
        <v>1</v>
      </c>
      <c r="Y345" s="54">
        <v>28455.759999999998</v>
      </c>
      <c r="Z345" s="54"/>
      <c r="AA345" s="54"/>
      <c r="AB345" s="54"/>
    </row>
    <row r="346" spans="1:28" ht="13" x14ac:dyDescent="0.3">
      <c r="A346" s="54">
        <v>50</v>
      </c>
      <c r="B346" s="54">
        <v>1</v>
      </c>
      <c r="C346" s="54">
        <v>0</v>
      </c>
      <c r="D346" s="54">
        <v>2</v>
      </c>
      <c r="E346" s="54">
        <v>0</v>
      </c>
      <c r="F346" s="54">
        <f>ROUND(F351*0.3,O346)</f>
        <v>149782.04</v>
      </c>
      <c r="G346" s="54" t="s">
        <v>272</v>
      </c>
      <c r="H346" s="54" t="s">
        <v>272</v>
      </c>
      <c r="I346" s="54"/>
      <c r="J346" s="54"/>
      <c r="K346" s="54">
        <v>212</v>
      </c>
      <c r="L346" s="54">
        <v>31</v>
      </c>
      <c r="M346" s="54">
        <v>0</v>
      </c>
      <c r="N346" s="54" t="s">
        <v>30</v>
      </c>
      <c r="O346" s="54">
        <v>2</v>
      </c>
      <c r="P346" s="54"/>
      <c r="Q346" s="54"/>
      <c r="R346" s="54"/>
      <c r="S346" s="54"/>
      <c r="T346" s="54"/>
      <c r="U346" s="54"/>
      <c r="V346" s="54"/>
      <c r="W346" s="54">
        <v>149782.04999999999</v>
      </c>
      <c r="X346" s="54">
        <v>1</v>
      </c>
      <c r="Y346" s="54">
        <v>149782.04999999999</v>
      </c>
      <c r="Z346" s="54"/>
      <c r="AA346" s="54"/>
      <c r="AB346" s="54"/>
    </row>
    <row r="347" spans="1:28" ht="13" x14ac:dyDescent="0.3">
      <c r="A347" s="54">
        <v>50</v>
      </c>
      <c r="B347" s="54">
        <v>1</v>
      </c>
      <c r="C347" s="54">
        <v>0</v>
      </c>
      <c r="D347" s="54">
        <v>2</v>
      </c>
      <c r="E347" s="54">
        <v>0</v>
      </c>
      <c r="F347" s="54">
        <f>ROUND(F344-F345-F346,O347)</f>
        <v>2284010.7799999998</v>
      </c>
      <c r="G347" s="54" t="s">
        <v>273</v>
      </c>
      <c r="H347" s="54" t="s">
        <v>274</v>
      </c>
      <c r="I347" s="54"/>
      <c r="J347" s="54"/>
      <c r="K347" s="54">
        <v>212</v>
      </c>
      <c r="L347" s="54">
        <v>32</v>
      </c>
      <c r="M347" s="54">
        <v>0</v>
      </c>
      <c r="N347" s="54" t="s">
        <v>30</v>
      </c>
      <c r="O347" s="54">
        <v>2</v>
      </c>
      <c r="P347" s="54"/>
      <c r="Q347" s="54"/>
      <c r="R347" s="54"/>
      <c r="S347" s="54"/>
      <c r="T347" s="54"/>
      <c r="U347" s="54"/>
      <c r="V347" s="54"/>
      <c r="W347" s="54">
        <v>2458848.08</v>
      </c>
      <c r="X347" s="54">
        <v>1</v>
      </c>
      <c r="Y347" s="54">
        <v>2458848.08</v>
      </c>
      <c r="Z347" s="54"/>
      <c r="AA347" s="54"/>
      <c r="AB347" s="54"/>
    </row>
    <row r="348" spans="1:28" ht="13" x14ac:dyDescent="0.3">
      <c r="A348" s="54">
        <v>50</v>
      </c>
      <c r="B348" s="54">
        <v>1</v>
      </c>
      <c r="C348" s="54">
        <v>0</v>
      </c>
      <c r="D348" s="54">
        <v>2</v>
      </c>
      <c r="E348" s="54">
        <v>0</v>
      </c>
      <c r="F348" s="54">
        <f>ROUND(F347*0.2,O348)</f>
        <v>456802.16</v>
      </c>
      <c r="G348" s="54" t="s">
        <v>42</v>
      </c>
      <c r="H348" s="54" t="s">
        <v>42</v>
      </c>
      <c r="I348" s="54"/>
      <c r="J348" s="54"/>
      <c r="K348" s="54">
        <v>212</v>
      </c>
      <c r="L348" s="54">
        <v>33</v>
      </c>
      <c r="M348" s="54">
        <v>0</v>
      </c>
      <c r="N348" s="54" t="s">
        <v>30</v>
      </c>
      <c r="O348" s="54">
        <v>2</v>
      </c>
      <c r="P348" s="54"/>
      <c r="Q348" s="54"/>
      <c r="R348" s="54"/>
      <c r="S348" s="54"/>
      <c r="T348" s="54"/>
      <c r="U348" s="54"/>
      <c r="V348" s="54"/>
      <c r="W348" s="54">
        <v>491769.62</v>
      </c>
      <c r="X348" s="54">
        <v>1</v>
      </c>
      <c r="Y348" s="54">
        <v>491769.62</v>
      </c>
      <c r="Z348" s="54"/>
      <c r="AA348" s="54"/>
      <c r="AB348" s="54"/>
    </row>
    <row r="349" spans="1:28" ht="13" x14ac:dyDescent="0.3">
      <c r="A349" s="54">
        <v>50</v>
      </c>
      <c r="B349" s="54">
        <v>1</v>
      </c>
      <c r="C349" s="54">
        <v>0</v>
      </c>
      <c r="D349" s="54">
        <v>2</v>
      </c>
      <c r="E349" s="54">
        <v>0</v>
      </c>
      <c r="F349" s="54">
        <f>ROUND(F347+F348,O349)</f>
        <v>2740812.94</v>
      </c>
      <c r="G349" s="54" t="s">
        <v>43</v>
      </c>
      <c r="H349" s="54" t="s">
        <v>275</v>
      </c>
      <c r="I349" s="54"/>
      <c r="J349" s="54"/>
      <c r="K349" s="54">
        <v>212</v>
      </c>
      <c r="L349" s="54">
        <v>34</v>
      </c>
      <c r="M349" s="54">
        <v>0</v>
      </c>
      <c r="N349" s="54" t="s">
        <v>30</v>
      </c>
      <c r="O349" s="54">
        <v>2</v>
      </c>
      <c r="P349" s="54"/>
      <c r="Q349" s="54"/>
      <c r="R349" s="54"/>
      <c r="S349" s="54"/>
      <c r="T349" s="54"/>
      <c r="U349" s="54"/>
      <c r="V349" s="54"/>
      <c r="W349" s="54">
        <v>2950617.7</v>
      </c>
      <c r="X349" s="54">
        <v>1</v>
      </c>
      <c r="Y349" s="54">
        <v>2950617.7</v>
      </c>
      <c r="Z349" s="54"/>
      <c r="AA349" s="54"/>
      <c r="AB349" s="54"/>
    </row>
    <row r="350" spans="1:28" ht="13" x14ac:dyDescent="0.3">
      <c r="A350" s="54">
        <v>50</v>
      </c>
      <c r="B350" s="54">
        <v>1</v>
      </c>
      <c r="C350" s="54">
        <v>0</v>
      </c>
      <c r="D350" s="54">
        <v>2</v>
      </c>
      <c r="E350" s="54">
        <v>0</v>
      </c>
      <c r="F350" s="54">
        <f>ROUND(F329,O350)</f>
        <v>281876.46000000002</v>
      </c>
      <c r="G350" s="54" t="s">
        <v>276</v>
      </c>
      <c r="H350" s="54" t="s">
        <v>277</v>
      </c>
      <c r="I350" s="54"/>
      <c r="J350" s="54"/>
      <c r="K350" s="54">
        <v>212</v>
      </c>
      <c r="L350" s="54">
        <v>35</v>
      </c>
      <c r="M350" s="54">
        <v>0</v>
      </c>
      <c r="N350" s="54" t="s">
        <v>30</v>
      </c>
      <c r="O350" s="54">
        <v>2</v>
      </c>
      <c r="P350" s="54"/>
      <c r="Q350" s="54"/>
      <c r="R350" s="54"/>
      <c r="S350" s="54"/>
      <c r="T350" s="54"/>
      <c r="U350" s="54"/>
      <c r="V350" s="54"/>
      <c r="W350" s="54">
        <v>284557.42</v>
      </c>
      <c r="X350" s="54">
        <v>1</v>
      </c>
      <c r="Y350" s="54">
        <v>284557.42</v>
      </c>
      <c r="Z350" s="54"/>
      <c r="AA350" s="54"/>
      <c r="AB350" s="54"/>
    </row>
    <row r="351" spans="1:28" ht="13" x14ac:dyDescent="0.3">
      <c r="A351" s="54">
        <v>50</v>
      </c>
      <c r="B351" s="54">
        <v>1</v>
      </c>
      <c r="C351" s="54">
        <v>0</v>
      </c>
      <c r="D351" s="54">
        <v>2</v>
      </c>
      <c r="E351" s="54">
        <v>0</v>
      </c>
      <c r="F351" s="54">
        <f>ROUND(F328,O351)</f>
        <v>499273.45</v>
      </c>
      <c r="G351" s="54" t="s">
        <v>278</v>
      </c>
      <c r="H351" s="54" t="s">
        <v>279</v>
      </c>
      <c r="I351" s="54"/>
      <c r="J351" s="54"/>
      <c r="K351" s="54">
        <v>212</v>
      </c>
      <c r="L351" s="54">
        <v>36</v>
      </c>
      <c r="M351" s="54">
        <v>0</v>
      </c>
      <c r="N351" s="54" t="s">
        <v>30</v>
      </c>
      <c r="O351" s="54">
        <v>2</v>
      </c>
      <c r="P351" s="54"/>
      <c r="Q351" s="54"/>
      <c r="R351" s="54"/>
      <c r="S351" s="54"/>
      <c r="T351" s="54"/>
      <c r="U351" s="54"/>
      <c r="V351" s="54"/>
      <c r="W351" s="54">
        <v>499273.49</v>
      </c>
      <c r="X351" s="54">
        <v>1</v>
      </c>
      <c r="Y351" s="54">
        <v>499273.49</v>
      </c>
      <c r="Z351" s="54"/>
      <c r="AA351" s="54"/>
      <c r="AB351" s="54"/>
    </row>
    <row r="352" spans="1:28" ht="13" x14ac:dyDescent="0.3">
      <c r="A352" s="54">
        <v>50</v>
      </c>
      <c r="B352" s="54">
        <v>1</v>
      </c>
      <c r="C352" s="54">
        <v>0</v>
      </c>
      <c r="D352" s="54">
        <v>2</v>
      </c>
      <c r="E352" s="54">
        <v>0</v>
      </c>
      <c r="F352" s="54">
        <f>ROUND(F349+F350+F351,O352)</f>
        <v>3521962.85</v>
      </c>
      <c r="G352" s="54" t="s">
        <v>266</v>
      </c>
      <c r="H352" s="54" t="s">
        <v>280</v>
      </c>
      <c r="I352" s="54"/>
      <c r="J352" s="54"/>
      <c r="K352" s="54">
        <v>212</v>
      </c>
      <c r="L352" s="54">
        <v>37</v>
      </c>
      <c r="M352" s="54">
        <v>0</v>
      </c>
      <c r="N352" s="54" t="s">
        <v>30</v>
      </c>
      <c r="O352" s="54">
        <v>2</v>
      </c>
      <c r="P352" s="54"/>
      <c r="Q352" s="54"/>
      <c r="R352" s="54"/>
      <c r="S352" s="54"/>
      <c r="T352" s="54"/>
      <c r="U352" s="54"/>
      <c r="V352" s="54"/>
      <c r="W352" s="54">
        <v>3734448.61</v>
      </c>
      <c r="X352" s="54">
        <v>1</v>
      </c>
      <c r="Y352" s="54">
        <v>3734448.61</v>
      </c>
      <c r="Z352" s="54"/>
      <c r="AA352" s="54"/>
      <c r="AB352" s="54"/>
    </row>
    <row r="354" spans="1:206" ht="13" x14ac:dyDescent="0.3">
      <c r="A354" s="52">
        <v>51</v>
      </c>
      <c r="B354" s="52">
        <f>B12</f>
        <v>397</v>
      </c>
      <c r="C354" s="52">
        <f>A12</f>
        <v>1</v>
      </c>
      <c r="D354" s="52">
        <f>ROW(A12)</f>
        <v>12</v>
      </c>
      <c r="E354" s="52"/>
      <c r="F354" s="52" t="str">
        <f>IF(F12&lt;&gt;"",F12,"")</f>
        <v>Г43 в ценах 2022г._(Копия)</v>
      </c>
      <c r="G354" s="52" t="str">
        <f>IF(G12&lt;&gt;"",G12,"")</f>
        <v>Шоссейная д.20</v>
      </c>
      <c r="H354" s="52">
        <v>0</v>
      </c>
      <c r="I354" s="52"/>
      <c r="J354" s="52"/>
      <c r="K354" s="52"/>
      <c r="L354" s="52"/>
      <c r="M354" s="52"/>
      <c r="N354" s="52"/>
      <c r="O354" s="52">
        <f t="shared" ref="O354:T354" si="166">ROUND(O314,2)</f>
        <v>2882247.77</v>
      </c>
      <c r="P354" s="52">
        <f t="shared" si="166"/>
        <v>1632800.28</v>
      </c>
      <c r="Q354" s="52">
        <f t="shared" si="166"/>
        <v>967571.03</v>
      </c>
      <c r="R354" s="52">
        <f t="shared" si="166"/>
        <v>499273.45</v>
      </c>
      <c r="S354" s="52">
        <f t="shared" si="166"/>
        <v>281876.46000000002</v>
      </c>
      <c r="T354" s="52">
        <f t="shared" si="166"/>
        <v>0</v>
      </c>
      <c r="U354" s="52">
        <f>U314</f>
        <v>1305.664231</v>
      </c>
      <c r="V354" s="52">
        <f>V314</f>
        <v>0</v>
      </c>
      <c r="W354" s="52">
        <f>ROUND(W314,2)</f>
        <v>0</v>
      </c>
      <c r="X354" s="52">
        <f>ROUND(X314,2)</f>
        <v>197313.54</v>
      </c>
      <c r="Y354" s="52">
        <f>ROUND(Y314,2)</f>
        <v>28187.66</v>
      </c>
      <c r="Z354" s="52"/>
      <c r="AA354" s="52"/>
      <c r="AB354" s="52"/>
      <c r="AC354" s="52"/>
      <c r="AD354" s="52"/>
      <c r="AE354" s="52"/>
      <c r="AF354" s="52"/>
      <c r="AG354" s="52"/>
      <c r="AH354" s="52"/>
      <c r="AI354" s="52"/>
      <c r="AJ354" s="52"/>
      <c r="AK354" s="52"/>
      <c r="AL354" s="52"/>
      <c r="AM354" s="52"/>
      <c r="AN354" s="52"/>
      <c r="AO354" s="52">
        <f t="shared" ref="AO354:BD354" si="167">ROUND(AO314,2)</f>
        <v>0</v>
      </c>
      <c r="AP354" s="52">
        <f t="shared" si="167"/>
        <v>0</v>
      </c>
      <c r="AQ354" s="52">
        <f t="shared" si="167"/>
        <v>0</v>
      </c>
      <c r="AR354" s="52">
        <f t="shared" si="167"/>
        <v>3243130.39</v>
      </c>
      <c r="AS354" s="52">
        <f t="shared" si="167"/>
        <v>0</v>
      </c>
      <c r="AT354" s="52">
        <f t="shared" si="167"/>
        <v>0</v>
      </c>
      <c r="AU354" s="52">
        <f t="shared" si="167"/>
        <v>3243130.39</v>
      </c>
      <c r="AV354" s="52">
        <f t="shared" si="167"/>
        <v>1632800.28</v>
      </c>
      <c r="AW354" s="52">
        <f t="shared" si="167"/>
        <v>1632800.28</v>
      </c>
      <c r="AX354" s="52">
        <f t="shared" si="167"/>
        <v>0</v>
      </c>
      <c r="AY354" s="52">
        <f t="shared" si="167"/>
        <v>1632800.28</v>
      </c>
      <c r="AZ354" s="52">
        <f t="shared" si="167"/>
        <v>0</v>
      </c>
      <c r="BA354" s="52">
        <f t="shared" si="167"/>
        <v>0</v>
      </c>
      <c r="BB354" s="52">
        <f t="shared" si="167"/>
        <v>0</v>
      </c>
      <c r="BC354" s="52">
        <f t="shared" si="167"/>
        <v>0</v>
      </c>
      <c r="BD354" s="52">
        <f t="shared" si="167"/>
        <v>0</v>
      </c>
      <c r="BE354" s="52"/>
      <c r="BF354" s="52"/>
      <c r="BG354" s="52"/>
      <c r="BH354" s="52"/>
      <c r="BI354" s="52"/>
      <c r="BJ354" s="52"/>
      <c r="BK354" s="52"/>
      <c r="BL354" s="52"/>
      <c r="BM354" s="52"/>
      <c r="BN354" s="52"/>
      <c r="BO354" s="52"/>
      <c r="BP354" s="52"/>
      <c r="BQ354" s="52"/>
      <c r="BR354" s="52"/>
      <c r="BS354" s="52"/>
      <c r="BT354" s="52"/>
      <c r="BU354" s="52"/>
      <c r="BV354" s="52"/>
      <c r="BW354" s="52"/>
      <c r="BX354" s="52"/>
      <c r="BY354" s="52"/>
      <c r="BZ354" s="52"/>
      <c r="CA354" s="52"/>
      <c r="CB354" s="52"/>
      <c r="CC354" s="52"/>
      <c r="CD354" s="52"/>
      <c r="CE354" s="52"/>
      <c r="CF354" s="52"/>
      <c r="CG354" s="52"/>
      <c r="CH354" s="52"/>
      <c r="CI354" s="52"/>
      <c r="CJ354" s="52"/>
      <c r="CK354" s="52"/>
      <c r="CL354" s="52"/>
      <c r="CM354" s="52"/>
      <c r="CN354" s="52"/>
      <c r="CO354" s="52"/>
      <c r="CP354" s="52"/>
      <c r="CQ354" s="52"/>
      <c r="CR354" s="52"/>
      <c r="CS354" s="52"/>
      <c r="CT354" s="52"/>
      <c r="CU354" s="52"/>
      <c r="CV354" s="52"/>
      <c r="CW354" s="52"/>
      <c r="CX354" s="52"/>
      <c r="CY354" s="52"/>
      <c r="CZ354" s="52"/>
      <c r="DA354" s="52"/>
      <c r="DB354" s="52"/>
      <c r="DC354" s="52"/>
      <c r="DD354" s="52"/>
      <c r="DE354" s="52"/>
      <c r="DF354" s="52"/>
      <c r="DG354" s="53"/>
      <c r="DH354" s="53"/>
      <c r="DI354" s="53"/>
      <c r="DJ354" s="53"/>
      <c r="DK354" s="53"/>
      <c r="DL354" s="53"/>
      <c r="DM354" s="53"/>
      <c r="DN354" s="53"/>
      <c r="DO354" s="53"/>
      <c r="DP354" s="53"/>
      <c r="DQ354" s="53"/>
      <c r="DR354" s="53"/>
      <c r="DS354" s="53"/>
      <c r="DT354" s="53"/>
      <c r="DU354" s="53"/>
      <c r="DV354" s="53"/>
      <c r="DW354" s="53"/>
      <c r="DX354" s="53"/>
      <c r="DY354" s="53"/>
      <c r="DZ354" s="53"/>
      <c r="EA354" s="53"/>
      <c r="EB354" s="53"/>
      <c r="EC354" s="53"/>
      <c r="ED354" s="53"/>
      <c r="EE354" s="53"/>
      <c r="EF354" s="53"/>
      <c r="EG354" s="53"/>
      <c r="EH354" s="53"/>
      <c r="EI354" s="53"/>
      <c r="EJ354" s="53"/>
      <c r="EK354" s="53"/>
      <c r="EL354" s="53"/>
      <c r="EM354" s="53"/>
      <c r="EN354" s="53"/>
      <c r="EO354" s="53"/>
      <c r="EP354" s="53"/>
      <c r="EQ354" s="53"/>
      <c r="ER354" s="53"/>
      <c r="ES354" s="53"/>
      <c r="ET354" s="53"/>
      <c r="EU354" s="53"/>
      <c r="EV354" s="53"/>
      <c r="EW354" s="53"/>
      <c r="EX354" s="53"/>
      <c r="EY354" s="53"/>
      <c r="EZ354" s="53"/>
      <c r="FA354" s="53"/>
      <c r="FB354" s="53"/>
      <c r="FC354" s="53"/>
      <c r="FD354" s="53"/>
      <c r="FE354" s="53"/>
      <c r="FF354" s="53"/>
      <c r="FG354" s="53"/>
      <c r="FH354" s="53"/>
      <c r="FI354" s="53"/>
      <c r="FJ354" s="53"/>
      <c r="FK354" s="53"/>
      <c r="FL354" s="53"/>
      <c r="FM354" s="53"/>
      <c r="FN354" s="53"/>
      <c r="FO354" s="53"/>
      <c r="FP354" s="53"/>
      <c r="FQ354" s="53"/>
      <c r="FR354" s="53"/>
      <c r="FS354" s="53"/>
      <c r="FT354" s="53"/>
      <c r="FU354" s="53"/>
      <c r="FV354" s="53"/>
      <c r="FW354" s="53"/>
      <c r="FX354" s="53"/>
      <c r="FY354" s="53"/>
      <c r="FZ354" s="53"/>
      <c r="GA354" s="53"/>
      <c r="GB354" s="53"/>
      <c r="GC354" s="53"/>
      <c r="GD354" s="53"/>
      <c r="GE354" s="53"/>
      <c r="GF354" s="53"/>
      <c r="GG354" s="53"/>
      <c r="GH354" s="53"/>
      <c r="GI354" s="53"/>
      <c r="GJ354" s="53"/>
      <c r="GK354" s="53"/>
      <c r="GL354" s="53"/>
      <c r="GM354" s="53"/>
      <c r="GN354" s="53"/>
      <c r="GO354" s="53"/>
      <c r="GP354" s="53"/>
      <c r="GQ354" s="53"/>
      <c r="GR354" s="53"/>
      <c r="GS354" s="53"/>
      <c r="GT354" s="53"/>
      <c r="GU354" s="53"/>
      <c r="GV354" s="53"/>
      <c r="GW354" s="53"/>
      <c r="GX354" s="53">
        <v>0</v>
      </c>
    </row>
    <row r="356" spans="1:206" ht="13" x14ac:dyDescent="0.3">
      <c r="A356" s="54">
        <v>50</v>
      </c>
      <c r="B356" s="54">
        <v>0</v>
      </c>
      <c r="C356" s="54">
        <v>0</v>
      </c>
      <c r="D356" s="54">
        <v>1</v>
      </c>
      <c r="E356" s="54">
        <v>201</v>
      </c>
      <c r="F356" s="54">
        <f>ROUND('Source (3)'!O354,O356)</f>
        <v>2882247.77</v>
      </c>
      <c r="G356" s="54" t="s">
        <v>214</v>
      </c>
      <c r="H356" s="54" t="s">
        <v>215</v>
      </c>
      <c r="I356" s="54"/>
      <c r="J356" s="54"/>
      <c r="K356" s="54">
        <v>201</v>
      </c>
      <c r="L356" s="54">
        <v>1</v>
      </c>
      <c r="M356" s="54">
        <v>3</v>
      </c>
      <c r="N356" s="54" t="s">
        <v>30</v>
      </c>
      <c r="O356" s="54">
        <v>2</v>
      </c>
      <c r="P356" s="54"/>
      <c r="Q356" s="54"/>
      <c r="R356" s="54"/>
      <c r="S356" s="54"/>
      <c r="T356" s="54"/>
      <c r="U356" s="54"/>
      <c r="V356" s="54"/>
      <c r="W356" s="54">
        <v>3057889.36</v>
      </c>
      <c r="X356" s="54">
        <v>1</v>
      </c>
      <c r="Y356" s="54">
        <v>3057889.36</v>
      </c>
      <c r="Z356" s="54"/>
      <c r="AA356" s="54"/>
      <c r="AB356" s="54"/>
    </row>
    <row r="357" spans="1:206" ht="13" x14ac:dyDescent="0.3">
      <c r="A357" s="54">
        <v>50</v>
      </c>
      <c r="B357" s="54">
        <v>0</v>
      </c>
      <c r="C357" s="54">
        <v>0</v>
      </c>
      <c r="D357" s="54">
        <v>1</v>
      </c>
      <c r="E357" s="54">
        <v>202</v>
      </c>
      <c r="F357" s="54">
        <f>ROUND('Source (3)'!P354,O357)</f>
        <v>1632800.28</v>
      </c>
      <c r="G357" s="54" t="s">
        <v>216</v>
      </c>
      <c r="H357" s="54" t="s">
        <v>217</v>
      </c>
      <c r="I357" s="54"/>
      <c r="J357" s="54"/>
      <c r="K357" s="54">
        <v>202</v>
      </c>
      <c r="L357" s="54">
        <v>2</v>
      </c>
      <c r="M357" s="54">
        <v>3</v>
      </c>
      <c r="N357" s="54" t="s">
        <v>30</v>
      </c>
      <c r="O357" s="54">
        <v>2</v>
      </c>
      <c r="P357" s="54"/>
      <c r="Q357" s="54"/>
      <c r="R357" s="54"/>
      <c r="S357" s="54"/>
      <c r="T357" s="54"/>
      <c r="U357" s="54"/>
      <c r="V357" s="54"/>
      <c r="W357" s="54">
        <v>1805749.7</v>
      </c>
      <c r="X357" s="54">
        <v>1</v>
      </c>
      <c r="Y357" s="54">
        <v>1805749.7</v>
      </c>
      <c r="Z357" s="54"/>
      <c r="AA357" s="54"/>
      <c r="AB357" s="54"/>
    </row>
    <row r="358" spans="1:206" ht="13" x14ac:dyDescent="0.3">
      <c r="A358" s="54">
        <v>50</v>
      </c>
      <c r="B358" s="54">
        <v>0</v>
      </c>
      <c r="C358" s="54">
        <v>0</v>
      </c>
      <c r="D358" s="54">
        <v>1</v>
      </c>
      <c r="E358" s="54">
        <v>222</v>
      </c>
      <c r="F358" s="54">
        <f>ROUND('Source (3)'!AO354,O358)</f>
        <v>0</v>
      </c>
      <c r="G358" s="54" t="s">
        <v>218</v>
      </c>
      <c r="H358" s="54" t="s">
        <v>219</v>
      </c>
      <c r="I358" s="54"/>
      <c r="J358" s="54"/>
      <c r="K358" s="54">
        <v>222</v>
      </c>
      <c r="L358" s="54">
        <v>3</v>
      </c>
      <c r="M358" s="54">
        <v>3</v>
      </c>
      <c r="N358" s="54" t="s">
        <v>30</v>
      </c>
      <c r="O358" s="54">
        <v>2</v>
      </c>
      <c r="P358" s="54"/>
      <c r="Q358" s="54"/>
      <c r="R358" s="54"/>
      <c r="S358" s="54"/>
      <c r="T358" s="54"/>
      <c r="U358" s="54"/>
      <c r="V358" s="54"/>
      <c r="W358" s="54">
        <v>0</v>
      </c>
      <c r="X358" s="54">
        <v>1</v>
      </c>
      <c r="Y358" s="54">
        <v>0</v>
      </c>
      <c r="Z358" s="54"/>
      <c r="AA358" s="54"/>
      <c r="AB358" s="54"/>
    </row>
    <row r="359" spans="1:206" ht="13" x14ac:dyDescent="0.3">
      <c r="A359" s="54">
        <v>50</v>
      </c>
      <c r="B359" s="54">
        <v>0</v>
      </c>
      <c r="C359" s="54">
        <v>0</v>
      </c>
      <c r="D359" s="54">
        <v>1</v>
      </c>
      <c r="E359" s="54">
        <v>225</v>
      </c>
      <c r="F359" s="54">
        <f>ROUND('Source (3)'!AV354,O359)</f>
        <v>1632800.28</v>
      </c>
      <c r="G359" s="54" t="s">
        <v>220</v>
      </c>
      <c r="H359" s="54" t="s">
        <v>221</v>
      </c>
      <c r="I359" s="54"/>
      <c r="J359" s="54"/>
      <c r="K359" s="54">
        <v>225</v>
      </c>
      <c r="L359" s="54">
        <v>4</v>
      </c>
      <c r="M359" s="54">
        <v>3</v>
      </c>
      <c r="N359" s="54" t="s">
        <v>30</v>
      </c>
      <c r="O359" s="54">
        <v>2</v>
      </c>
      <c r="P359" s="54"/>
      <c r="Q359" s="54"/>
      <c r="R359" s="54"/>
      <c r="S359" s="54"/>
      <c r="T359" s="54"/>
      <c r="U359" s="54"/>
      <c r="V359" s="54"/>
      <c r="W359" s="54">
        <v>1805749.7</v>
      </c>
      <c r="X359" s="54">
        <v>1</v>
      </c>
      <c r="Y359" s="54">
        <v>1805749.7</v>
      </c>
      <c r="Z359" s="54"/>
      <c r="AA359" s="54"/>
      <c r="AB359" s="54"/>
    </row>
    <row r="360" spans="1:206" ht="13" x14ac:dyDescent="0.3">
      <c r="A360" s="54">
        <v>50</v>
      </c>
      <c r="B360" s="54">
        <v>0</v>
      </c>
      <c r="C360" s="54">
        <v>0</v>
      </c>
      <c r="D360" s="54">
        <v>1</v>
      </c>
      <c r="E360" s="54">
        <v>226</v>
      </c>
      <c r="F360" s="54">
        <f>ROUND('Source (3)'!AW354,O360)</f>
        <v>1632800.28</v>
      </c>
      <c r="G360" s="54" t="s">
        <v>222</v>
      </c>
      <c r="H360" s="54" t="s">
        <v>223</v>
      </c>
      <c r="I360" s="54"/>
      <c r="J360" s="54"/>
      <c r="K360" s="54">
        <v>226</v>
      </c>
      <c r="L360" s="54">
        <v>5</v>
      </c>
      <c r="M360" s="54">
        <v>3</v>
      </c>
      <c r="N360" s="54" t="s">
        <v>30</v>
      </c>
      <c r="O360" s="54">
        <v>2</v>
      </c>
      <c r="P360" s="54"/>
      <c r="Q360" s="54"/>
      <c r="R360" s="54"/>
      <c r="S360" s="54"/>
      <c r="T360" s="54"/>
      <c r="U360" s="54"/>
      <c r="V360" s="54"/>
      <c r="W360" s="54">
        <v>1805749.7</v>
      </c>
      <c r="X360" s="54">
        <v>1</v>
      </c>
      <c r="Y360" s="54">
        <v>1805749.7</v>
      </c>
      <c r="Z360" s="54"/>
      <c r="AA360" s="54"/>
      <c r="AB360" s="54"/>
    </row>
    <row r="361" spans="1:206" ht="13" x14ac:dyDescent="0.3">
      <c r="A361" s="54">
        <v>50</v>
      </c>
      <c r="B361" s="54">
        <v>0</v>
      </c>
      <c r="C361" s="54">
        <v>0</v>
      </c>
      <c r="D361" s="54">
        <v>1</v>
      </c>
      <c r="E361" s="54">
        <v>227</v>
      </c>
      <c r="F361" s="54">
        <f>ROUND('Source (3)'!AX354,O361)</f>
        <v>0</v>
      </c>
      <c r="G361" s="54" t="s">
        <v>224</v>
      </c>
      <c r="H361" s="54" t="s">
        <v>225</v>
      </c>
      <c r="I361" s="54"/>
      <c r="J361" s="54"/>
      <c r="K361" s="54">
        <v>227</v>
      </c>
      <c r="L361" s="54">
        <v>6</v>
      </c>
      <c r="M361" s="54">
        <v>3</v>
      </c>
      <c r="N361" s="54" t="s">
        <v>30</v>
      </c>
      <c r="O361" s="54">
        <v>2</v>
      </c>
      <c r="P361" s="54"/>
      <c r="Q361" s="54"/>
      <c r="R361" s="54"/>
      <c r="S361" s="54"/>
      <c r="T361" s="54"/>
      <c r="U361" s="54"/>
      <c r="V361" s="54"/>
      <c r="W361" s="54">
        <v>0</v>
      </c>
      <c r="X361" s="54">
        <v>1</v>
      </c>
      <c r="Y361" s="54">
        <v>0</v>
      </c>
      <c r="Z361" s="54"/>
      <c r="AA361" s="54"/>
      <c r="AB361" s="54"/>
    </row>
    <row r="362" spans="1:206" ht="13" x14ac:dyDescent="0.3">
      <c r="A362" s="54">
        <v>50</v>
      </c>
      <c r="B362" s="54">
        <v>0</v>
      </c>
      <c r="C362" s="54">
        <v>0</v>
      </c>
      <c r="D362" s="54">
        <v>1</v>
      </c>
      <c r="E362" s="54">
        <v>228</v>
      </c>
      <c r="F362" s="54">
        <f>ROUND('Source (3)'!AY354,O362)</f>
        <v>1632800.28</v>
      </c>
      <c r="G362" s="54" t="s">
        <v>226</v>
      </c>
      <c r="H362" s="54" t="s">
        <v>227</v>
      </c>
      <c r="I362" s="54"/>
      <c r="J362" s="54"/>
      <c r="K362" s="54">
        <v>228</v>
      </c>
      <c r="L362" s="54">
        <v>7</v>
      </c>
      <c r="M362" s="54">
        <v>3</v>
      </c>
      <c r="N362" s="54" t="s">
        <v>30</v>
      </c>
      <c r="O362" s="54">
        <v>2</v>
      </c>
      <c r="P362" s="54"/>
      <c r="Q362" s="54"/>
      <c r="R362" s="54"/>
      <c r="S362" s="54"/>
      <c r="T362" s="54"/>
      <c r="U362" s="54"/>
      <c r="V362" s="54"/>
      <c r="W362" s="54">
        <v>1805749.7</v>
      </c>
      <c r="X362" s="54">
        <v>1</v>
      </c>
      <c r="Y362" s="54">
        <v>1805749.7</v>
      </c>
      <c r="Z362" s="54"/>
      <c r="AA362" s="54"/>
      <c r="AB362" s="54"/>
    </row>
    <row r="363" spans="1:206" ht="13" x14ac:dyDescent="0.3">
      <c r="A363" s="54">
        <v>50</v>
      </c>
      <c r="B363" s="54">
        <v>0</v>
      </c>
      <c r="C363" s="54">
        <v>0</v>
      </c>
      <c r="D363" s="54">
        <v>1</v>
      </c>
      <c r="E363" s="54">
        <v>216</v>
      </c>
      <c r="F363" s="54">
        <f>ROUND('Source (3)'!AP354,O363)</f>
        <v>0</v>
      </c>
      <c r="G363" s="54" t="s">
        <v>228</v>
      </c>
      <c r="H363" s="54" t="s">
        <v>229</v>
      </c>
      <c r="I363" s="54"/>
      <c r="J363" s="54"/>
      <c r="K363" s="54">
        <v>216</v>
      </c>
      <c r="L363" s="54">
        <v>8</v>
      </c>
      <c r="M363" s="54">
        <v>3</v>
      </c>
      <c r="N363" s="54" t="s">
        <v>30</v>
      </c>
      <c r="O363" s="54">
        <v>2</v>
      </c>
      <c r="P363" s="54"/>
      <c r="Q363" s="54"/>
      <c r="R363" s="54"/>
      <c r="S363" s="54"/>
      <c r="T363" s="54"/>
      <c r="U363" s="54"/>
      <c r="V363" s="54"/>
      <c r="W363" s="54">
        <v>0</v>
      </c>
      <c r="X363" s="54">
        <v>1</v>
      </c>
      <c r="Y363" s="54">
        <v>0</v>
      </c>
      <c r="Z363" s="54"/>
      <c r="AA363" s="54"/>
      <c r="AB363" s="54"/>
    </row>
    <row r="364" spans="1:206" ht="13" x14ac:dyDescent="0.3">
      <c r="A364" s="54">
        <v>50</v>
      </c>
      <c r="B364" s="54">
        <v>0</v>
      </c>
      <c r="C364" s="54">
        <v>0</v>
      </c>
      <c r="D364" s="54">
        <v>1</v>
      </c>
      <c r="E364" s="54">
        <v>223</v>
      </c>
      <c r="F364" s="54">
        <f>ROUND('Source (3)'!AQ354,O364)</f>
        <v>0</v>
      </c>
      <c r="G364" s="54" t="s">
        <v>230</v>
      </c>
      <c r="H364" s="54" t="s">
        <v>231</v>
      </c>
      <c r="I364" s="54"/>
      <c r="J364" s="54"/>
      <c r="K364" s="54">
        <v>223</v>
      </c>
      <c r="L364" s="54">
        <v>9</v>
      </c>
      <c r="M364" s="54">
        <v>3</v>
      </c>
      <c r="N364" s="54" t="s">
        <v>30</v>
      </c>
      <c r="O364" s="54">
        <v>2</v>
      </c>
      <c r="P364" s="54"/>
      <c r="Q364" s="54"/>
      <c r="R364" s="54"/>
      <c r="S364" s="54"/>
      <c r="T364" s="54"/>
      <c r="U364" s="54"/>
      <c r="V364" s="54"/>
      <c r="W364" s="54">
        <v>0</v>
      </c>
      <c r="X364" s="54">
        <v>1</v>
      </c>
      <c r="Y364" s="54">
        <v>0</v>
      </c>
      <c r="Z364" s="54"/>
      <c r="AA364" s="54"/>
      <c r="AB364" s="54"/>
    </row>
    <row r="365" spans="1:206" ht="13" x14ac:dyDescent="0.3">
      <c r="A365" s="54">
        <v>50</v>
      </c>
      <c r="B365" s="54">
        <v>0</v>
      </c>
      <c r="C365" s="54">
        <v>0</v>
      </c>
      <c r="D365" s="54">
        <v>1</v>
      </c>
      <c r="E365" s="54">
        <v>229</v>
      </c>
      <c r="F365" s="54">
        <f>ROUND('Source (3)'!AZ354,O365)</f>
        <v>0</v>
      </c>
      <c r="G365" s="54" t="s">
        <v>232</v>
      </c>
      <c r="H365" s="54" t="s">
        <v>233</v>
      </c>
      <c r="I365" s="54"/>
      <c r="J365" s="54"/>
      <c r="K365" s="54">
        <v>229</v>
      </c>
      <c r="L365" s="54">
        <v>10</v>
      </c>
      <c r="M365" s="54">
        <v>3</v>
      </c>
      <c r="N365" s="54" t="s">
        <v>30</v>
      </c>
      <c r="O365" s="54">
        <v>2</v>
      </c>
      <c r="P365" s="54"/>
      <c r="Q365" s="54"/>
      <c r="R365" s="54"/>
      <c r="S365" s="54"/>
      <c r="T365" s="54"/>
      <c r="U365" s="54"/>
      <c r="V365" s="54"/>
      <c r="W365" s="54">
        <v>0</v>
      </c>
      <c r="X365" s="54">
        <v>1</v>
      </c>
      <c r="Y365" s="54">
        <v>0</v>
      </c>
      <c r="Z365" s="54"/>
      <c r="AA365" s="54"/>
      <c r="AB365" s="54"/>
    </row>
    <row r="366" spans="1:206" ht="13" x14ac:dyDescent="0.3">
      <c r="A366" s="54">
        <v>50</v>
      </c>
      <c r="B366" s="54">
        <v>0</v>
      </c>
      <c r="C366" s="54">
        <v>0</v>
      </c>
      <c r="D366" s="54">
        <v>1</v>
      </c>
      <c r="E366" s="54">
        <v>203</v>
      </c>
      <c r="F366" s="54">
        <f>ROUND('Source (3)'!Q354,O366)</f>
        <v>967571.03</v>
      </c>
      <c r="G366" s="54" t="s">
        <v>234</v>
      </c>
      <c r="H366" s="54" t="s">
        <v>235</v>
      </c>
      <c r="I366" s="54"/>
      <c r="J366" s="54"/>
      <c r="K366" s="54">
        <v>203</v>
      </c>
      <c r="L366" s="54">
        <v>11</v>
      </c>
      <c r="M366" s="54">
        <v>3</v>
      </c>
      <c r="N366" s="54" t="s">
        <v>30</v>
      </c>
      <c r="O366" s="54">
        <v>2</v>
      </c>
      <c r="P366" s="54"/>
      <c r="Q366" s="54"/>
      <c r="R366" s="54"/>
      <c r="S366" s="54"/>
      <c r="T366" s="54"/>
      <c r="U366" s="54"/>
      <c r="V366" s="54"/>
      <c r="W366" s="54">
        <v>967582.24</v>
      </c>
      <c r="X366" s="54">
        <v>1</v>
      </c>
      <c r="Y366" s="54">
        <v>967582.24</v>
      </c>
      <c r="Z366" s="54"/>
      <c r="AA366" s="54"/>
      <c r="AB366" s="54"/>
    </row>
    <row r="367" spans="1:206" ht="13" x14ac:dyDescent="0.3">
      <c r="A367" s="54">
        <v>50</v>
      </c>
      <c r="B367" s="54">
        <v>0</v>
      </c>
      <c r="C367" s="54">
        <v>0</v>
      </c>
      <c r="D367" s="54">
        <v>1</v>
      </c>
      <c r="E367" s="54">
        <v>231</v>
      </c>
      <c r="F367" s="54">
        <f>ROUND('Source (3)'!BB354,O367)</f>
        <v>0</v>
      </c>
      <c r="G367" s="54" t="s">
        <v>236</v>
      </c>
      <c r="H367" s="54" t="s">
        <v>237</v>
      </c>
      <c r="I367" s="54"/>
      <c r="J367" s="54"/>
      <c r="K367" s="54">
        <v>231</v>
      </c>
      <c r="L367" s="54">
        <v>12</v>
      </c>
      <c r="M367" s="54">
        <v>3</v>
      </c>
      <c r="N367" s="54" t="s">
        <v>30</v>
      </c>
      <c r="O367" s="54">
        <v>2</v>
      </c>
      <c r="P367" s="54"/>
      <c r="Q367" s="54"/>
      <c r="R367" s="54"/>
      <c r="S367" s="54"/>
      <c r="T367" s="54"/>
      <c r="U367" s="54"/>
      <c r="V367" s="54"/>
      <c r="W367" s="54">
        <v>0</v>
      </c>
      <c r="X367" s="54">
        <v>1</v>
      </c>
      <c r="Y367" s="54">
        <v>0</v>
      </c>
      <c r="Z367" s="54"/>
      <c r="AA367" s="54"/>
      <c r="AB367" s="54"/>
    </row>
    <row r="368" spans="1:206" ht="13" x14ac:dyDescent="0.3">
      <c r="A368" s="54">
        <v>50</v>
      </c>
      <c r="B368" s="54">
        <v>0</v>
      </c>
      <c r="C368" s="54">
        <v>0</v>
      </c>
      <c r="D368" s="54">
        <v>1</v>
      </c>
      <c r="E368" s="54">
        <v>204</v>
      </c>
      <c r="F368" s="54">
        <f>ROUND('Source (3)'!R354,O368)</f>
        <v>499273.45</v>
      </c>
      <c r="G368" s="54" t="s">
        <v>238</v>
      </c>
      <c r="H368" s="54" t="s">
        <v>239</v>
      </c>
      <c r="I368" s="54"/>
      <c r="J368" s="54"/>
      <c r="K368" s="54">
        <v>204</v>
      </c>
      <c r="L368" s="54">
        <v>13</v>
      </c>
      <c r="M368" s="54">
        <v>3</v>
      </c>
      <c r="N368" s="54" t="s">
        <v>30</v>
      </c>
      <c r="O368" s="54">
        <v>2</v>
      </c>
      <c r="P368" s="54"/>
      <c r="Q368" s="54"/>
      <c r="R368" s="54"/>
      <c r="S368" s="54"/>
      <c r="T368" s="54"/>
      <c r="U368" s="54"/>
      <c r="V368" s="54"/>
      <c r="W368" s="54">
        <v>499273.49</v>
      </c>
      <c r="X368" s="54">
        <v>1</v>
      </c>
      <c r="Y368" s="54">
        <v>499273.49</v>
      </c>
      <c r="Z368" s="54"/>
      <c r="AA368" s="54"/>
      <c r="AB368" s="54"/>
    </row>
    <row r="369" spans="1:28" ht="13" x14ac:dyDescent="0.3">
      <c r="A369" s="54">
        <v>50</v>
      </c>
      <c r="B369" s="54">
        <v>0</v>
      </c>
      <c r="C369" s="54">
        <v>0</v>
      </c>
      <c r="D369" s="54">
        <v>1</v>
      </c>
      <c r="E369" s="54">
        <v>205</v>
      </c>
      <c r="F369" s="54">
        <f>ROUND('Source (3)'!S354,O369)</f>
        <v>281876.46000000002</v>
      </c>
      <c r="G369" s="54" t="s">
        <v>240</v>
      </c>
      <c r="H369" s="54" t="s">
        <v>241</v>
      </c>
      <c r="I369" s="54"/>
      <c r="J369" s="54"/>
      <c r="K369" s="54">
        <v>205</v>
      </c>
      <c r="L369" s="54">
        <v>14</v>
      </c>
      <c r="M369" s="54">
        <v>3</v>
      </c>
      <c r="N369" s="54" t="s">
        <v>30</v>
      </c>
      <c r="O369" s="54">
        <v>2</v>
      </c>
      <c r="P369" s="54"/>
      <c r="Q369" s="54"/>
      <c r="R369" s="54"/>
      <c r="S369" s="54"/>
      <c r="T369" s="54"/>
      <c r="U369" s="54"/>
      <c r="V369" s="54"/>
      <c r="W369" s="54">
        <v>284557.42</v>
      </c>
      <c r="X369" s="54">
        <v>1</v>
      </c>
      <c r="Y369" s="54">
        <v>284557.42</v>
      </c>
      <c r="Z369" s="54"/>
      <c r="AA369" s="54"/>
      <c r="AB369" s="54"/>
    </row>
    <row r="370" spans="1:28" ht="13" x14ac:dyDescent="0.3">
      <c r="A370" s="54">
        <v>50</v>
      </c>
      <c r="B370" s="54">
        <v>0</v>
      </c>
      <c r="C370" s="54">
        <v>0</v>
      </c>
      <c r="D370" s="54">
        <v>1</v>
      </c>
      <c r="E370" s="54">
        <v>232</v>
      </c>
      <c r="F370" s="54">
        <f>ROUND('Source (3)'!BC354,O370)</f>
        <v>0</v>
      </c>
      <c r="G370" s="54" t="s">
        <v>242</v>
      </c>
      <c r="H370" s="54" t="s">
        <v>243</v>
      </c>
      <c r="I370" s="54"/>
      <c r="J370" s="54"/>
      <c r="K370" s="54">
        <v>232</v>
      </c>
      <c r="L370" s="54">
        <v>15</v>
      </c>
      <c r="M370" s="54">
        <v>3</v>
      </c>
      <c r="N370" s="54" t="s">
        <v>30</v>
      </c>
      <c r="O370" s="54">
        <v>2</v>
      </c>
      <c r="P370" s="54"/>
      <c r="Q370" s="54"/>
      <c r="R370" s="54"/>
      <c r="S370" s="54"/>
      <c r="T370" s="54"/>
      <c r="U370" s="54"/>
      <c r="V370" s="54"/>
      <c r="W370" s="54">
        <v>0</v>
      </c>
      <c r="X370" s="54">
        <v>1</v>
      </c>
      <c r="Y370" s="54">
        <v>0</v>
      </c>
      <c r="Z370" s="54"/>
      <c r="AA370" s="54"/>
      <c r="AB370" s="54"/>
    </row>
    <row r="371" spans="1:28" ht="13" x14ac:dyDescent="0.3">
      <c r="A371" s="54">
        <v>50</v>
      </c>
      <c r="B371" s="54">
        <v>0</v>
      </c>
      <c r="C371" s="54">
        <v>0</v>
      </c>
      <c r="D371" s="54">
        <v>1</v>
      </c>
      <c r="E371" s="54">
        <v>214</v>
      </c>
      <c r="F371" s="54">
        <f>ROUND('Source (3)'!AS354,O371)</f>
        <v>0</v>
      </c>
      <c r="G371" s="54" t="s">
        <v>244</v>
      </c>
      <c r="H371" s="54" t="s">
        <v>245</v>
      </c>
      <c r="I371" s="54"/>
      <c r="J371" s="54"/>
      <c r="K371" s="54">
        <v>214</v>
      </c>
      <c r="L371" s="54">
        <v>16</v>
      </c>
      <c r="M371" s="54">
        <v>3</v>
      </c>
      <c r="N371" s="54" t="s">
        <v>30</v>
      </c>
      <c r="O371" s="54">
        <v>2</v>
      </c>
      <c r="P371" s="54"/>
      <c r="Q371" s="54"/>
      <c r="R371" s="54"/>
      <c r="S371" s="54"/>
      <c r="T371" s="54"/>
      <c r="U371" s="54"/>
      <c r="V371" s="54"/>
      <c r="W371" s="54">
        <v>0</v>
      </c>
      <c r="X371" s="54">
        <v>1</v>
      </c>
      <c r="Y371" s="54">
        <v>0</v>
      </c>
      <c r="Z371" s="54"/>
      <c r="AA371" s="54"/>
      <c r="AB371" s="54"/>
    </row>
    <row r="372" spans="1:28" ht="13" x14ac:dyDescent="0.3">
      <c r="A372" s="54">
        <v>50</v>
      </c>
      <c r="B372" s="54">
        <v>0</v>
      </c>
      <c r="C372" s="54">
        <v>0</v>
      </c>
      <c r="D372" s="54">
        <v>1</v>
      </c>
      <c r="E372" s="54">
        <v>215</v>
      </c>
      <c r="F372" s="54">
        <f>ROUND('Source (3)'!AT354,O372)</f>
        <v>0</v>
      </c>
      <c r="G372" s="54" t="s">
        <v>246</v>
      </c>
      <c r="H372" s="54" t="s">
        <v>247</v>
      </c>
      <c r="I372" s="54"/>
      <c r="J372" s="54"/>
      <c r="K372" s="54">
        <v>215</v>
      </c>
      <c r="L372" s="54">
        <v>17</v>
      </c>
      <c r="M372" s="54">
        <v>3</v>
      </c>
      <c r="N372" s="54" t="s">
        <v>30</v>
      </c>
      <c r="O372" s="54">
        <v>2</v>
      </c>
      <c r="P372" s="54"/>
      <c r="Q372" s="54"/>
      <c r="R372" s="54"/>
      <c r="S372" s="54"/>
      <c r="T372" s="54"/>
      <c r="U372" s="54"/>
      <c r="V372" s="54"/>
      <c r="W372" s="54">
        <v>0</v>
      </c>
      <c r="X372" s="54">
        <v>1</v>
      </c>
      <c r="Y372" s="54">
        <v>0</v>
      </c>
      <c r="Z372" s="54"/>
      <c r="AA372" s="54"/>
      <c r="AB372" s="54"/>
    </row>
    <row r="373" spans="1:28" ht="13" x14ac:dyDescent="0.3">
      <c r="A373" s="54">
        <v>50</v>
      </c>
      <c r="B373" s="54">
        <v>0</v>
      </c>
      <c r="C373" s="54">
        <v>0</v>
      </c>
      <c r="D373" s="54">
        <v>1</v>
      </c>
      <c r="E373" s="54">
        <v>217</v>
      </c>
      <c r="F373" s="54">
        <f>ROUND('Source (3)'!AU354,O373)</f>
        <v>3243130.39</v>
      </c>
      <c r="G373" s="54" t="s">
        <v>248</v>
      </c>
      <c r="H373" s="54" t="s">
        <v>249</v>
      </c>
      <c r="I373" s="54"/>
      <c r="J373" s="54"/>
      <c r="K373" s="54">
        <v>217</v>
      </c>
      <c r="L373" s="54">
        <v>18</v>
      </c>
      <c r="M373" s="54">
        <v>3</v>
      </c>
      <c r="N373" s="54" t="s">
        <v>30</v>
      </c>
      <c r="O373" s="54">
        <v>2</v>
      </c>
      <c r="P373" s="54"/>
      <c r="Q373" s="54"/>
      <c r="R373" s="54"/>
      <c r="S373" s="54"/>
      <c r="T373" s="54"/>
      <c r="U373" s="54"/>
      <c r="V373" s="54"/>
      <c r="W373" s="54">
        <v>3420916.8</v>
      </c>
      <c r="X373" s="54">
        <v>1</v>
      </c>
      <c r="Y373" s="54">
        <v>3420916.8</v>
      </c>
      <c r="Z373" s="54"/>
      <c r="AA373" s="54"/>
      <c r="AB373" s="54"/>
    </row>
    <row r="374" spans="1:28" ht="13" x14ac:dyDescent="0.3">
      <c r="A374" s="54">
        <v>50</v>
      </c>
      <c r="B374" s="54">
        <v>0</v>
      </c>
      <c r="C374" s="54">
        <v>0</v>
      </c>
      <c r="D374" s="54">
        <v>1</v>
      </c>
      <c r="E374" s="54">
        <v>230</v>
      </c>
      <c r="F374" s="54">
        <f>ROUND('Source (3)'!BA354,O374)</f>
        <v>0</v>
      </c>
      <c r="G374" s="54" t="s">
        <v>250</v>
      </c>
      <c r="H374" s="54" t="s">
        <v>251</v>
      </c>
      <c r="I374" s="54"/>
      <c r="J374" s="54"/>
      <c r="K374" s="54">
        <v>230</v>
      </c>
      <c r="L374" s="54">
        <v>19</v>
      </c>
      <c r="M374" s="54">
        <v>3</v>
      </c>
      <c r="N374" s="54" t="s">
        <v>30</v>
      </c>
      <c r="O374" s="54">
        <v>2</v>
      </c>
      <c r="P374" s="54"/>
      <c r="Q374" s="54"/>
      <c r="R374" s="54"/>
      <c r="S374" s="54"/>
      <c r="T374" s="54"/>
      <c r="U374" s="54"/>
      <c r="V374" s="54"/>
      <c r="W374" s="54">
        <v>0</v>
      </c>
      <c r="X374" s="54">
        <v>1</v>
      </c>
      <c r="Y374" s="54">
        <v>0</v>
      </c>
      <c r="Z374" s="54"/>
      <c r="AA374" s="54"/>
      <c r="AB374" s="54"/>
    </row>
    <row r="375" spans="1:28" ht="13" x14ac:dyDescent="0.3">
      <c r="A375" s="54">
        <v>50</v>
      </c>
      <c r="B375" s="54">
        <v>0</v>
      </c>
      <c r="C375" s="54">
        <v>0</v>
      </c>
      <c r="D375" s="54">
        <v>1</v>
      </c>
      <c r="E375" s="54">
        <v>206</v>
      </c>
      <c r="F375" s="54">
        <f>ROUND('Source (3)'!T354,O375)</f>
        <v>0</v>
      </c>
      <c r="G375" s="54" t="s">
        <v>252</v>
      </c>
      <c r="H375" s="54" t="s">
        <v>253</v>
      </c>
      <c r="I375" s="54"/>
      <c r="J375" s="54"/>
      <c r="K375" s="54">
        <v>206</v>
      </c>
      <c r="L375" s="54">
        <v>20</v>
      </c>
      <c r="M375" s="54">
        <v>3</v>
      </c>
      <c r="N375" s="54" t="s">
        <v>30</v>
      </c>
      <c r="O375" s="54">
        <v>2</v>
      </c>
      <c r="P375" s="54"/>
      <c r="Q375" s="54"/>
      <c r="R375" s="54"/>
      <c r="S375" s="54"/>
      <c r="T375" s="54"/>
      <c r="U375" s="54"/>
      <c r="V375" s="54"/>
      <c r="W375" s="54">
        <v>0</v>
      </c>
      <c r="X375" s="54">
        <v>1</v>
      </c>
      <c r="Y375" s="54">
        <v>0</v>
      </c>
      <c r="Z375" s="54"/>
      <c r="AA375" s="54"/>
      <c r="AB375" s="54"/>
    </row>
    <row r="376" spans="1:28" ht="13" x14ac:dyDescent="0.3">
      <c r="A376" s="54">
        <v>50</v>
      </c>
      <c r="B376" s="54">
        <v>0</v>
      </c>
      <c r="C376" s="54">
        <v>0</v>
      </c>
      <c r="D376" s="54">
        <v>1</v>
      </c>
      <c r="E376" s="54">
        <v>207</v>
      </c>
      <c r="F376" s="54">
        <f>'Source (3)'!U354</f>
        <v>1305.664231</v>
      </c>
      <c r="G376" s="54" t="s">
        <v>254</v>
      </c>
      <c r="H376" s="54" t="s">
        <v>255</v>
      </c>
      <c r="I376" s="54"/>
      <c r="J376" s="54"/>
      <c r="K376" s="54">
        <v>207</v>
      </c>
      <c r="L376" s="54">
        <v>21</v>
      </c>
      <c r="M376" s="54">
        <v>3</v>
      </c>
      <c r="N376" s="54" t="s">
        <v>30</v>
      </c>
      <c r="O376" s="54">
        <v>-1</v>
      </c>
      <c r="P376" s="54"/>
      <c r="Q376" s="54"/>
      <c r="R376" s="54"/>
      <c r="S376" s="54"/>
      <c r="T376" s="54"/>
      <c r="U376" s="54"/>
      <c r="V376" s="54"/>
      <c r="W376" s="54">
        <v>1315.7064310000001</v>
      </c>
      <c r="X376" s="54">
        <v>1</v>
      </c>
      <c r="Y376" s="54">
        <v>1315.7064310000001</v>
      </c>
      <c r="Z376" s="54"/>
      <c r="AA376" s="54"/>
      <c r="AB376" s="54"/>
    </row>
    <row r="377" spans="1:28" ht="13" x14ac:dyDescent="0.3">
      <c r="A377" s="54">
        <v>50</v>
      </c>
      <c r="B377" s="54">
        <v>0</v>
      </c>
      <c r="C377" s="54">
        <v>0</v>
      </c>
      <c r="D377" s="54">
        <v>1</v>
      </c>
      <c r="E377" s="54">
        <v>208</v>
      </c>
      <c r="F377" s="54">
        <f>'Source (3)'!V354</f>
        <v>0</v>
      </c>
      <c r="G377" s="54" t="s">
        <v>256</v>
      </c>
      <c r="H377" s="54" t="s">
        <v>257</v>
      </c>
      <c r="I377" s="54"/>
      <c r="J377" s="54"/>
      <c r="K377" s="54">
        <v>208</v>
      </c>
      <c r="L377" s="54">
        <v>22</v>
      </c>
      <c r="M377" s="54">
        <v>3</v>
      </c>
      <c r="N377" s="54" t="s">
        <v>30</v>
      </c>
      <c r="O377" s="54">
        <v>-1</v>
      </c>
      <c r="P377" s="54"/>
      <c r="Q377" s="54"/>
      <c r="R377" s="54"/>
      <c r="S377" s="54"/>
      <c r="T377" s="54"/>
      <c r="U377" s="54"/>
      <c r="V377" s="54"/>
      <c r="W377" s="54">
        <v>0</v>
      </c>
      <c r="X377" s="54">
        <v>1</v>
      </c>
      <c r="Y377" s="54">
        <v>0</v>
      </c>
      <c r="Z377" s="54"/>
      <c r="AA377" s="54"/>
      <c r="AB377" s="54"/>
    </row>
    <row r="378" spans="1:28" ht="13" x14ac:dyDescent="0.3">
      <c r="A378" s="54">
        <v>50</v>
      </c>
      <c r="B378" s="54">
        <v>0</v>
      </c>
      <c r="C378" s="54">
        <v>0</v>
      </c>
      <c r="D378" s="54">
        <v>1</v>
      </c>
      <c r="E378" s="54">
        <v>209</v>
      </c>
      <c r="F378" s="54">
        <f>ROUND('Source (3)'!W354,O378)</f>
        <v>0</v>
      </c>
      <c r="G378" s="54" t="s">
        <v>258</v>
      </c>
      <c r="H378" s="54" t="s">
        <v>259</v>
      </c>
      <c r="I378" s="54"/>
      <c r="J378" s="54"/>
      <c r="K378" s="54">
        <v>209</v>
      </c>
      <c r="L378" s="54">
        <v>23</v>
      </c>
      <c r="M378" s="54">
        <v>3</v>
      </c>
      <c r="N378" s="54" t="s">
        <v>30</v>
      </c>
      <c r="O378" s="54">
        <v>2</v>
      </c>
      <c r="P378" s="54"/>
      <c r="Q378" s="54"/>
      <c r="R378" s="54"/>
      <c r="S378" s="54"/>
      <c r="T378" s="54"/>
      <c r="U378" s="54"/>
      <c r="V378" s="54"/>
      <c r="W378" s="54">
        <v>0</v>
      </c>
      <c r="X378" s="54">
        <v>1</v>
      </c>
      <c r="Y378" s="54">
        <v>0</v>
      </c>
      <c r="Z378" s="54"/>
      <c r="AA378" s="54"/>
      <c r="AB378" s="54"/>
    </row>
    <row r="379" spans="1:28" ht="13" x14ac:dyDescent="0.3">
      <c r="A379" s="54">
        <v>50</v>
      </c>
      <c r="B379" s="54">
        <v>0</v>
      </c>
      <c r="C379" s="54">
        <v>0</v>
      </c>
      <c r="D379" s="54">
        <v>1</v>
      </c>
      <c r="E379" s="54">
        <v>233</v>
      </c>
      <c r="F379" s="54">
        <f>ROUND('Source (3)'!BD354,O379)</f>
        <v>0</v>
      </c>
      <c r="G379" s="54" t="s">
        <v>260</v>
      </c>
      <c r="H379" s="54" t="s">
        <v>261</v>
      </c>
      <c r="I379" s="54"/>
      <c r="J379" s="54"/>
      <c r="K379" s="54">
        <v>233</v>
      </c>
      <c r="L379" s="54">
        <v>24</v>
      </c>
      <c r="M379" s="54">
        <v>3</v>
      </c>
      <c r="N379" s="54" t="s">
        <v>30</v>
      </c>
      <c r="O379" s="54">
        <v>2</v>
      </c>
      <c r="P379" s="54"/>
      <c r="Q379" s="54"/>
      <c r="R379" s="54"/>
      <c r="S379" s="54"/>
      <c r="T379" s="54"/>
      <c r="U379" s="54"/>
      <c r="V379" s="54"/>
      <c r="W379" s="54">
        <v>0</v>
      </c>
      <c r="X379" s="54">
        <v>1</v>
      </c>
      <c r="Y379" s="54">
        <v>0</v>
      </c>
      <c r="Z379" s="54"/>
      <c r="AA379" s="54"/>
      <c r="AB379" s="54"/>
    </row>
    <row r="380" spans="1:28" ht="13" x14ac:dyDescent="0.3">
      <c r="A380" s="54">
        <v>50</v>
      </c>
      <c r="B380" s="54">
        <v>0</v>
      </c>
      <c r="C380" s="54">
        <v>0</v>
      </c>
      <c r="D380" s="54">
        <v>1</v>
      </c>
      <c r="E380" s="54">
        <v>210</v>
      </c>
      <c r="F380" s="54">
        <f>ROUND('Source (3)'!X354,O380)</f>
        <v>197313.54</v>
      </c>
      <c r="G380" s="54" t="s">
        <v>262</v>
      </c>
      <c r="H380" s="54" t="s">
        <v>263</v>
      </c>
      <c r="I380" s="54"/>
      <c r="J380" s="54"/>
      <c r="K380" s="54">
        <v>210</v>
      </c>
      <c r="L380" s="54">
        <v>25</v>
      </c>
      <c r="M380" s="54">
        <v>3</v>
      </c>
      <c r="N380" s="54" t="s">
        <v>30</v>
      </c>
      <c r="O380" s="54">
        <v>2</v>
      </c>
      <c r="P380" s="54"/>
      <c r="Q380" s="54"/>
      <c r="R380" s="54"/>
      <c r="S380" s="54"/>
      <c r="T380" s="54"/>
      <c r="U380" s="54"/>
      <c r="V380" s="54"/>
      <c r="W380" s="54">
        <v>199190.22</v>
      </c>
      <c r="X380" s="54">
        <v>1</v>
      </c>
      <c r="Y380" s="54">
        <v>199190.22</v>
      </c>
      <c r="Z380" s="54"/>
      <c r="AA380" s="54"/>
      <c r="AB380" s="54"/>
    </row>
    <row r="381" spans="1:28" ht="13" x14ac:dyDescent="0.3">
      <c r="A381" s="54">
        <v>50</v>
      </c>
      <c r="B381" s="54">
        <v>0</v>
      </c>
      <c r="C381" s="54">
        <v>0</v>
      </c>
      <c r="D381" s="54">
        <v>1</v>
      </c>
      <c r="E381" s="54">
        <v>211</v>
      </c>
      <c r="F381" s="54">
        <f>ROUND('Source (3)'!Y354,O381)</f>
        <v>28187.66</v>
      </c>
      <c r="G381" s="54" t="s">
        <v>264</v>
      </c>
      <c r="H381" s="54" t="s">
        <v>265</v>
      </c>
      <c r="I381" s="54"/>
      <c r="J381" s="54"/>
      <c r="K381" s="54">
        <v>211</v>
      </c>
      <c r="L381" s="54">
        <v>26</v>
      </c>
      <c r="M381" s="54">
        <v>3</v>
      </c>
      <c r="N381" s="54" t="s">
        <v>30</v>
      </c>
      <c r="O381" s="54">
        <v>2</v>
      </c>
      <c r="P381" s="54"/>
      <c r="Q381" s="54"/>
      <c r="R381" s="54"/>
      <c r="S381" s="54"/>
      <c r="T381" s="54"/>
      <c r="U381" s="54"/>
      <c r="V381" s="54"/>
      <c r="W381" s="54">
        <v>28455.759999999998</v>
      </c>
      <c r="X381" s="54">
        <v>1</v>
      </c>
      <c r="Y381" s="54">
        <v>28455.759999999998</v>
      </c>
      <c r="Z381" s="54"/>
      <c r="AA381" s="54"/>
      <c r="AB381" s="54"/>
    </row>
    <row r="382" spans="1:28" ht="13" x14ac:dyDescent="0.3">
      <c r="A382" s="54">
        <v>50</v>
      </c>
      <c r="B382" s="54">
        <v>0</v>
      </c>
      <c r="C382" s="54">
        <v>0</v>
      </c>
      <c r="D382" s="54">
        <v>1</v>
      </c>
      <c r="E382" s="54">
        <v>224</v>
      </c>
      <c r="F382" s="54">
        <f>ROUND('Source (3)'!AR354,O382)</f>
        <v>3243130.39</v>
      </c>
      <c r="G382" s="54" t="s">
        <v>266</v>
      </c>
      <c r="H382" s="54" t="s">
        <v>267</v>
      </c>
      <c r="I382" s="54"/>
      <c r="J382" s="54"/>
      <c r="K382" s="54">
        <v>224</v>
      </c>
      <c r="L382" s="54">
        <v>27</v>
      </c>
      <c r="M382" s="54">
        <v>3</v>
      </c>
      <c r="N382" s="54" t="s">
        <v>30</v>
      </c>
      <c r="O382" s="54">
        <v>2</v>
      </c>
      <c r="P382" s="54"/>
      <c r="Q382" s="54"/>
      <c r="R382" s="54"/>
      <c r="S382" s="54"/>
      <c r="T382" s="54"/>
      <c r="U382" s="54"/>
      <c r="V382" s="54"/>
      <c r="W382" s="54">
        <v>3420916.8</v>
      </c>
      <c r="X382" s="54">
        <v>1</v>
      </c>
      <c r="Y382" s="54">
        <v>3420916.8</v>
      </c>
      <c r="Z382" s="54"/>
      <c r="AA382" s="54"/>
      <c r="AB382" s="54"/>
    </row>
    <row r="383" spans="1:28" ht="13" x14ac:dyDescent="0.3">
      <c r="A383" s="54">
        <v>50</v>
      </c>
      <c r="B383" s="54">
        <v>1</v>
      </c>
      <c r="C383" s="54">
        <v>0</v>
      </c>
      <c r="D383" s="54">
        <v>2</v>
      </c>
      <c r="E383" s="54">
        <v>0</v>
      </c>
      <c r="F383" s="54">
        <f>ROUND(F382,O383)</f>
        <v>3243130.39</v>
      </c>
      <c r="G383" s="54" t="s">
        <v>268</v>
      </c>
      <c r="H383" s="54" t="s">
        <v>269</v>
      </c>
      <c r="I383" s="54"/>
      <c r="J383" s="54"/>
      <c r="K383" s="54">
        <v>212</v>
      </c>
      <c r="L383" s="54">
        <v>28</v>
      </c>
      <c r="M383" s="54">
        <v>0</v>
      </c>
      <c r="N383" s="54" t="s">
        <v>30</v>
      </c>
      <c r="O383" s="54">
        <v>2</v>
      </c>
      <c r="P383" s="54"/>
      <c r="Q383" s="54"/>
      <c r="R383" s="54"/>
      <c r="S383" s="54"/>
      <c r="T383" s="54"/>
      <c r="U383" s="54"/>
      <c r="V383" s="54"/>
      <c r="W383" s="54">
        <v>3420916.8</v>
      </c>
      <c r="X383" s="54">
        <v>1</v>
      </c>
      <c r="Y383" s="54">
        <v>3420916.8</v>
      </c>
      <c r="Z383" s="54"/>
      <c r="AA383" s="54"/>
      <c r="AB383" s="54"/>
    </row>
    <row r="384" spans="1:28" ht="13" x14ac:dyDescent="0.3">
      <c r="A384" s="54">
        <v>50</v>
      </c>
      <c r="B384" s="54">
        <v>1</v>
      </c>
      <c r="C384" s="54">
        <v>0</v>
      </c>
      <c r="D384" s="54">
        <v>2</v>
      </c>
      <c r="E384" s="54">
        <v>0</v>
      </c>
      <c r="F384" s="54">
        <f>ROUND(F382-F369-F368,O384)</f>
        <v>2461980.48</v>
      </c>
      <c r="G384" s="54" t="s">
        <v>270</v>
      </c>
      <c r="H384" s="54" t="s">
        <v>271</v>
      </c>
      <c r="I384" s="54"/>
      <c r="J384" s="54"/>
      <c r="K384" s="54">
        <v>212</v>
      </c>
      <c r="L384" s="54">
        <v>29</v>
      </c>
      <c r="M384" s="54">
        <v>0</v>
      </c>
      <c r="N384" s="54" t="s">
        <v>30</v>
      </c>
      <c r="O384" s="54">
        <v>2</v>
      </c>
      <c r="P384" s="54"/>
      <c r="Q384" s="54"/>
      <c r="R384" s="54"/>
      <c r="S384" s="54"/>
      <c r="T384" s="54"/>
      <c r="U384" s="54"/>
      <c r="V384" s="54"/>
      <c r="W384" s="54">
        <v>2637085.89</v>
      </c>
      <c r="X384" s="54">
        <v>1</v>
      </c>
      <c r="Y384" s="54">
        <v>2637085.89</v>
      </c>
      <c r="Z384" s="54"/>
      <c r="AA384" s="54"/>
      <c r="AB384" s="54"/>
    </row>
    <row r="385" spans="1:28" ht="13" x14ac:dyDescent="0.3">
      <c r="A385" s="54">
        <v>50</v>
      </c>
      <c r="B385" s="54">
        <v>1</v>
      </c>
      <c r="C385" s="54">
        <v>0</v>
      </c>
      <c r="D385" s="54">
        <v>2</v>
      </c>
      <c r="E385" s="54">
        <v>0</v>
      </c>
      <c r="F385" s="54">
        <f>ROUND(F381,O385)</f>
        <v>28187.66</v>
      </c>
      <c r="G385" s="54" t="s">
        <v>25</v>
      </c>
      <c r="H385" s="54" t="s">
        <v>25</v>
      </c>
      <c r="I385" s="54"/>
      <c r="J385" s="54"/>
      <c r="K385" s="54">
        <v>212</v>
      </c>
      <c r="L385" s="54">
        <v>30</v>
      </c>
      <c r="M385" s="54">
        <v>0</v>
      </c>
      <c r="N385" s="54" t="s">
        <v>30</v>
      </c>
      <c r="O385" s="54">
        <v>2</v>
      </c>
      <c r="P385" s="54"/>
      <c r="Q385" s="54"/>
      <c r="R385" s="54"/>
      <c r="S385" s="54"/>
      <c r="T385" s="54"/>
      <c r="U385" s="54"/>
      <c r="V385" s="54"/>
      <c r="W385" s="54">
        <v>28455.759999999998</v>
      </c>
      <c r="X385" s="54">
        <v>1</v>
      </c>
      <c r="Y385" s="54">
        <v>28455.759999999998</v>
      </c>
      <c r="Z385" s="54"/>
      <c r="AA385" s="54"/>
      <c r="AB385" s="54"/>
    </row>
    <row r="386" spans="1:28" ht="13" x14ac:dyDescent="0.3">
      <c r="A386" s="54">
        <v>50</v>
      </c>
      <c r="B386" s="54">
        <v>1</v>
      </c>
      <c r="C386" s="54">
        <v>0</v>
      </c>
      <c r="D386" s="54">
        <v>2</v>
      </c>
      <c r="E386" s="54">
        <v>0</v>
      </c>
      <c r="F386" s="54">
        <f>ROUND(F391*0.3,O386)</f>
        <v>149782.04</v>
      </c>
      <c r="G386" s="54" t="s">
        <v>272</v>
      </c>
      <c r="H386" s="54" t="s">
        <v>272</v>
      </c>
      <c r="I386" s="54"/>
      <c r="J386" s="54"/>
      <c r="K386" s="54">
        <v>212</v>
      </c>
      <c r="L386" s="54">
        <v>31</v>
      </c>
      <c r="M386" s="54">
        <v>0</v>
      </c>
      <c r="N386" s="54" t="s">
        <v>30</v>
      </c>
      <c r="O386" s="54">
        <v>2</v>
      </c>
      <c r="P386" s="54"/>
      <c r="Q386" s="54"/>
      <c r="R386" s="54"/>
      <c r="S386" s="54"/>
      <c r="T386" s="54"/>
      <c r="U386" s="54"/>
      <c r="V386" s="54"/>
      <c r="W386" s="54">
        <v>149782.04999999999</v>
      </c>
      <c r="X386" s="54">
        <v>1</v>
      </c>
      <c r="Y386" s="54">
        <v>149782.04999999999</v>
      </c>
      <c r="Z386" s="54"/>
      <c r="AA386" s="54"/>
      <c r="AB386" s="54"/>
    </row>
    <row r="387" spans="1:28" ht="13" x14ac:dyDescent="0.3">
      <c r="A387" s="54">
        <v>50</v>
      </c>
      <c r="B387" s="54">
        <v>1</v>
      </c>
      <c r="C387" s="54">
        <v>0</v>
      </c>
      <c r="D387" s="54">
        <v>2</v>
      </c>
      <c r="E387" s="54">
        <v>0</v>
      </c>
      <c r="F387" s="54">
        <f>ROUND(F384-F385-F386,O387)</f>
        <v>2284010.7799999998</v>
      </c>
      <c r="G387" s="54" t="s">
        <v>273</v>
      </c>
      <c r="H387" s="54" t="s">
        <v>274</v>
      </c>
      <c r="I387" s="54"/>
      <c r="J387" s="54"/>
      <c r="K387" s="54">
        <v>212</v>
      </c>
      <c r="L387" s="54">
        <v>32</v>
      </c>
      <c r="M387" s="54">
        <v>0</v>
      </c>
      <c r="N387" s="54" t="s">
        <v>30</v>
      </c>
      <c r="O387" s="54">
        <v>2</v>
      </c>
      <c r="P387" s="54"/>
      <c r="Q387" s="54"/>
      <c r="R387" s="54"/>
      <c r="S387" s="54"/>
      <c r="T387" s="54"/>
      <c r="U387" s="54"/>
      <c r="V387" s="54"/>
      <c r="W387" s="54">
        <v>2458848.08</v>
      </c>
      <c r="X387" s="54">
        <v>1</v>
      </c>
      <c r="Y387" s="54">
        <v>2458848.08</v>
      </c>
      <c r="Z387" s="54"/>
      <c r="AA387" s="54"/>
      <c r="AB387" s="54"/>
    </row>
    <row r="388" spans="1:28" ht="13" x14ac:dyDescent="0.3">
      <c r="A388" s="54">
        <v>50</v>
      </c>
      <c r="B388" s="54">
        <v>1</v>
      </c>
      <c r="C388" s="54">
        <v>0</v>
      </c>
      <c r="D388" s="54">
        <v>2</v>
      </c>
      <c r="E388" s="54">
        <v>0</v>
      </c>
      <c r="F388" s="54">
        <f>ROUND(F387*0.2,O388)</f>
        <v>456802.16</v>
      </c>
      <c r="G388" s="54" t="s">
        <v>42</v>
      </c>
      <c r="H388" s="54" t="s">
        <v>42</v>
      </c>
      <c r="I388" s="54"/>
      <c r="J388" s="54"/>
      <c r="K388" s="54">
        <v>212</v>
      </c>
      <c r="L388" s="54">
        <v>33</v>
      </c>
      <c r="M388" s="54">
        <v>0</v>
      </c>
      <c r="N388" s="54" t="s">
        <v>30</v>
      </c>
      <c r="O388" s="54">
        <v>2</v>
      </c>
      <c r="P388" s="54"/>
      <c r="Q388" s="54"/>
      <c r="R388" s="54"/>
      <c r="S388" s="54"/>
      <c r="T388" s="54"/>
      <c r="U388" s="54"/>
      <c r="V388" s="54"/>
      <c r="W388" s="54">
        <v>491769.62</v>
      </c>
      <c r="X388" s="54">
        <v>1</v>
      </c>
      <c r="Y388" s="54">
        <v>491769.62</v>
      </c>
      <c r="Z388" s="54"/>
      <c r="AA388" s="54"/>
      <c r="AB388" s="54"/>
    </row>
    <row r="389" spans="1:28" ht="13" x14ac:dyDescent="0.3">
      <c r="A389" s="54">
        <v>50</v>
      </c>
      <c r="B389" s="54">
        <v>1</v>
      </c>
      <c r="C389" s="54">
        <v>0</v>
      </c>
      <c r="D389" s="54">
        <v>2</v>
      </c>
      <c r="E389" s="54">
        <v>0</v>
      </c>
      <c r="F389" s="54">
        <f>ROUND(F387+F388,O389)</f>
        <v>2740812.94</v>
      </c>
      <c r="G389" s="54" t="s">
        <v>43</v>
      </c>
      <c r="H389" s="54" t="s">
        <v>275</v>
      </c>
      <c r="I389" s="54"/>
      <c r="J389" s="54"/>
      <c r="K389" s="54">
        <v>212</v>
      </c>
      <c r="L389" s="54">
        <v>34</v>
      </c>
      <c r="M389" s="54">
        <v>0</v>
      </c>
      <c r="N389" s="54" t="s">
        <v>30</v>
      </c>
      <c r="O389" s="54">
        <v>2</v>
      </c>
      <c r="P389" s="54"/>
      <c r="Q389" s="54"/>
      <c r="R389" s="54"/>
      <c r="S389" s="54"/>
      <c r="T389" s="54"/>
      <c r="U389" s="54"/>
      <c r="V389" s="54"/>
      <c r="W389" s="54">
        <v>2950617.7</v>
      </c>
      <c r="X389" s="54">
        <v>1</v>
      </c>
      <c r="Y389" s="54">
        <v>2950617.7</v>
      </c>
      <c r="Z389" s="54"/>
      <c r="AA389" s="54"/>
      <c r="AB389" s="54"/>
    </row>
    <row r="390" spans="1:28" ht="13" x14ac:dyDescent="0.3">
      <c r="A390" s="54">
        <v>50</v>
      </c>
      <c r="B390" s="54">
        <v>1</v>
      </c>
      <c r="C390" s="54">
        <v>0</v>
      </c>
      <c r="D390" s="54">
        <v>2</v>
      </c>
      <c r="E390" s="54">
        <v>0</v>
      </c>
      <c r="F390" s="54">
        <f>ROUND(F369,O390)</f>
        <v>281876.46000000002</v>
      </c>
      <c r="G390" s="54" t="s">
        <v>276</v>
      </c>
      <c r="H390" s="54" t="s">
        <v>277</v>
      </c>
      <c r="I390" s="54"/>
      <c r="J390" s="54"/>
      <c r="K390" s="54">
        <v>212</v>
      </c>
      <c r="L390" s="54">
        <v>35</v>
      </c>
      <c r="M390" s="54">
        <v>0</v>
      </c>
      <c r="N390" s="54" t="s">
        <v>30</v>
      </c>
      <c r="O390" s="54">
        <v>2</v>
      </c>
      <c r="P390" s="54"/>
      <c r="Q390" s="54"/>
      <c r="R390" s="54"/>
      <c r="S390" s="54"/>
      <c r="T390" s="54"/>
      <c r="U390" s="54"/>
      <c r="V390" s="54"/>
      <c r="W390" s="54">
        <v>284557.42</v>
      </c>
      <c r="X390" s="54">
        <v>1</v>
      </c>
      <c r="Y390" s="54">
        <v>284557.42</v>
      </c>
      <c r="Z390" s="54"/>
      <c r="AA390" s="54"/>
      <c r="AB390" s="54"/>
    </row>
    <row r="391" spans="1:28" ht="13" x14ac:dyDescent="0.3">
      <c r="A391" s="54">
        <v>50</v>
      </c>
      <c r="B391" s="54">
        <v>1</v>
      </c>
      <c r="C391" s="54">
        <v>0</v>
      </c>
      <c r="D391" s="54">
        <v>2</v>
      </c>
      <c r="E391" s="54">
        <v>0</v>
      </c>
      <c r="F391" s="54">
        <f>ROUND(F368,O391)</f>
        <v>499273.45</v>
      </c>
      <c r="G391" s="54" t="s">
        <v>278</v>
      </c>
      <c r="H391" s="54" t="s">
        <v>279</v>
      </c>
      <c r="I391" s="54"/>
      <c r="J391" s="54"/>
      <c r="K391" s="54">
        <v>212</v>
      </c>
      <c r="L391" s="54">
        <v>36</v>
      </c>
      <c r="M391" s="54">
        <v>0</v>
      </c>
      <c r="N391" s="54" t="s">
        <v>30</v>
      </c>
      <c r="O391" s="54">
        <v>2</v>
      </c>
      <c r="P391" s="54"/>
      <c r="Q391" s="54"/>
      <c r="R391" s="54"/>
      <c r="S391" s="54"/>
      <c r="T391" s="54"/>
      <c r="U391" s="54"/>
      <c r="V391" s="54"/>
      <c r="W391" s="54">
        <v>499273.49</v>
      </c>
      <c r="X391" s="54">
        <v>1</v>
      </c>
      <c r="Y391" s="54">
        <v>499273.49</v>
      </c>
      <c r="Z391" s="54"/>
      <c r="AA391" s="54"/>
      <c r="AB391" s="54"/>
    </row>
    <row r="392" spans="1:28" ht="13" x14ac:dyDescent="0.3">
      <c r="A392" s="54">
        <v>50</v>
      </c>
      <c r="B392" s="54">
        <v>1</v>
      </c>
      <c r="C392" s="54">
        <v>0</v>
      </c>
      <c r="D392" s="54">
        <v>2</v>
      </c>
      <c r="E392" s="54">
        <v>0</v>
      </c>
      <c r="F392" s="54">
        <f>ROUND(F389+F390+F391,O392)</f>
        <v>3521962.85</v>
      </c>
      <c r="G392" s="54" t="s">
        <v>266</v>
      </c>
      <c r="H392" s="54" t="s">
        <v>280</v>
      </c>
      <c r="I392" s="54"/>
      <c r="J392" s="54"/>
      <c r="K392" s="54">
        <v>212</v>
      </c>
      <c r="L392" s="54">
        <v>37</v>
      </c>
      <c r="M392" s="54">
        <v>0</v>
      </c>
      <c r="N392" s="54" t="s">
        <v>30</v>
      </c>
      <c r="O392" s="54">
        <v>2</v>
      </c>
      <c r="P392" s="54"/>
      <c r="Q392" s="54"/>
      <c r="R392" s="54"/>
      <c r="S392" s="54"/>
      <c r="T392" s="54"/>
      <c r="U392" s="54"/>
      <c r="V392" s="54"/>
      <c r="W392" s="54">
        <v>3734448.61</v>
      </c>
      <c r="X392" s="54">
        <v>1</v>
      </c>
      <c r="Y392" s="54">
        <v>3734448.61</v>
      </c>
      <c r="Z392" s="54"/>
      <c r="AA392" s="54"/>
      <c r="AB392" s="54"/>
    </row>
    <row r="395" spans="1:28" x14ac:dyDescent="0.25">
      <c r="A395" s="2">
        <v>-1</v>
      </c>
    </row>
    <row r="397" spans="1:28" ht="13" x14ac:dyDescent="0.3">
      <c r="A397" s="53">
        <v>75</v>
      </c>
      <c r="B397" s="53" t="s">
        <v>357</v>
      </c>
      <c r="C397" s="53">
        <v>2021</v>
      </c>
      <c r="D397" s="53">
        <v>0</v>
      </c>
      <c r="E397" s="53">
        <v>10</v>
      </c>
      <c r="F397" s="53">
        <v>0</v>
      </c>
      <c r="G397" s="53">
        <v>0</v>
      </c>
      <c r="H397" s="53">
        <v>1</v>
      </c>
      <c r="I397" s="53">
        <v>0</v>
      </c>
      <c r="J397" s="53">
        <v>1</v>
      </c>
      <c r="K397" s="53">
        <v>78</v>
      </c>
      <c r="L397" s="53">
        <v>30</v>
      </c>
      <c r="M397" s="53">
        <v>0</v>
      </c>
      <c r="N397" s="53">
        <v>52286166</v>
      </c>
      <c r="O397" s="53">
        <v>1</v>
      </c>
    </row>
    <row r="401" spans="1:5" x14ac:dyDescent="0.25">
      <c r="A401" s="2">
        <v>65</v>
      </c>
      <c r="C401" s="2">
        <v>1</v>
      </c>
      <c r="D401" s="2">
        <v>0</v>
      </c>
      <c r="E401" s="2">
        <v>245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87C0-3AC3-46BF-8A38-1570FF396BFF}">
  <dimension ref="A1:EC61"/>
  <sheetViews>
    <sheetView workbookViewId="0">
      <selection activeCell="J298" sqref="J298"/>
    </sheetView>
  </sheetViews>
  <sheetFormatPr defaultColWidth="9.1796875" defaultRowHeight="12.5" x14ac:dyDescent="0.25"/>
  <cols>
    <col min="1" max="256" width="9.1796875" style="2" customWidth="1"/>
    <col min="257" max="16384" width="9.1796875" style="2"/>
  </cols>
  <sheetData>
    <row r="1" spans="1:133" x14ac:dyDescent="0.25">
      <c r="A1" s="2">
        <v>0</v>
      </c>
      <c r="B1" s="2" t="s">
        <v>162</v>
      </c>
      <c r="D1" s="2" t="s">
        <v>358</v>
      </c>
      <c r="F1" s="2">
        <v>0</v>
      </c>
      <c r="G1" s="2">
        <v>0</v>
      </c>
      <c r="H1" s="2">
        <v>0</v>
      </c>
      <c r="I1" s="2" t="s">
        <v>164</v>
      </c>
      <c r="J1" s="2" t="s">
        <v>30</v>
      </c>
      <c r="K1" s="2">
        <v>1</v>
      </c>
      <c r="L1" s="2">
        <v>53533</v>
      </c>
      <c r="M1" s="2">
        <v>10</v>
      </c>
      <c r="N1" s="2">
        <v>11</v>
      </c>
      <c r="O1" s="2">
        <v>5</v>
      </c>
      <c r="P1" s="2">
        <v>1</v>
      </c>
      <c r="Q1" s="2">
        <v>0</v>
      </c>
    </row>
    <row r="12" spans="1:133" ht="13" x14ac:dyDescent="0.3">
      <c r="A12" s="51">
        <v>1</v>
      </c>
      <c r="B12" s="51">
        <v>61</v>
      </c>
      <c r="C12" s="51">
        <v>0</v>
      </c>
      <c r="D12" s="51"/>
      <c r="E12" s="51">
        <v>0</v>
      </c>
      <c r="F12" s="51" t="s">
        <v>416</v>
      </c>
      <c r="G12" s="51" t="s">
        <v>417</v>
      </c>
      <c r="H12" s="51" t="s">
        <v>30</v>
      </c>
      <c r="I12" s="51">
        <v>0</v>
      </c>
      <c r="J12" s="51" t="s">
        <v>30</v>
      </c>
      <c r="K12" s="51">
        <v>0</v>
      </c>
      <c r="L12" s="51">
        <v>0</v>
      </c>
      <c r="M12" s="51">
        <v>2</v>
      </c>
      <c r="N12" s="51"/>
      <c r="O12" s="51">
        <v>0</v>
      </c>
      <c r="P12" s="51">
        <v>0</v>
      </c>
      <c r="Q12" s="51">
        <v>0</v>
      </c>
      <c r="R12" s="51">
        <v>108</v>
      </c>
      <c r="S12" s="51"/>
      <c r="T12" s="51">
        <v>1</v>
      </c>
      <c r="U12" s="51" t="s">
        <v>30</v>
      </c>
      <c r="V12" s="51">
        <v>0</v>
      </c>
      <c r="W12" s="51" t="s">
        <v>30</v>
      </c>
      <c r="X12" s="51" t="s">
        <v>30</v>
      </c>
      <c r="Y12" s="51" t="s">
        <v>30</v>
      </c>
      <c r="Z12" s="51" t="s">
        <v>30</v>
      </c>
      <c r="AA12" s="51" t="s">
        <v>30</v>
      </c>
      <c r="AB12" s="51" t="s">
        <v>30</v>
      </c>
      <c r="AC12" s="51" t="s">
        <v>30</v>
      </c>
      <c r="AD12" s="51" t="s">
        <v>30</v>
      </c>
      <c r="AE12" s="51" t="s">
        <v>30</v>
      </c>
      <c r="AF12" s="51" t="s">
        <v>30</v>
      </c>
      <c r="AG12" s="51" t="s">
        <v>30</v>
      </c>
      <c r="AH12" s="51" t="s">
        <v>30</v>
      </c>
      <c r="AI12" s="51" t="s">
        <v>30</v>
      </c>
      <c r="AJ12" s="51" t="s">
        <v>30</v>
      </c>
      <c r="AK12" s="51"/>
      <c r="AL12" s="51" t="s">
        <v>30</v>
      </c>
      <c r="AM12" s="51" t="s">
        <v>30</v>
      </c>
      <c r="AN12" s="51" t="s">
        <v>30</v>
      </c>
      <c r="AO12" s="51"/>
      <c r="AP12" s="51" t="s">
        <v>30</v>
      </c>
      <c r="AQ12" s="51" t="s">
        <v>30</v>
      </c>
      <c r="AR12" s="51" t="s">
        <v>30</v>
      </c>
      <c r="AS12" s="51"/>
      <c r="AT12" s="51"/>
      <c r="AU12" s="51"/>
      <c r="AV12" s="51"/>
      <c r="AW12" s="51"/>
      <c r="AX12" s="51" t="s">
        <v>30</v>
      </c>
      <c r="AY12" s="51" t="s">
        <v>30</v>
      </c>
      <c r="AZ12" s="51" t="s">
        <v>30</v>
      </c>
      <c r="BA12" s="51"/>
      <c r="BB12" s="51">
        <v>0</v>
      </c>
      <c r="BC12" s="51"/>
      <c r="BD12" s="51"/>
      <c r="BE12" s="51"/>
      <c r="BF12" s="51"/>
      <c r="BG12" s="51"/>
      <c r="BH12" s="51" t="s">
        <v>167</v>
      </c>
      <c r="BI12" s="51" t="s">
        <v>168</v>
      </c>
      <c r="BJ12" s="51">
        <v>1</v>
      </c>
      <c r="BK12" s="51">
        <v>1</v>
      </c>
      <c r="BL12" s="51">
        <v>0</v>
      </c>
      <c r="BM12" s="51">
        <v>0</v>
      </c>
      <c r="BN12" s="51">
        <v>1</v>
      </c>
      <c r="BO12" s="51">
        <v>0</v>
      </c>
      <c r="BP12" s="51">
        <v>6</v>
      </c>
      <c r="BQ12" s="51">
        <v>2</v>
      </c>
      <c r="BR12" s="51">
        <v>1</v>
      </c>
      <c r="BS12" s="51">
        <v>1</v>
      </c>
      <c r="BT12" s="51">
        <v>0</v>
      </c>
      <c r="BU12" s="51">
        <v>0</v>
      </c>
      <c r="BV12" s="51">
        <v>0</v>
      </c>
      <c r="BW12" s="51">
        <v>0</v>
      </c>
      <c r="BX12" s="51">
        <v>0</v>
      </c>
      <c r="BY12" s="51" t="s">
        <v>169</v>
      </c>
      <c r="BZ12" s="51" t="s">
        <v>170</v>
      </c>
      <c r="CA12" s="51" t="s">
        <v>171</v>
      </c>
      <c r="CB12" s="51" t="s">
        <v>171</v>
      </c>
      <c r="CC12" s="51" t="s">
        <v>171</v>
      </c>
      <c r="CD12" s="51" t="s">
        <v>171</v>
      </c>
      <c r="CE12" s="51" t="s">
        <v>172</v>
      </c>
      <c r="CF12" s="51">
        <v>0</v>
      </c>
      <c r="CG12" s="51">
        <v>0</v>
      </c>
      <c r="CH12" s="51">
        <v>8</v>
      </c>
      <c r="CI12" s="51" t="s">
        <v>30</v>
      </c>
      <c r="CJ12" s="51" t="s">
        <v>30</v>
      </c>
      <c r="CK12" s="51">
        <v>0</v>
      </c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51"/>
      <c r="DD12" s="51"/>
      <c r="DE12" s="51"/>
      <c r="DF12" s="51"/>
      <c r="DG12" s="51"/>
      <c r="DH12" s="51"/>
      <c r="DI12" s="51"/>
      <c r="DJ12" s="51"/>
      <c r="DK12" s="51"/>
      <c r="DL12" s="51"/>
      <c r="DM12" s="51"/>
      <c r="DN12" s="51"/>
      <c r="DO12" s="51"/>
      <c r="DP12" s="51"/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B12" s="51"/>
      <c r="EC12" s="51">
        <v>0</v>
      </c>
    </row>
    <row r="14" spans="1:133" ht="13" x14ac:dyDescent="0.3">
      <c r="A14" s="51">
        <v>22</v>
      </c>
      <c r="B14" s="51">
        <v>1</v>
      </c>
      <c r="C14" s="51">
        <v>0</v>
      </c>
      <c r="D14" s="51">
        <v>52286166</v>
      </c>
      <c r="E14" s="51">
        <v>0</v>
      </c>
      <c r="F14" s="51">
        <v>2</v>
      </c>
      <c r="G14" s="51">
        <v>1</v>
      </c>
      <c r="H14" s="51"/>
      <c r="I14" s="51"/>
      <c r="J14" s="51"/>
      <c r="K14" s="51"/>
      <c r="L14" s="51"/>
      <c r="M14" s="51"/>
      <c r="N14" s="51"/>
      <c r="O14" s="51"/>
    </row>
    <row r="16" spans="1:133" x14ac:dyDescent="0.25">
      <c r="A16" s="55">
        <v>3</v>
      </c>
      <c r="B16" s="55">
        <v>0</v>
      </c>
      <c r="C16" s="55" t="s">
        <v>173</v>
      </c>
      <c r="D16" s="55" t="s">
        <v>173</v>
      </c>
      <c r="E16" s="56">
        <f>ROUND(('Source (3)'!F331)/1000,2)</f>
        <v>0</v>
      </c>
      <c r="F16" s="56">
        <f>ROUND(('Source (3)'!F332)/1000,2)</f>
        <v>0</v>
      </c>
      <c r="G16" s="56">
        <f>ROUND(('Source (3)'!F323)/1000,2)</f>
        <v>0</v>
      </c>
      <c r="H16" s="56">
        <f>ROUND(('Source (3)'!F333)/1000+('Source (3)'!F334)/1000,2)</f>
        <v>3243.13</v>
      </c>
      <c r="I16" s="56">
        <f>E16+F16+G16+H16</f>
        <v>3243.13</v>
      </c>
      <c r="J16" s="56">
        <f>ROUND(('Source (3)'!F329+'Source (3)'!F328)/1000,2)</f>
        <v>781.15</v>
      </c>
      <c r="AI16" s="55">
        <v>0</v>
      </c>
      <c r="AJ16" s="55">
        <v>0</v>
      </c>
      <c r="AK16" s="55" t="s">
        <v>30</v>
      </c>
      <c r="AL16" s="55" t="s">
        <v>30</v>
      </c>
      <c r="AM16" s="55" t="s">
        <v>30</v>
      </c>
      <c r="AN16" s="55">
        <v>0</v>
      </c>
      <c r="AO16" s="55" t="s">
        <v>30</v>
      </c>
      <c r="AP16" s="55" t="s">
        <v>30</v>
      </c>
      <c r="AT16" s="56">
        <v>3057889.36</v>
      </c>
      <c r="AU16" s="56">
        <v>1805749.7</v>
      </c>
      <c r="AV16" s="56">
        <v>0</v>
      </c>
      <c r="AW16" s="56">
        <v>0</v>
      </c>
      <c r="AX16" s="56">
        <v>0</v>
      </c>
      <c r="AY16" s="56">
        <v>967582.24</v>
      </c>
      <c r="AZ16" s="56">
        <v>499273.49</v>
      </c>
      <c r="BA16" s="56">
        <v>284557.42</v>
      </c>
      <c r="BB16" s="56">
        <v>0</v>
      </c>
      <c r="BC16" s="56">
        <v>0</v>
      </c>
      <c r="BD16" s="56">
        <v>3420916.8</v>
      </c>
      <c r="BE16" s="56">
        <v>0</v>
      </c>
      <c r="BF16" s="56">
        <v>1315.7064310000001</v>
      </c>
      <c r="BG16" s="56">
        <v>0</v>
      </c>
      <c r="BH16" s="56">
        <v>0</v>
      </c>
      <c r="BI16" s="56">
        <v>199190.22</v>
      </c>
      <c r="BJ16" s="56">
        <v>28455.759999999998</v>
      </c>
      <c r="BK16" s="56">
        <v>3420916.8</v>
      </c>
    </row>
    <row r="18" spans="1:19" ht="13" x14ac:dyDescent="0.3">
      <c r="A18" s="2">
        <v>51</v>
      </c>
      <c r="E18" s="57">
        <f>SUMIF(A16:A17,3,E16:E17)</f>
        <v>0</v>
      </c>
      <c r="F18" s="57">
        <f>SUMIF(A16:A17,3,F16:F17)</f>
        <v>0</v>
      </c>
      <c r="G18" s="57">
        <f>SUMIF(A16:A17,3,G16:G17)</f>
        <v>0</v>
      </c>
      <c r="H18" s="57">
        <f>SUMIF(A16:A17,3,H16:H17)</f>
        <v>3243.13</v>
      </c>
      <c r="I18" s="57">
        <f>SUMIF(A16:A17,3,I16:I17)</f>
        <v>3243.13</v>
      </c>
      <c r="J18" s="57">
        <f>SUMIF(A16:A17,3,J16:J17)</f>
        <v>781.15</v>
      </c>
      <c r="K18" s="57"/>
      <c r="L18" s="57"/>
      <c r="M18" s="57"/>
      <c r="N18" s="57"/>
      <c r="O18" s="57"/>
      <c r="P18" s="57"/>
      <c r="Q18" s="57"/>
      <c r="R18" s="57"/>
      <c r="S18" s="57"/>
    </row>
    <row r="20" spans="1:19" ht="13" x14ac:dyDescent="0.3">
      <c r="A20" s="54">
        <v>50</v>
      </c>
      <c r="B20" s="54">
        <v>0</v>
      </c>
      <c r="C20" s="54">
        <v>0</v>
      </c>
      <c r="D20" s="54">
        <v>1</v>
      </c>
      <c r="E20" s="54">
        <v>201</v>
      </c>
      <c r="F20" s="54">
        <v>3057889.36</v>
      </c>
      <c r="G20" s="54" t="s">
        <v>214</v>
      </c>
      <c r="H20" s="54" t="s">
        <v>215</v>
      </c>
      <c r="I20" s="54"/>
      <c r="J20" s="54"/>
      <c r="K20" s="54">
        <v>201</v>
      </c>
      <c r="L20" s="54">
        <v>1</v>
      </c>
      <c r="M20" s="54">
        <v>3</v>
      </c>
      <c r="N20" s="54" t="s">
        <v>30</v>
      </c>
      <c r="O20" s="54">
        <v>2</v>
      </c>
      <c r="P20" s="54"/>
    </row>
    <row r="21" spans="1:19" ht="13" x14ac:dyDescent="0.3">
      <c r="A21" s="54">
        <v>50</v>
      </c>
      <c r="B21" s="54">
        <v>0</v>
      </c>
      <c r="C21" s="54">
        <v>0</v>
      </c>
      <c r="D21" s="54">
        <v>1</v>
      </c>
      <c r="E21" s="54">
        <v>202</v>
      </c>
      <c r="F21" s="54">
        <v>1805749.7</v>
      </c>
      <c r="G21" s="54" t="s">
        <v>216</v>
      </c>
      <c r="H21" s="54" t="s">
        <v>217</v>
      </c>
      <c r="I21" s="54"/>
      <c r="J21" s="54"/>
      <c r="K21" s="54">
        <v>202</v>
      </c>
      <c r="L21" s="54">
        <v>2</v>
      </c>
      <c r="M21" s="54">
        <v>3</v>
      </c>
      <c r="N21" s="54" t="s">
        <v>30</v>
      </c>
      <c r="O21" s="54">
        <v>2</v>
      </c>
      <c r="P21" s="54"/>
    </row>
    <row r="22" spans="1:19" ht="13" x14ac:dyDescent="0.3">
      <c r="A22" s="54">
        <v>50</v>
      </c>
      <c r="B22" s="54">
        <v>0</v>
      </c>
      <c r="C22" s="54">
        <v>0</v>
      </c>
      <c r="D22" s="54">
        <v>1</v>
      </c>
      <c r="E22" s="54">
        <v>222</v>
      </c>
      <c r="F22" s="54">
        <v>0</v>
      </c>
      <c r="G22" s="54" t="s">
        <v>218</v>
      </c>
      <c r="H22" s="54" t="s">
        <v>219</v>
      </c>
      <c r="I22" s="54"/>
      <c r="J22" s="54"/>
      <c r="K22" s="54">
        <v>222</v>
      </c>
      <c r="L22" s="54">
        <v>3</v>
      </c>
      <c r="M22" s="54">
        <v>3</v>
      </c>
      <c r="N22" s="54" t="s">
        <v>30</v>
      </c>
      <c r="O22" s="54">
        <v>2</v>
      </c>
      <c r="P22" s="54"/>
    </row>
    <row r="23" spans="1:19" ht="13" x14ac:dyDescent="0.3">
      <c r="A23" s="54">
        <v>50</v>
      </c>
      <c r="B23" s="54">
        <v>0</v>
      </c>
      <c r="C23" s="54">
        <v>0</v>
      </c>
      <c r="D23" s="54">
        <v>1</v>
      </c>
      <c r="E23" s="54">
        <v>225</v>
      </c>
      <c r="F23" s="54">
        <v>1805749.7</v>
      </c>
      <c r="G23" s="54" t="s">
        <v>220</v>
      </c>
      <c r="H23" s="54" t="s">
        <v>221</v>
      </c>
      <c r="I23" s="54"/>
      <c r="J23" s="54"/>
      <c r="K23" s="54">
        <v>225</v>
      </c>
      <c r="L23" s="54">
        <v>4</v>
      </c>
      <c r="M23" s="54">
        <v>3</v>
      </c>
      <c r="N23" s="54" t="s">
        <v>30</v>
      </c>
      <c r="O23" s="54">
        <v>2</v>
      </c>
      <c r="P23" s="54"/>
    </row>
    <row r="24" spans="1:19" ht="13" x14ac:dyDescent="0.3">
      <c r="A24" s="54">
        <v>50</v>
      </c>
      <c r="B24" s="54">
        <v>0</v>
      </c>
      <c r="C24" s="54">
        <v>0</v>
      </c>
      <c r="D24" s="54">
        <v>1</v>
      </c>
      <c r="E24" s="54">
        <v>226</v>
      </c>
      <c r="F24" s="54">
        <v>1805749.7</v>
      </c>
      <c r="G24" s="54" t="s">
        <v>222</v>
      </c>
      <c r="H24" s="54" t="s">
        <v>223</v>
      </c>
      <c r="I24" s="54"/>
      <c r="J24" s="54"/>
      <c r="K24" s="54">
        <v>226</v>
      </c>
      <c r="L24" s="54">
        <v>5</v>
      </c>
      <c r="M24" s="54">
        <v>3</v>
      </c>
      <c r="N24" s="54" t="s">
        <v>30</v>
      </c>
      <c r="O24" s="54">
        <v>2</v>
      </c>
      <c r="P24" s="54"/>
    </row>
    <row r="25" spans="1:19" ht="13" x14ac:dyDescent="0.3">
      <c r="A25" s="54">
        <v>50</v>
      </c>
      <c r="B25" s="54">
        <v>0</v>
      </c>
      <c r="C25" s="54">
        <v>0</v>
      </c>
      <c r="D25" s="54">
        <v>1</v>
      </c>
      <c r="E25" s="54">
        <v>227</v>
      </c>
      <c r="F25" s="54">
        <v>0</v>
      </c>
      <c r="G25" s="54" t="s">
        <v>224</v>
      </c>
      <c r="H25" s="54" t="s">
        <v>225</v>
      </c>
      <c r="I25" s="54"/>
      <c r="J25" s="54"/>
      <c r="K25" s="54">
        <v>227</v>
      </c>
      <c r="L25" s="54">
        <v>6</v>
      </c>
      <c r="M25" s="54">
        <v>3</v>
      </c>
      <c r="N25" s="54" t="s">
        <v>30</v>
      </c>
      <c r="O25" s="54">
        <v>2</v>
      </c>
      <c r="P25" s="54"/>
    </row>
    <row r="26" spans="1:19" ht="13" x14ac:dyDescent="0.3">
      <c r="A26" s="54">
        <v>50</v>
      </c>
      <c r="B26" s="54">
        <v>0</v>
      </c>
      <c r="C26" s="54">
        <v>0</v>
      </c>
      <c r="D26" s="54">
        <v>1</v>
      </c>
      <c r="E26" s="54">
        <v>228</v>
      </c>
      <c r="F26" s="54">
        <v>1805749.7</v>
      </c>
      <c r="G26" s="54" t="s">
        <v>226</v>
      </c>
      <c r="H26" s="54" t="s">
        <v>227</v>
      </c>
      <c r="I26" s="54"/>
      <c r="J26" s="54"/>
      <c r="K26" s="54">
        <v>228</v>
      </c>
      <c r="L26" s="54">
        <v>7</v>
      </c>
      <c r="M26" s="54">
        <v>3</v>
      </c>
      <c r="N26" s="54" t="s">
        <v>30</v>
      </c>
      <c r="O26" s="54">
        <v>2</v>
      </c>
      <c r="P26" s="54"/>
    </row>
    <row r="27" spans="1:19" ht="13" x14ac:dyDescent="0.3">
      <c r="A27" s="54">
        <v>50</v>
      </c>
      <c r="B27" s="54">
        <v>0</v>
      </c>
      <c r="C27" s="54">
        <v>0</v>
      </c>
      <c r="D27" s="54">
        <v>1</v>
      </c>
      <c r="E27" s="54">
        <v>216</v>
      </c>
      <c r="F27" s="54">
        <v>0</v>
      </c>
      <c r="G27" s="54" t="s">
        <v>228</v>
      </c>
      <c r="H27" s="54" t="s">
        <v>229</v>
      </c>
      <c r="I27" s="54"/>
      <c r="J27" s="54"/>
      <c r="K27" s="54">
        <v>216</v>
      </c>
      <c r="L27" s="54">
        <v>8</v>
      </c>
      <c r="M27" s="54">
        <v>3</v>
      </c>
      <c r="N27" s="54" t="s">
        <v>30</v>
      </c>
      <c r="O27" s="54">
        <v>2</v>
      </c>
      <c r="P27" s="54"/>
    </row>
    <row r="28" spans="1:19" ht="13" x14ac:dyDescent="0.3">
      <c r="A28" s="54">
        <v>50</v>
      </c>
      <c r="B28" s="54">
        <v>0</v>
      </c>
      <c r="C28" s="54">
        <v>0</v>
      </c>
      <c r="D28" s="54">
        <v>1</v>
      </c>
      <c r="E28" s="54">
        <v>223</v>
      </c>
      <c r="F28" s="54">
        <v>0</v>
      </c>
      <c r="G28" s="54" t="s">
        <v>230</v>
      </c>
      <c r="H28" s="54" t="s">
        <v>231</v>
      </c>
      <c r="I28" s="54"/>
      <c r="J28" s="54"/>
      <c r="K28" s="54">
        <v>223</v>
      </c>
      <c r="L28" s="54">
        <v>9</v>
      </c>
      <c r="M28" s="54">
        <v>3</v>
      </c>
      <c r="N28" s="54" t="s">
        <v>30</v>
      </c>
      <c r="O28" s="54">
        <v>2</v>
      </c>
      <c r="P28" s="54"/>
    </row>
    <row r="29" spans="1:19" ht="13" x14ac:dyDescent="0.3">
      <c r="A29" s="54">
        <v>50</v>
      </c>
      <c r="B29" s="54">
        <v>0</v>
      </c>
      <c r="C29" s="54">
        <v>0</v>
      </c>
      <c r="D29" s="54">
        <v>1</v>
      </c>
      <c r="E29" s="54">
        <v>229</v>
      </c>
      <c r="F29" s="54">
        <v>0</v>
      </c>
      <c r="G29" s="54" t="s">
        <v>232</v>
      </c>
      <c r="H29" s="54" t="s">
        <v>233</v>
      </c>
      <c r="I29" s="54"/>
      <c r="J29" s="54"/>
      <c r="K29" s="54">
        <v>229</v>
      </c>
      <c r="L29" s="54">
        <v>10</v>
      </c>
      <c r="M29" s="54">
        <v>3</v>
      </c>
      <c r="N29" s="54" t="s">
        <v>30</v>
      </c>
      <c r="O29" s="54">
        <v>2</v>
      </c>
      <c r="P29" s="54"/>
    </row>
    <row r="30" spans="1:19" ht="13" x14ac:dyDescent="0.3">
      <c r="A30" s="54">
        <v>50</v>
      </c>
      <c r="B30" s="54">
        <v>0</v>
      </c>
      <c r="C30" s="54">
        <v>0</v>
      </c>
      <c r="D30" s="54">
        <v>1</v>
      </c>
      <c r="E30" s="54">
        <v>203</v>
      </c>
      <c r="F30" s="54">
        <v>967582.24</v>
      </c>
      <c r="G30" s="54" t="s">
        <v>234</v>
      </c>
      <c r="H30" s="54" t="s">
        <v>235</v>
      </c>
      <c r="I30" s="54"/>
      <c r="J30" s="54"/>
      <c r="K30" s="54">
        <v>203</v>
      </c>
      <c r="L30" s="54">
        <v>11</v>
      </c>
      <c r="M30" s="54">
        <v>3</v>
      </c>
      <c r="N30" s="54" t="s">
        <v>30</v>
      </c>
      <c r="O30" s="54">
        <v>2</v>
      </c>
      <c r="P30" s="54"/>
    </row>
    <row r="31" spans="1:19" ht="13" x14ac:dyDescent="0.3">
      <c r="A31" s="54">
        <v>50</v>
      </c>
      <c r="B31" s="54">
        <v>0</v>
      </c>
      <c r="C31" s="54">
        <v>0</v>
      </c>
      <c r="D31" s="54">
        <v>1</v>
      </c>
      <c r="E31" s="54">
        <v>231</v>
      </c>
      <c r="F31" s="54">
        <v>0</v>
      </c>
      <c r="G31" s="54" t="s">
        <v>236</v>
      </c>
      <c r="H31" s="54" t="s">
        <v>237</v>
      </c>
      <c r="I31" s="54"/>
      <c r="J31" s="54"/>
      <c r="K31" s="54">
        <v>231</v>
      </c>
      <c r="L31" s="54">
        <v>12</v>
      </c>
      <c r="M31" s="54">
        <v>3</v>
      </c>
      <c r="N31" s="54" t="s">
        <v>30</v>
      </c>
      <c r="O31" s="54">
        <v>2</v>
      </c>
      <c r="P31" s="54"/>
    </row>
    <row r="32" spans="1:19" ht="13" x14ac:dyDescent="0.3">
      <c r="A32" s="54">
        <v>50</v>
      </c>
      <c r="B32" s="54">
        <v>0</v>
      </c>
      <c r="C32" s="54">
        <v>0</v>
      </c>
      <c r="D32" s="54">
        <v>1</v>
      </c>
      <c r="E32" s="54">
        <v>204</v>
      </c>
      <c r="F32" s="54">
        <v>499273.49</v>
      </c>
      <c r="G32" s="54" t="s">
        <v>238</v>
      </c>
      <c r="H32" s="54" t="s">
        <v>239</v>
      </c>
      <c r="I32" s="54"/>
      <c r="J32" s="54"/>
      <c r="K32" s="54">
        <v>204</v>
      </c>
      <c r="L32" s="54">
        <v>13</v>
      </c>
      <c r="M32" s="54">
        <v>3</v>
      </c>
      <c r="N32" s="54" t="s">
        <v>30</v>
      </c>
      <c r="O32" s="54">
        <v>2</v>
      </c>
      <c r="P32" s="54"/>
    </row>
    <row r="33" spans="1:16" ht="13" x14ac:dyDescent="0.3">
      <c r="A33" s="54">
        <v>50</v>
      </c>
      <c r="B33" s="54">
        <v>0</v>
      </c>
      <c r="C33" s="54">
        <v>0</v>
      </c>
      <c r="D33" s="54">
        <v>1</v>
      </c>
      <c r="E33" s="54">
        <v>205</v>
      </c>
      <c r="F33" s="54">
        <v>284557.42</v>
      </c>
      <c r="G33" s="54" t="s">
        <v>240</v>
      </c>
      <c r="H33" s="54" t="s">
        <v>241</v>
      </c>
      <c r="I33" s="54"/>
      <c r="J33" s="54"/>
      <c r="K33" s="54">
        <v>205</v>
      </c>
      <c r="L33" s="54">
        <v>14</v>
      </c>
      <c r="M33" s="54">
        <v>3</v>
      </c>
      <c r="N33" s="54" t="s">
        <v>30</v>
      </c>
      <c r="O33" s="54">
        <v>2</v>
      </c>
      <c r="P33" s="54"/>
    </row>
    <row r="34" spans="1:16" ht="13" x14ac:dyDescent="0.3">
      <c r="A34" s="54">
        <v>50</v>
      </c>
      <c r="B34" s="54">
        <v>0</v>
      </c>
      <c r="C34" s="54">
        <v>0</v>
      </c>
      <c r="D34" s="54">
        <v>1</v>
      </c>
      <c r="E34" s="54">
        <v>232</v>
      </c>
      <c r="F34" s="54">
        <v>0</v>
      </c>
      <c r="G34" s="54" t="s">
        <v>242</v>
      </c>
      <c r="H34" s="54" t="s">
        <v>243</v>
      </c>
      <c r="I34" s="54"/>
      <c r="J34" s="54"/>
      <c r="K34" s="54">
        <v>232</v>
      </c>
      <c r="L34" s="54">
        <v>15</v>
      </c>
      <c r="M34" s="54">
        <v>3</v>
      </c>
      <c r="N34" s="54" t="s">
        <v>30</v>
      </c>
      <c r="O34" s="54">
        <v>2</v>
      </c>
      <c r="P34" s="54"/>
    </row>
    <row r="35" spans="1:16" ht="13" x14ac:dyDescent="0.3">
      <c r="A35" s="54">
        <v>50</v>
      </c>
      <c r="B35" s="54">
        <v>0</v>
      </c>
      <c r="C35" s="54">
        <v>0</v>
      </c>
      <c r="D35" s="54">
        <v>1</v>
      </c>
      <c r="E35" s="54">
        <v>214</v>
      </c>
      <c r="F35" s="54">
        <v>0</v>
      </c>
      <c r="G35" s="54" t="s">
        <v>244</v>
      </c>
      <c r="H35" s="54" t="s">
        <v>245</v>
      </c>
      <c r="I35" s="54"/>
      <c r="J35" s="54"/>
      <c r="K35" s="54">
        <v>214</v>
      </c>
      <c r="L35" s="54">
        <v>16</v>
      </c>
      <c r="M35" s="54">
        <v>3</v>
      </c>
      <c r="N35" s="54" t="s">
        <v>30</v>
      </c>
      <c r="O35" s="54">
        <v>2</v>
      </c>
      <c r="P35" s="54"/>
    </row>
    <row r="36" spans="1:16" ht="13" x14ac:dyDescent="0.3">
      <c r="A36" s="54">
        <v>50</v>
      </c>
      <c r="B36" s="54">
        <v>0</v>
      </c>
      <c r="C36" s="54">
        <v>0</v>
      </c>
      <c r="D36" s="54">
        <v>1</v>
      </c>
      <c r="E36" s="54">
        <v>215</v>
      </c>
      <c r="F36" s="54">
        <v>0</v>
      </c>
      <c r="G36" s="54" t="s">
        <v>246</v>
      </c>
      <c r="H36" s="54" t="s">
        <v>247</v>
      </c>
      <c r="I36" s="54"/>
      <c r="J36" s="54"/>
      <c r="K36" s="54">
        <v>215</v>
      </c>
      <c r="L36" s="54">
        <v>17</v>
      </c>
      <c r="M36" s="54">
        <v>3</v>
      </c>
      <c r="N36" s="54" t="s">
        <v>30</v>
      </c>
      <c r="O36" s="54">
        <v>2</v>
      </c>
      <c r="P36" s="54"/>
    </row>
    <row r="37" spans="1:16" ht="13" x14ac:dyDescent="0.3">
      <c r="A37" s="54">
        <v>50</v>
      </c>
      <c r="B37" s="54">
        <v>0</v>
      </c>
      <c r="C37" s="54">
        <v>0</v>
      </c>
      <c r="D37" s="54">
        <v>1</v>
      </c>
      <c r="E37" s="54">
        <v>217</v>
      </c>
      <c r="F37" s="54">
        <v>3420916.8</v>
      </c>
      <c r="G37" s="54" t="s">
        <v>248</v>
      </c>
      <c r="H37" s="54" t="s">
        <v>249</v>
      </c>
      <c r="I37" s="54"/>
      <c r="J37" s="54"/>
      <c r="K37" s="54">
        <v>217</v>
      </c>
      <c r="L37" s="54">
        <v>18</v>
      </c>
      <c r="M37" s="54">
        <v>3</v>
      </c>
      <c r="N37" s="54" t="s">
        <v>30</v>
      </c>
      <c r="O37" s="54">
        <v>2</v>
      </c>
      <c r="P37" s="54"/>
    </row>
    <row r="38" spans="1:16" ht="13" x14ac:dyDescent="0.3">
      <c r="A38" s="54">
        <v>50</v>
      </c>
      <c r="B38" s="54">
        <v>0</v>
      </c>
      <c r="C38" s="54">
        <v>0</v>
      </c>
      <c r="D38" s="54">
        <v>1</v>
      </c>
      <c r="E38" s="54">
        <v>230</v>
      </c>
      <c r="F38" s="54">
        <v>0</v>
      </c>
      <c r="G38" s="54" t="s">
        <v>250</v>
      </c>
      <c r="H38" s="54" t="s">
        <v>251</v>
      </c>
      <c r="I38" s="54"/>
      <c r="J38" s="54"/>
      <c r="K38" s="54">
        <v>230</v>
      </c>
      <c r="L38" s="54">
        <v>19</v>
      </c>
      <c r="M38" s="54">
        <v>3</v>
      </c>
      <c r="N38" s="54" t="s">
        <v>30</v>
      </c>
      <c r="O38" s="54">
        <v>2</v>
      </c>
      <c r="P38" s="54"/>
    </row>
    <row r="39" spans="1:16" ht="13" x14ac:dyDescent="0.3">
      <c r="A39" s="54">
        <v>50</v>
      </c>
      <c r="B39" s="54">
        <v>0</v>
      </c>
      <c r="C39" s="54">
        <v>0</v>
      </c>
      <c r="D39" s="54">
        <v>1</v>
      </c>
      <c r="E39" s="54">
        <v>206</v>
      </c>
      <c r="F39" s="54">
        <v>0</v>
      </c>
      <c r="G39" s="54" t="s">
        <v>252</v>
      </c>
      <c r="H39" s="54" t="s">
        <v>253</v>
      </c>
      <c r="I39" s="54"/>
      <c r="J39" s="54"/>
      <c r="K39" s="54">
        <v>206</v>
      </c>
      <c r="L39" s="54">
        <v>20</v>
      </c>
      <c r="M39" s="54">
        <v>3</v>
      </c>
      <c r="N39" s="54" t="s">
        <v>30</v>
      </c>
      <c r="O39" s="54">
        <v>2</v>
      </c>
      <c r="P39" s="54"/>
    </row>
    <row r="40" spans="1:16" ht="13" x14ac:dyDescent="0.3">
      <c r="A40" s="54">
        <v>50</v>
      </c>
      <c r="B40" s="54">
        <v>0</v>
      </c>
      <c r="C40" s="54">
        <v>0</v>
      </c>
      <c r="D40" s="54">
        <v>1</v>
      </c>
      <c r="E40" s="54">
        <v>207</v>
      </c>
      <c r="F40" s="54">
        <v>1315.7064310000001</v>
      </c>
      <c r="G40" s="54" t="s">
        <v>254</v>
      </c>
      <c r="H40" s="54" t="s">
        <v>255</v>
      </c>
      <c r="I40" s="54"/>
      <c r="J40" s="54"/>
      <c r="K40" s="54">
        <v>207</v>
      </c>
      <c r="L40" s="54">
        <v>21</v>
      </c>
      <c r="M40" s="54">
        <v>3</v>
      </c>
      <c r="N40" s="54" t="s">
        <v>30</v>
      </c>
      <c r="O40" s="54">
        <v>-1</v>
      </c>
      <c r="P40" s="54"/>
    </row>
    <row r="41" spans="1:16" ht="13" x14ac:dyDescent="0.3">
      <c r="A41" s="54">
        <v>50</v>
      </c>
      <c r="B41" s="54">
        <v>0</v>
      </c>
      <c r="C41" s="54">
        <v>0</v>
      </c>
      <c r="D41" s="54">
        <v>1</v>
      </c>
      <c r="E41" s="54">
        <v>208</v>
      </c>
      <c r="F41" s="54">
        <v>0</v>
      </c>
      <c r="G41" s="54" t="s">
        <v>256</v>
      </c>
      <c r="H41" s="54" t="s">
        <v>257</v>
      </c>
      <c r="I41" s="54"/>
      <c r="J41" s="54"/>
      <c r="K41" s="54">
        <v>208</v>
      </c>
      <c r="L41" s="54">
        <v>22</v>
      </c>
      <c r="M41" s="54">
        <v>3</v>
      </c>
      <c r="N41" s="54" t="s">
        <v>30</v>
      </c>
      <c r="O41" s="54">
        <v>-1</v>
      </c>
      <c r="P41" s="54"/>
    </row>
    <row r="42" spans="1:16" ht="13" x14ac:dyDescent="0.3">
      <c r="A42" s="54">
        <v>50</v>
      </c>
      <c r="B42" s="54">
        <v>0</v>
      </c>
      <c r="C42" s="54">
        <v>0</v>
      </c>
      <c r="D42" s="54">
        <v>1</v>
      </c>
      <c r="E42" s="54">
        <v>209</v>
      </c>
      <c r="F42" s="54">
        <v>0</v>
      </c>
      <c r="G42" s="54" t="s">
        <v>258</v>
      </c>
      <c r="H42" s="54" t="s">
        <v>259</v>
      </c>
      <c r="I42" s="54"/>
      <c r="J42" s="54"/>
      <c r="K42" s="54">
        <v>209</v>
      </c>
      <c r="L42" s="54">
        <v>23</v>
      </c>
      <c r="M42" s="54">
        <v>3</v>
      </c>
      <c r="N42" s="54" t="s">
        <v>30</v>
      </c>
      <c r="O42" s="54">
        <v>2</v>
      </c>
      <c r="P42" s="54"/>
    </row>
    <row r="43" spans="1:16" ht="13" x14ac:dyDescent="0.3">
      <c r="A43" s="54">
        <v>50</v>
      </c>
      <c r="B43" s="54">
        <v>0</v>
      </c>
      <c r="C43" s="54">
        <v>0</v>
      </c>
      <c r="D43" s="54">
        <v>1</v>
      </c>
      <c r="E43" s="54">
        <v>233</v>
      </c>
      <c r="F43" s="54">
        <v>0</v>
      </c>
      <c r="G43" s="54" t="s">
        <v>260</v>
      </c>
      <c r="H43" s="54" t="s">
        <v>261</v>
      </c>
      <c r="I43" s="54"/>
      <c r="J43" s="54"/>
      <c r="K43" s="54">
        <v>233</v>
      </c>
      <c r="L43" s="54">
        <v>24</v>
      </c>
      <c r="M43" s="54">
        <v>3</v>
      </c>
      <c r="N43" s="54" t="s">
        <v>30</v>
      </c>
      <c r="O43" s="54">
        <v>2</v>
      </c>
      <c r="P43" s="54"/>
    </row>
    <row r="44" spans="1:16" ht="13" x14ac:dyDescent="0.3">
      <c r="A44" s="54">
        <v>50</v>
      </c>
      <c r="B44" s="54">
        <v>0</v>
      </c>
      <c r="C44" s="54">
        <v>0</v>
      </c>
      <c r="D44" s="54">
        <v>1</v>
      </c>
      <c r="E44" s="54">
        <v>210</v>
      </c>
      <c r="F44" s="54">
        <v>199190.22</v>
      </c>
      <c r="G44" s="54" t="s">
        <v>262</v>
      </c>
      <c r="H44" s="54" t="s">
        <v>263</v>
      </c>
      <c r="I44" s="54"/>
      <c r="J44" s="54"/>
      <c r="K44" s="54">
        <v>210</v>
      </c>
      <c r="L44" s="54">
        <v>25</v>
      </c>
      <c r="M44" s="54">
        <v>3</v>
      </c>
      <c r="N44" s="54" t="s">
        <v>30</v>
      </c>
      <c r="O44" s="54">
        <v>2</v>
      </c>
      <c r="P44" s="54"/>
    </row>
    <row r="45" spans="1:16" ht="13" x14ac:dyDescent="0.3">
      <c r="A45" s="54">
        <v>50</v>
      </c>
      <c r="B45" s="54">
        <v>0</v>
      </c>
      <c r="C45" s="54">
        <v>0</v>
      </c>
      <c r="D45" s="54">
        <v>1</v>
      </c>
      <c r="E45" s="54">
        <v>211</v>
      </c>
      <c r="F45" s="54">
        <v>28455.759999999998</v>
      </c>
      <c r="G45" s="54" t="s">
        <v>264</v>
      </c>
      <c r="H45" s="54" t="s">
        <v>265</v>
      </c>
      <c r="I45" s="54"/>
      <c r="J45" s="54"/>
      <c r="K45" s="54">
        <v>211</v>
      </c>
      <c r="L45" s="54">
        <v>26</v>
      </c>
      <c r="M45" s="54">
        <v>3</v>
      </c>
      <c r="N45" s="54" t="s">
        <v>30</v>
      </c>
      <c r="O45" s="54">
        <v>2</v>
      </c>
      <c r="P45" s="54"/>
    </row>
    <row r="46" spans="1:16" ht="13" x14ac:dyDescent="0.3">
      <c r="A46" s="54">
        <v>50</v>
      </c>
      <c r="B46" s="54">
        <v>0</v>
      </c>
      <c r="C46" s="54">
        <v>0</v>
      </c>
      <c r="D46" s="54">
        <v>1</v>
      </c>
      <c r="E46" s="54">
        <v>224</v>
      </c>
      <c r="F46" s="54">
        <v>3420916.8</v>
      </c>
      <c r="G46" s="54" t="s">
        <v>266</v>
      </c>
      <c r="H46" s="54" t="s">
        <v>267</v>
      </c>
      <c r="I46" s="54"/>
      <c r="J46" s="54"/>
      <c r="K46" s="54">
        <v>224</v>
      </c>
      <c r="L46" s="54">
        <v>27</v>
      </c>
      <c r="M46" s="54">
        <v>3</v>
      </c>
      <c r="N46" s="54" t="s">
        <v>30</v>
      </c>
      <c r="O46" s="54">
        <v>2</v>
      </c>
      <c r="P46" s="54"/>
    </row>
    <row r="47" spans="1:16" ht="13" x14ac:dyDescent="0.3">
      <c r="A47" s="54">
        <v>50</v>
      </c>
      <c r="B47" s="54">
        <v>1</v>
      </c>
      <c r="C47" s="54">
        <v>0</v>
      </c>
      <c r="D47" s="54">
        <v>2</v>
      </c>
      <c r="E47" s="54">
        <v>0</v>
      </c>
      <c r="F47" s="54">
        <v>3420916.8</v>
      </c>
      <c r="G47" s="54" t="s">
        <v>268</v>
      </c>
      <c r="H47" s="54" t="s">
        <v>269</v>
      </c>
      <c r="I47" s="54"/>
      <c r="J47" s="54"/>
      <c r="K47" s="54">
        <v>212</v>
      </c>
      <c r="L47" s="54">
        <v>28</v>
      </c>
      <c r="M47" s="54">
        <v>0</v>
      </c>
      <c r="N47" s="54" t="s">
        <v>30</v>
      </c>
      <c r="O47" s="54">
        <v>2</v>
      </c>
      <c r="P47" s="54"/>
    </row>
    <row r="48" spans="1:16" ht="13" x14ac:dyDescent="0.3">
      <c r="A48" s="54">
        <v>50</v>
      </c>
      <c r="B48" s="54">
        <v>1</v>
      </c>
      <c r="C48" s="54">
        <v>0</v>
      </c>
      <c r="D48" s="54">
        <v>2</v>
      </c>
      <c r="E48" s="54">
        <v>0</v>
      </c>
      <c r="F48" s="54">
        <v>2637085.89</v>
      </c>
      <c r="G48" s="54" t="s">
        <v>270</v>
      </c>
      <c r="H48" s="54" t="s">
        <v>271</v>
      </c>
      <c r="I48" s="54"/>
      <c r="J48" s="54"/>
      <c r="K48" s="54">
        <v>212</v>
      </c>
      <c r="L48" s="54">
        <v>29</v>
      </c>
      <c r="M48" s="54">
        <v>0</v>
      </c>
      <c r="N48" s="54" t="s">
        <v>30</v>
      </c>
      <c r="O48" s="54">
        <v>2</v>
      </c>
      <c r="P48" s="54"/>
    </row>
    <row r="49" spans="1:16" ht="13" x14ac:dyDescent="0.3">
      <c r="A49" s="54">
        <v>50</v>
      </c>
      <c r="B49" s="54">
        <v>1</v>
      </c>
      <c r="C49" s="54">
        <v>0</v>
      </c>
      <c r="D49" s="54">
        <v>2</v>
      </c>
      <c r="E49" s="54">
        <v>0</v>
      </c>
      <c r="F49" s="54">
        <v>28455.759999999998</v>
      </c>
      <c r="G49" s="54" t="s">
        <v>25</v>
      </c>
      <c r="H49" s="54" t="s">
        <v>25</v>
      </c>
      <c r="I49" s="54"/>
      <c r="J49" s="54"/>
      <c r="K49" s="54">
        <v>212</v>
      </c>
      <c r="L49" s="54">
        <v>30</v>
      </c>
      <c r="M49" s="54">
        <v>0</v>
      </c>
      <c r="N49" s="54" t="s">
        <v>30</v>
      </c>
      <c r="O49" s="54">
        <v>2</v>
      </c>
      <c r="P49" s="54"/>
    </row>
    <row r="50" spans="1:16" ht="13" x14ac:dyDescent="0.3">
      <c r="A50" s="54">
        <v>50</v>
      </c>
      <c r="B50" s="54">
        <v>1</v>
      </c>
      <c r="C50" s="54">
        <v>0</v>
      </c>
      <c r="D50" s="54">
        <v>2</v>
      </c>
      <c r="E50" s="54">
        <v>0</v>
      </c>
      <c r="F50" s="54">
        <v>149782.04999999999</v>
      </c>
      <c r="G50" s="54" t="s">
        <v>272</v>
      </c>
      <c r="H50" s="54" t="s">
        <v>272</v>
      </c>
      <c r="I50" s="54"/>
      <c r="J50" s="54"/>
      <c r="K50" s="54">
        <v>212</v>
      </c>
      <c r="L50" s="54">
        <v>31</v>
      </c>
      <c r="M50" s="54">
        <v>0</v>
      </c>
      <c r="N50" s="54" t="s">
        <v>30</v>
      </c>
      <c r="O50" s="54">
        <v>2</v>
      </c>
      <c r="P50" s="54"/>
    </row>
    <row r="51" spans="1:16" ht="13" x14ac:dyDescent="0.3">
      <c r="A51" s="54">
        <v>50</v>
      </c>
      <c r="B51" s="54">
        <v>1</v>
      </c>
      <c r="C51" s="54">
        <v>0</v>
      </c>
      <c r="D51" s="54">
        <v>2</v>
      </c>
      <c r="E51" s="54">
        <v>0</v>
      </c>
      <c r="F51" s="54">
        <v>2458848.08</v>
      </c>
      <c r="G51" s="54" t="s">
        <v>273</v>
      </c>
      <c r="H51" s="54" t="s">
        <v>274</v>
      </c>
      <c r="I51" s="54"/>
      <c r="J51" s="54"/>
      <c r="K51" s="54">
        <v>212</v>
      </c>
      <c r="L51" s="54">
        <v>32</v>
      </c>
      <c r="M51" s="54">
        <v>0</v>
      </c>
      <c r="N51" s="54" t="s">
        <v>30</v>
      </c>
      <c r="O51" s="54">
        <v>2</v>
      </c>
      <c r="P51" s="54"/>
    </row>
    <row r="52" spans="1:16" ht="13" x14ac:dyDescent="0.3">
      <c r="A52" s="54">
        <v>50</v>
      </c>
      <c r="B52" s="54">
        <v>1</v>
      </c>
      <c r="C52" s="54">
        <v>0</v>
      </c>
      <c r="D52" s="54">
        <v>2</v>
      </c>
      <c r="E52" s="54">
        <v>0</v>
      </c>
      <c r="F52" s="54">
        <v>491769.62</v>
      </c>
      <c r="G52" s="54" t="s">
        <v>42</v>
      </c>
      <c r="H52" s="54" t="s">
        <v>42</v>
      </c>
      <c r="I52" s="54"/>
      <c r="J52" s="54"/>
      <c r="K52" s="54">
        <v>212</v>
      </c>
      <c r="L52" s="54">
        <v>33</v>
      </c>
      <c r="M52" s="54">
        <v>0</v>
      </c>
      <c r="N52" s="54" t="s">
        <v>30</v>
      </c>
      <c r="O52" s="54">
        <v>2</v>
      </c>
      <c r="P52" s="54"/>
    </row>
    <row r="53" spans="1:16" ht="13" x14ac:dyDescent="0.3">
      <c r="A53" s="54">
        <v>50</v>
      </c>
      <c r="B53" s="54">
        <v>1</v>
      </c>
      <c r="C53" s="54">
        <v>0</v>
      </c>
      <c r="D53" s="54">
        <v>2</v>
      </c>
      <c r="E53" s="54">
        <v>0</v>
      </c>
      <c r="F53" s="54">
        <v>2950617.7</v>
      </c>
      <c r="G53" s="54" t="s">
        <v>43</v>
      </c>
      <c r="H53" s="54" t="s">
        <v>275</v>
      </c>
      <c r="I53" s="54"/>
      <c r="J53" s="54"/>
      <c r="K53" s="54">
        <v>212</v>
      </c>
      <c r="L53" s="54">
        <v>34</v>
      </c>
      <c r="M53" s="54">
        <v>0</v>
      </c>
      <c r="N53" s="54" t="s">
        <v>30</v>
      </c>
      <c r="O53" s="54">
        <v>2</v>
      </c>
      <c r="P53" s="54"/>
    </row>
    <row r="54" spans="1:16" ht="13" x14ac:dyDescent="0.3">
      <c r="A54" s="54">
        <v>50</v>
      </c>
      <c r="B54" s="54">
        <v>1</v>
      </c>
      <c r="C54" s="54">
        <v>0</v>
      </c>
      <c r="D54" s="54">
        <v>2</v>
      </c>
      <c r="E54" s="54">
        <v>0</v>
      </c>
      <c r="F54" s="54">
        <v>284557.42</v>
      </c>
      <c r="G54" s="54" t="s">
        <v>276</v>
      </c>
      <c r="H54" s="54" t="s">
        <v>277</v>
      </c>
      <c r="I54" s="54"/>
      <c r="J54" s="54"/>
      <c r="K54" s="54">
        <v>212</v>
      </c>
      <c r="L54" s="54">
        <v>35</v>
      </c>
      <c r="M54" s="54">
        <v>0</v>
      </c>
      <c r="N54" s="54" t="s">
        <v>30</v>
      </c>
      <c r="O54" s="54">
        <v>2</v>
      </c>
      <c r="P54" s="54"/>
    </row>
    <row r="55" spans="1:16" ht="13" x14ac:dyDescent="0.3">
      <c r="A55" s="54">
        <v>50</v>
      </c>
      <c r="B55" s="54">
        <v>1</v>
      </c>
      <c r="C55" s="54">
        <v>0</v>
      </c>
      <c r="D55" s="54">
        <v>2</v>
      </c>
      <c r="E55" s="54">
        <v>0</v>
      </c>
      <c r="F55" s="54">
        <v>499273.49</v>
      </c>
      <c r="G55" s="54" t="s">
        <v>278</v>
      </c>
      <c r="H55" s="54" t="s">
        <v>279</v>
      </c>
      <c r="I55" s="54"/>
      <c r="J55" s="54"/>
      <c r="K55" s="54">
        <v>212</v>
      </c>
      <c r="L55" s="54">
        <v>36</v>
      </c>
      <c r="M55" s="54">
        <v>0</v>
      </c>
      <c r="N55" s="54" t="s">
        <v>30</v>
      </c>
      <c r="O55" s="54">
        <v>2</v>
      </c>
      <c r="P55" s="54"/>
    </row>
    <row r="56" spans="1:16" ht="13" x14ac:dyDescent="0.3">
      <c r="A56" s="54">
        <v>50</v>
      </c>
      <c r="B56" s="54">
        <v>1</v>
      </c>
      <c r="C56" s="54">
        <v>0</v>
      </c>
      <c r="D56" s="54">
        <v>2</v>
      </c>
      <c r="E56" s="54">
        <v>0</v>
      </c>
      <c r="F56" s="54">
        <v>3734448.61</v>
      </c>
      <c r="G56" s="54" t="s">
        <v>266</v>
      </c>
      <c r="H56" s="54" t="s">
        <v>280</v>
      </c>
      <c r="I56" s="54"/>
      <c r="J56" s="54"/>
      <c r="K56" s="54">
        <v>212</v>
      </c>
      <c r="L56" s="54">
        <v>37</v>
      </c>
      <c r="M56" s="54">
        <v>0</v>
      </c>
      <c r="N56" s="54" t="s">
        <v>30</v>
      </c>
      <c r="O56" s="54">
        <v>2</v>
      </c>
      <c r="P56" s="54"/>
    </row>
    <row r="58" spans="1:16" x14ac:dyDescent="0.25">
      <c r="A58" s="2">
        <v>-1</v>
      </c>
    </row>
    <row r="61" spans="1:16" ht="13" x14ac:dyDescent="0.3">
      <c r="A61" s="53">
        <v>75</v>
      </c>
      <c r="B61" s="53" t="s">
        <v>357</v>
      </c>
      <c r="C61" s="53">
        <v>2021</v>
      </c>
      <c r="D61" s="53">
        <v>0</v>
      </c>
      <c r="E61" s="53">
        <v>10</v>
      </c>
      <c r="F61" s="53">
        <v>0</v>
      </c>
      <c r="G61" s="53">
        <v>0</v>
      </c>
      <c r="H61" s="53">
        <v>1</v>
      </c>
      <c r="I61" s="53">
        <v>0</v>
      </c>
      <c r="J61" s="53">
        <v>1</v>
      </c>
      <c r="K61" s="53">
        <v>78</v>
      </c>
      <c r="L61" s="53">
        <v>30</v>
      </c>
      <c r="M61" s="53">
        <v>0</v>
      </c>
      <c r="N61" s="53">
        <v>52286166</v>
      </c>
      <c r="O61" s="53">
        <v>1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423DC-9994-4003-87DE-5286D68AE04A}">
  <dimension ref="A1:DC114"/>
  <sheetViews>
    <sheetView workbookViewId="0">
      <selection activeCell="J298" sqref="J298"/>
    </sheetView>
  </sheetViews>
  <sheetFormatPr defaultColWidth="9.1796875" defaultRowHeight="12.5" x14ac:dyDescent="0.25"/>
  <cols>
    <col min="1" max="256" width="9.1796875" style="2" customWidth="1"/>
    <col min="257" max="16384" width="9.1796875" style="2"/>
  </cols>
  <sheetData>
    <row r="1" spans="1:107" x14ac:dyDescent="0.25">
      <c r="A1" s="2">
        <f>ROW('Source (3)'!A28)</f>
        <v>28</v>
      </c>
      <c r="B1" s="2">
        <v>52286166</v>
      </c>
      <c r="C1" s="2">
        <v>52286517</v>
      </c>
      <c r="D1" s="2">
        <v>49677488</v>
      </c>
      <c r="E1" s="2">
        <v>29</v>
      </c>
      <c r="F1" s="2">
        <v>1</v>
      </c>
      <c r="G1" s="2">
        <v>29</v>
      </c>
      <c r="H1" s="2">
        <v>1</v>
      </c>
      <c r="I1" s="2" t="s">
        <v>359</v>
      </c>
      <c r="J1" s="2" t="s">
        <v>30</v>
      </c>
      <c r="K1" s="2" t="s">
        <v>360</v>
      </c>
      <c r="L1" s="2">
        <v>1191</v>
      </c>
      <c r="N1" s="2">
        <v>1013</v>
      </c>
      <c r="O1" s="2" t="s">
        <v>361</v>
      </c>
      <c r="P1" s="2" t="s">
        <v>361</v>
      </c>
      <c r="Q1" s="2">
        <v>1</v>
      </c>
      <c r="W1" s="2">
        <v>0</v>
      </c>
      <c r="X1" s="2">
        <v>476480486</v>
      </c>
      <c r="Y1" s="2">
        <v>0.79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1</v>
      </c>
      <c r="AJ1" s="2">
        <v>1</v>
      </c>
      <c r="AK1" s="2">
        <v>1</v>
      </c>
      <c r="AL1" s="2">
        <v>1</v>
      </c>
      <c r="AN1" s="2">
        <v>0</v>
      </c>
      <c r="AO1" s="2">
        <v>1</v>
      </c>
      <c r="AP1" s="2">
        <v>0</v>
      </c>
      <c r="AQ1" s="2">
        <v>0</v>
      </c>
      <c r="AR1" s="2">
        <v>0</v>
      </c>
      <c r="AS1" s="2" t="s">
        <v>30</v>
      </c>
      <c r="AT1" s="2">
        <v>0.79</v>
      </c>
      <c r="AU1" s="2" t="s">
        <v>30</v>
      </c>
      <c r="AV1" s="2">
        <v>1</v>
      </c>
      <c r="AW1" s="2">
        <v>2</v>
      </c>
      <c r="AX1" s="2">
        <v>52286526</v>
      </c>
      <c r="AY1" s="2">
        <v>1</v>
      </c>
      <c r="AZ1" s="2">
        <v>0</v>
      </c>
      <c r="BA1" s="2">
        <v>1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  <c r="BJ1" s="2">
        <v>0</v>
      </c>
      <c r="BK1" s="2">
        <v>0</v>
      </c>
      <c r="BL1" s="2">
        <v>0</v>
      </c>
      <c r="BM1" s="2">
        <v>0</v>
      </c>
      <c r="BN1" s="2">
        <v>0</v>
      </c>
      <c r="BO1" s="2">
        <v>0</v>
      </c>
      <c r="BP1" s="2">
        <v>0</v>
      </c>
      <c r="BQ1" s="2">
        <v>0</v>
      </c>
      <c r="BR1" s="2">
        <v>0</v>
      </c>
      <c r="BS1" s="2">
        <v>0</v>
      </c>
      <c r="BT1" s="2">
        <v>0</v>
      </c>
      <c r="BU1" s="2">
        <v>0</v>
      </c>
      <c r="BV1" s="2">
        <v>0</v>
      </c>
      <c r="BW1" s="2">
        <v>0</v>
      </c>
      <c r="CX1" s="2">
        <f>Y1*'Source (3)'!I28</f>
        <v>14.22</v>
      </c>
      <c r="CY1" s="2">
        <f>AD1</f>
        <v>0</v>
      </c>
      <c r="CZ1" s="2">
        <f>AH1</f>
        <v>0</v>
      </c>
      <c r="DA1" s="2">
        <f>AL1</f>
        <v>1</v>
      </c>
      <c r="DB1" s="2">
        <f t="shared" ref="DB1:DB25" si="0">ROUND(ROUND(AT1*CZ1,2),6)</f>
        <v>0</v>
      </c>
      <c r="DC1" s="2">
        <f t="shared" ref="DC1:DC25" si="1">ROUND(ROUND(AT1*AG1,2),6)</f>
        <v>0</v>
      </c>
    </row>
    <row r="2" spans="1:107" x14ac:dyDescent="0.25">
      <c r="A2" s="2">
        <f>ROW('Source (3)'!A28)</f>
        <v>28</v>
      </c>
      <c r="B2" s="2">
        <v>52286166</v>
      </c>
      <c r="C2" s="2">
        <v>52286517</v>
      </c>
      <c r="D2" s="2">
        <v>49678760</v>
      </c>
      <c r="E2" s="2">
        <v>1</v>
      </c>
      <c r="F2" s="2">
        <v>1</v>
      </c>
      <c r="G2" s="2">
        <v>29</v>
      </c>
      <c r="H2" s="2">
        <v>2</v>
      </c>
      <c r="I2" s="2" t="s">
        <v>80</v>
      </c>
      <c r="J2" s="2" t="s">
        <v>362</v>
      </c>
      <c r="K2" s="2" t="s">
        <v>81</v>
      </c>
      <c r="L2" s="2">
        <v>1368</v>
      </c>
      <c r="N2" s="2">
        <v>1011</v>
      </c>
      <c r="O2" s="2" t="s">
        <v>82</v>
      </c>
      <c r="P2" s="2" t="s">
        <v>82</v>
      </c>
      <c r="Q2" s="2">
        <v>1</v>
      </c>
      <c r="W2" s="2">
        <v>0</v>
      </c>
      <c r="X2" s="2">
        <v>-619466489</v>
      </c>
      <c r="Y2" s="2">
        <v>0.13</v>
      </c>
      <c r="AA2" s="2">
        <v>0</v>
      </c>
      <c r="AB2" s="2">
        <v>1208.6099999999999</v>
      </c>
      <c r="AC2" s="2">
        <v>484.58</v>
      </c>
      <c r="AD2" s="2">
        <v>0</v>
      </c>
      <c r="AE2" s="2">
        <v>0</v>
      </c>
      <c r="AF2" s="2">
        <v>1208.6099999999999</v>
      </c>
      <c r="AG2" s="2">
        <v>484.58</v>
      </c>
      <c r="AH2" s="2">
        <v>0</v>
      </c>
      <c r="AI2" s="2">
        <v>1</v>
      </c>
      <c r="AJ2" s="2">
        <v>1</v>
      </c>
      <c r="AK2" s="2">
        <v>1</v>
      </c>
      <c r="AL2" s="2">
        <v>1</v>
      </c>
      <c r="AN2" s="2">
        <v>0</v>
      </c>
      <c r="AO2" s="2">
        <v>1</v>
      </c>
      <c r="AP2" s="2">
        <v>0</v>
      </c>
      <c r="AQ2" s="2">
        <v>0</v>
      </c>
      <c r="AR2" s="2">
        <v>0</v>
      </c>
      <c r="AS2" s="2" t="s">
        <v>30</v>
      </c>
      <c r="AT2" s="2">
        <v>0.13</v>
      </c>
      <c r="AU2" s="2" t="s">
        <v>30</v>
      </c>
      <c r="AV2" s="2">
        <v>0</v>
      </c>
      <c r="AW2" s="2">
        <v>2</v>
      </c>
      <c r="AX2" s="2">
        <v>52286528</v>
      </c>
      <c r="AY2" s="2">
        <v>1</v>
      </c>
      <c r="AZ2" s="2">
        <v>0</v>
      </c>
      <c r="BA2" s="2">
        <v>2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CX2" s="2">
        <f>Y2*'Source (3)'!I28</f>
        <v>2.34</v>
      </c>
      <c r="CY2" s="2">
        <f>AB2</f>
        <v>1208.6099999999999</v>
      </c>
      <c r="CZ2" s="2">
        <f>AF2</f>
        <v>1208.6099999999999</v>
      </c>
      <c r="DA2" s="2">
        <f>AJ2</f>
        <v>1</v>
      </c>
      <c r="DB2" s="2">
        <f t="shared" si="0"/>
        <v>157.12</v>
      </c>
      <c r="DC2" s="2">
        <f t="shared" si="1"/>
        <v>63</v>
      </c>
    </row>
    <row r="3" spans="1:107" x14ac:dyDescent="0.25">
      <c r="A3" s="2">
        <f>ROW('Source (3)'!A28)</f>
        <v>28</v>
      </c>
      <c r="B3" s="2">
        <v>52286166</v>
      </c>
      <c r="C3" s="2">
        <v>52286517</v>
      </c>
      <c r="D3" s="2">
        <v>49678446</v>
      </c>
      <c r="E3" s="2">
        <v>1</v>
      </c>
      <c r="F3" s="2">
        <v>1</v>
      </c>
      <c r="G3" s="2">
        <v>29</v>
      </c>
      <c r="H3" s="2">
        <v>2</v>
      </c>
      <c r="I3" s="2" t="s">
        <v>83</v>
      </c>
      <c r="J3" s="2" t="s">
        <v>363</v>
      </c>
      <c r="K3" s="2" t="s">
        <v>84</v>
      </c>
      <c r="L3" s="2">
        <v>1368</v>
      </c>
      <c r="N3" s="2">
        <v>1011</v>
      </c>
      <c r="O3" s="2" t="s">
        <v>82</v>
      </c>
      <c r="P3" s="2" t="s">
        <v>82</v>
      </c>
      <c r="Q3" s="2">
        <v>1</v>
      </c>
      <c r="W3" s="2">
        <v>0</v>
      </c>
      <c r="X3" s="2">
        <v>1628374589</v>
      </c>
      <c r="Y3" s="2">
        <v>0.13</v>
      </c>
      <c r="AA3" s="2">
        <v>0</v>
      </c>
      <c r="AB3" s="2">
        <v>987.45</v>
      </c>
      <c r="AC3" s="2">
        <v>437.55</v>
      </c>
      <c r="AD3" s="2">
        <v>0</v>
      </c>
      <c r="AE3" s="2">
        <v>0</v>
      </c>
      <c r="AF3" s="2">
        <v>987.45</v>
      </c>
      <c r="AG3" s="2">
        <v>437.55</v>
      </c>
      <c r="AH3" s="2">
        <v>0</v>
      </c>
      <c r="AI3" s="2">
        <v>1</v>
      </c>
      <c r="AJ3" s="2">
        <v>1</v>
      </c>
      <c r="AK3" s="2">
        <v>1</v>
      </c>
      <c r="AL3" s="2">
        <v>1</v>
      </c>
      <c r="AN3" s="2">
        <v>0</v>
      </c>
      <c r="AO3" s="2">
        <v>1</v>
      </c>
      <c r="AP3" s="2">
        <v>0</v>
      </c>
      <c r="AQ3" s="2">
        <v>0</v>
      </c>
      <c r="AR3" s="2">
        <v>0</v>
      </c>
      <c r="AS3" s="2" t="s">
        <v>30</v>
      </c>
      <c r="AT3" s="2">
        <v>0.13</v>
      </c>
      <c r="AU3" s="2" t="s">
        <v>30</v>
      </c>
      <c r="AV3" s="2">
        <v>0</v>
      </c>
      <c r="AW3" s="2">
        <v>2</v>
      </c>
      <c r="AX3" s="2">
        <v>52286527</v>
      </c>
      <c r="AY3" s="2">
        <v>1</v>
      </c>
      <c r="AZ3" s="2">
        <v>0</v>
      </c>
      <c r="BA3" s="2">
        <v>3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CX3" s="2">
        <f>Y3*'Source (3)'!I28</f>
        <v>2.34</v>
      </c>
      <c r="CY3" s="2">
        <f>AB3</f>
        <v>987.45</v>
      </c>
      <c r="CZ3" s="2">
        <f>AF3</f>
        <v>987.45</v>
      </c>
      <c r="DA3" s="2">
        <f>AJ3</f>
        <v>1</v>
      </c>
      <c r="DB3" s="2">
        <f t="shared" si="0"/>
        <v>128.37</v>
      </c>
      <c r="DC3" s="2">
        <f t="shared" si="1"/>
        <v>56.88</v>
      </c>
    </row>
    <row r="4" spans="1:107" x14ac:dyDescent="0.25">
      <c r="A4" s="2">
        <f>ROW('Source (3)'!A28)</f>
        <v>28</v>
      </c>
      <c r="B4" s="2">
        <v>52286166</v>
      </c>
      <c r="C4" s="2">
        <v>52286517</v>
      </c>
      <c r="D4" s="2">
        <v>49679291</v>
      </c>
      <c r="E4" s="2">
        <v>1</v>
      </c>
      <c r="F4" s="2">
        <v>1</v>
      </c>
      <c r="G4" s="2">
        <v>29</v>
      </c>
      <c r="H4" s="2">
        <v>2</v>
      </c>
      <c r="I4" s="2" t="s">
        <v>91</v>
      </c>
      <c r="J4" s="2" t="s">
        <v>364</v>
      </c>
      <c r="K4" s="2" t="s">
        <v>92</v>
      </c>
      <c r="L4" s="2">
        <v>1368</v>
      </c>
      <c r="N4" s="2">
        <v>1011</v>
      </c>
      <c r="O4" s="2" t="s">
        <v>82</v>
      </c>
      <c r="P4" s="2" t="s">
        <v>82</v>
      </c>
      <c r="Q4" s="2">
        <v>1</v>
      </c>
      <c r="W4" s="2">
        <v>0</v>
      </c>
      <c r="X4" s="2">
        <v>-417828855</v>
      </c>
      <c r="Y4" s="2">
        <v>0.26</v>
      </c>
      <c r="AA4" s="2">
        <v>0</v>
      </c>
      <c r="AB4" s="2">
        <v>6.02</v>
      </c>
      <c r="AC4" s="2">
        <v>0.02</v>
      </c>
      <c r="AD4" s="2">
        <v>0</v>
      </c>
      <c r="AE4" s="2">
        <v>0</v>
      </c>
      <c r="AF4" s="2">
        <v>6.02</v>
      </c>
      <c r="AG4" s="2">
        <v>0.02</v>
      </c>
      <c r="AH4" s="2">
        <v>0</v>
      </c>
      <c r="AI4" s="2">
        <v>1</v>
      </c>
      <c r="AJ4" s="2">
        <v>1</v>
      </c>
      <c r="AK4" s="2">
        <v>1</v>
      </c>
      <c r="AL4" s="2">
        <v>1</v>
      </c>
      <c r="AN4" s="2">
        <v>0</v>
      </c>
      <c r="AO4" s="2">
        <v>1</v>
      </c>
      <c r="AP4" s="2">
        <v>0</v>
      </c>
      <c r="AQ4" s="2">
        <v>0</v>
      </c>
      <c r="AR4" s="2">
        <v>0</v>
      </c>
      <c r="AS4" s="2" t="s">
        <v>30</v>
      </c>
      <c r="AT4" s="2">
        <v>0.26</v>
      </c>
      <c r="AU4" s="2" t="s">
        <v>30</v>
      </c>
      <c r="AV4" s="2">
        <v>0</v>
      </c>
      <c r="AW4" s="2">
        <v>2</v>
      </c>
      <c r="AX4" s="2">
        <v>52286529</v>
      </c>
      <c r="AY4" s="2">
        <v>1</v>
      </c>
      <c r="AZ4" s="2">
        <v>0</v>
      </c>
      <c r="BA4" s="2">
        <v>4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CX4" s="2">
        <f>Y4*'Source (3)'!I28</f>
        <v>4.68</v>
      </c>
      <c r="CY4" s="2">
        <f>AB4</f>
        <v>6.02</v>
      </c>
      <c r="CZ4" s="2">
        <f>AF4</f>
        <v>6.02</v>
      </c>
      <c r="DA4" s="2">
        <f>AJ4</f>
        <v>1</v>
      </c>
      <c r="DB4" s="2">
        <f t="shared" si="0"/>
        <v>1.57</v>
      </c>
      <c r="DC4" s="2">
        <f t="shared" si="1"/>
        <v>0.01</v>
      </c>
    </row>
    <row r="5" spans="1:107" x14ac:dyDescent="0.25">
      <c r="A5" s="2">
        <f>ROW('Source (3)'!A28)</f>
        <v>28</v>
      </c>
      <c r="B5" s="2">
        <v>52286166</v>
      </c>
      <c r="C5" s="2">
        <v>52286517</v>
      </c>
      <c r="D5" s="2">
        <v>49678662</v>
      </c>
      <c r="E5" s="2">
        <v>1</v>
      </c>
      <c r="F5" s="2">
        <v>1</v>
      </c>
      <c r="G5" s="2">
        <v>29</v>
      </c>
      <c r="H5" s="2">
        <v>2</v>
      </c>
      <c r="I5" s="2" t="s">
        <v>93</v>
      </c>
      <c r="J5" s="2" t="s">
        <v>365</v>
      </c>
      <c r="K5" s="2" t="s">
        <v>94</v>
      </c>
      <c r="L5" s="2">
        <v>1368</v>
      </c>
      <c r="N5" s="2">
        <v>1011</v>
      </c>
      <c r="O5" s="2" t="s">
        <v>82</v>
      </c>
      <c r="P5" s="2" t="s">
        <v>82</v>
      </c>
      <c r="Q5" s="2">
        <v>1</v>
      </c>
      <c r="W5" s="2">
        <v>0</v>
      </c>
      <c r="X5" s="2">
        <v>988317905</v>
      </c>
      <c r="Y5" s="2">
        <v>0.25</v>
      </c>
      <c r="AA5" s="2">
        <v>0</v>
      </c>
      <c r="AB5" s="2">
        <v>7834.05</v>
      </c>
      <c r="AC5" s="2">
        <v>1037.76</v>
      </c>
      <c r="AD5" s="2">
        <v>0</v>
      </c>
      <c r="AE5" s="2">
        <v>0</v>
      </c>
      <c r="AF5" s="2">
        <v>7834.05</v>
      </c>
      <c r="AG5" s="2">
        <v>1037.76</v>
      </c>
      <c r="AH5" s="2">
        <v>0</v>
      </c>
      <c r="AI5" s="2">
        <v>1</v>
      </c>
      <c r="AJ5" s="2">
        <v>1</v>
      </c>
      <c r="AK5" s="2">
        <v>1</v>
      </c>
      <c r="AL5" s="2">
        <v>1</v>
      </c>
      <c r="AN5" s="2">
        <v>0</v>
      </c>
      <c r="AO5" s="2">
        <v>1</v>
      </c>
      <c r="AP5" s="2">
        <v>0</v>
      </c>
      <c r="AQ5" s="2">
        <v>0</v>
      </c>
      <c r="AR5" s="2">
        <v>0</v>
      </c>
      <c r="AS5" s="2" t="s">
        <v>30</v>
      </c>
      <c r="AT5" s="2">
        <v>0.25</v>
      </c>
      <c r="AU5" s="2" t="s">
        <v>30</v>
      </c>
      <c r="AV5" s="2">
        <v>0</v>
      </c>
      <c r="AW5" s="2">
        <v>2</v>
      </c>
      <c r="AX5" s="2">
        <v>52286530</v>
      </c>
      <c r="AY5" s="2">
        <v>1</v>
      </c>
      <c r="AZ5" s="2">
        <v>0</v>
      </c>
      <c r="BA5" s="2">
        <v>5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CX5" s="2">
        <f>Y5*'Source (3)'!I28</f>
        <v>4.5</v>
      </c>
      <c r="CY5" s="2">
        <f>AB5</f>
        <v>7834.05</v>
      </c>
      <c r="CZ5" s="2">
        <f>AF5</f>
        <v>7834.05</v>
      </c>
      <c r="DA5" s="2">
        <f>AJ5</f>
        <v>1</v>
      </c>
      <c r="DB5" s="2">
        <f t="shared" si="0"/>
        <v>1958.51</v>
      </c>
      <c r="DC5" s="2">
        <f t="shared" si="1"/>
        <v>259.44</v>
      </c>
    </row>
    <row r="6" spans="1:107" x14ac:dyDescent="0.25">
      <c r="A6" s="2">
        <f>ROW('Source (3)'!A28)</f>
        <v>28</v>
      </c>
      <c r="B6" s="2">
        <v>52286166</v>
      </c>
      <c r="C6" s="2">
        <v>52286517</v>
      </c>
      <c r="D6" s="2">
        <v>49678657</v>
      </c>
      <c r="E6" s="2">
        <v>1</v>
      </c>
      <c r="F6" s="2">
        <v>1</v>
      </c>
      <c r="G6" s="2">
        <v>29</v>
      </c>
      <c r="H6" s="2">
        <v>2</v>
      </c>
      <c r="I6" s="2" t="s">
        <v>103</v>
      </c>
      <c r="J6" s="2" t="s">
        <v>366</v>
      </c>
      <c r="K6" s="2" t="s">
        <v>104</v>
      </c>
      <c r="L6" s="2">
        <v>1368</v>
      </c>
      <c r="N6" s="2">
        <v>1011</v>
      </c>
      <c r="O6" s="2" t="s">
        <v>82</v>
      </c>
      <c r="P6" s="2" t="s">
        <v>82</v>
      </c>
      <c r="Q6" s="2">
        <v>1</v>
      </c>
      <c r="W6" s="2">
        <v>0</v>
      </c>
      <c r="X6" s="2">
        <v>-198119259</v>
      </c>
      <c r="Y6" s="2">
        <v>0.25</v>
      </c>
      <c r="AA6" s="2">
        <v>0</v>
      </c>
      <c r="AB6" s="2">
        <v>1383.17</v>
      </c>
      <c r="AC6" s="2">
        <v>522.72</v>
      </c>
      <c r="AD6" s="2">
        <v>0</v>
      </c>
      <c r="AE6" s="2">
        <v>0</v>
      </c>
      <c r="AF6" s="2">
        <v>1383.17</v>
      </c>
      <c r="AG6" s="2">
        <v>522.72</v>
      </c>
      <c r="AH6" s="2">
        <v>0</v>
      </c>
      <c r="AI6" s="2">
        <v>1</v>
      </c>
      <c r="AJ6" s="2">
        <v>1</v>
      </c>
      <c r="AK6" s="2">
        <v>1</v>
      </c>
      <c r="AL6" s="2">
        <v>1</v>
      </c>
      <c r="AN6" s="2">
        <v>0</v>
      </c>
      <c r="AO6" s="2">
        <v>1</v>
      </c>
      <c r="AP6" s="2">
        <v>0</v>
      </c>
      <c r="AQ6" s="2">
        <v>0</v>
      </c>
      <c r="AR6" s="2">
        <v>0</v>
      </c>
      <c r="AS6" s="2" t="s">
        <v>30</v>
      </c>
      <c r="AT6" s="2">
        <v>0.25</v>
      </c>
      <c r="AU6" s="2" t="s">
        <v>30</v>
      </c>
      <c r="AV6" s="2">
        <v>0</v>
      </c>
      <c r="AW6" s="2">
        <v>2</v>
      </c>
      <c r="AX6" s="2">
        <v>52286531</v>
      </c>
      <c r="AY6" s="2">
        <v>1</v>
      </c>
      <c r="AZ6" s="2">
        <v>0</v>
      </c>
      <c r="BA6" s="2">
        <v>6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CX6" s="2">
        <f>Y6*'Source (3)'!I28</f>
        <v>4.5</v>
      </c>
      <c r="CY6" s="2">
        <f>AB6</f>
        <v>1383.17</v>
      </c>
      <c r="CZ6" s="2">
        <f>AF6</f>
        <v>1383.17</v>
      </c>
      <c r="DA6" s="2">
        <f>AJ6</f>
        <v>1</v>
      </c>
      <c r="DB6" s="2">
        <f t="shared" si="0"/>
        <v>345.79</v>
      </c>
      <c r="DC6" s="2">
        <f t="shared" si="1"/>
        <v>130.68</v>
      </c>
    </row>
    <row r="7" spans="1:107" x14ac:dyDescent="0.25">
      <c r="A7" s="2">
        <f>ROW('Source (3)'!A28)</f>
        <v>28</v>
      </c>
      <c r="B7" s="2">
        <v>52286166</v>
      </c>
      <c r="C7" s="2">
        <v>52286517</v>
      </c>
      <c r="D7" s="2">
        <v>49681352</v>
      </c>
      <c r="E7" s="2">
        <v>1</v>
      </c>
      <c r="F7" s="2">
        <v>1</v>
      </c>
      <c r="G7" s="2">
        <v>29</v>
      </c>
      <c r="H7" s="2">
        <v>3</v>
      </c>
      <c r="I7" s="2" t="s">
        <v>111</v>
      </c>
      <c r="J7" s="2" t="s">
        <v>367</v>
      </c>
      <c r="K7" s="2" t="s">
        <v>112</v>
      </c>
      <c r="L7" s="2">
        <v>1339</v>
      </c>
      <c r="N7" s="2">
        <v>1007</v>
      </c>
      <c r="O7" s="2" t="s">
        <v>62</v>
      </c>
      <c r="P7" s="2" t="s">
        <v>62</v>
      </c>
      <c r="Q7" s="2">
        <v>1</v>
      </c>
      <c r="W7" s="2">
        <v>0</v>
      </c>
      <c r="X7" s="2">
        <v>1995837903</v>
      </c>
      <c r="Y7" s="2">
        <v>0.26700000000000002</v>
      </c>
      <c r="AA7" s="2">
        <v>36.31</v>
      </c>
      <c r="AB7" s="2">
        <v>0</v>
      </c>
      <c r="AC7" s="2">
        <v>0</v>
      </c>
      <c r="AD7" s="2">
        <v>0</v>
      </c>
      <c r="AE7" s="2">
        <v>36.31</v>
      </c>
      <c r="AF7" s="2">
        <v>0</v>
      </c>
      <c r="AG7" s="2">
        <v>0</v>
      </c>
      <c r="AH7" s="2">
        <v>0</v>
      </c>
      <c r="AI7" s="2">
        <v>1</v>
      </c>
      <c r="AJ7" s="2">
        <v>1</v>
      </c>
      <c r="AK7" s="2">
        <v>1</v>
      </c>
      <c r="AL7" s="2">
        <v>1</v>
      </c>
      <c r="AN7" s="2">
        <v>0</v>
      </c>
      <c r="AO7" s="2">
        <v>1</v>
      </c>
      <c r="AP7" s="2">
        <v>0</v>
      </c>
      <c r="AQ7" s="2">
        <v>0</v>
      </c>
      <c r="AR7" s="2">
        <v>0</v>
      </c>
      <c r="AS7" s="2" t="s">
        <v>30</v>
      </c>
      <c r="AT7" s="2">
        <v>0.26700000000000002</v>
      </c>
      <c r="AU7" s="2" t="s">
        <v>30</v>
      </c>
      <c r="AV7" s="2">
        <v>0</v>
      </c>
      <c r="AW7" s="2">
        <v>2</v>
      </c>
      <c r="AX7" s="2">
        <v>52286532</v>
      </c>
      <c r="AY7" s="2">
        <v>1</v>
      </c>
      <c r="AZ7" s="2">
        <v>0</v>
      </c>
      <c r="BA7" s="2">
        <v>7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CX7" s="2">
        <f>Y7*'Source (3)'!I28</f>
        <v>4.806</v>
      </c>
      <c r="CY7" s="2">
        <f>AA7</f>
        <v>36.31</v>
      </c>
      <c r="CZ7" s="2">
        <f>AE7</f>
        <v>36.31</v>
      </c>
      <c r="DA7" s="2">
        <f>AI7</f>
        <v>1</v>
      </c>
      <c r="DB7" s="2">
        <f t="shared" si="0"/>
        <v>9.69</v>
      </c>
      <c r="DC7" s="2">
        <f t="shared" si="1"/>
        <v>0</v>
      </c>
    </row>
    <row r="8" spans="1:107" x14ac:dyDescent="0.25">
      <c r="A8" s="2">
        <f>ROW('Source (3)'!A28)</f>
        <v>28</v>
      </c>
      <c r="B8" s="2">
        <v>52286166</v>
      </c>
      <c r="C8" s="2">
        <v>52286517</v>
      </c>
      <c r="D8" s="2">
        <v>49682077</v>
      </c>
      <c r="E8" s="2">
        <v>1</v>
      </c>
      <c r="F8" s="2">
        <v>1</v>
      </c>
      <c r="G8" s="2">
        <v>29</v>
      </c>
      <c r="H8" s="2">
        <v>3</v>
      </c>
      <c r="I8" s="2" t="s">
        <v>113</v>
      </c>
      <c r="J8" s="2" t="s">
        <v>368</v>
      </c>
      <c r="K8" s="2" t="s">
        <v>114</v>
      </c>
      <c r="L8" s="2">
        <v>1354</v>
      </c>
      <c r="N8" s="2">
        <v>1010</v>
      </c>
      <c r="O8" s="2" t="s">
        <v>67</v>
      </c>
      <c r="P8" s="2" t="s">
        <v>67</v>
      </c>
      <c r="Q8" s="2">
        <v>1</v>
      </c>
      <c r="W8" s="2">
        <v>0</v>
      </c>
      <c r="X8" s="2">
        <v>2039534259</v>
      </c>
      <c r="Y8" s="2">
        <v>2.5</v>
      </c>
      <c r="AA8" s="2">
        <v>256.22000000000003</v>
      </c>
      <c r="AB8" s="2">
        <v>0</v>
      </c>
      <c r="AC8" s="2">
        <v>0</v>
      </c>
      <c r="AD8" s="2">
        <v>0</v>
      </c>
      <c r="AE8" s="2">
        <v>256.22000000000003</v>
      </c>
      <c r="AF8" s="2">
        <v>0</v>
      </c>
      <c r="AG8" s="2">
        <v>0</v>
      </c>
      <c r="AH8" s="2">
        <v>0</v>
      </c>
      <c r="AI8" s="2">
        <v>1</v>
      </c>
      <c r="AJ8" s="2">
        <v>1</v>
      </c>
      <c r="AK8" s="2">
        <v>1</v>
      </c>
      <c r="AL8" s="2">
        <v>1</v>
      </c>
      <c r="AN8" s="2">
        <v>0</v>
      </c>
      <c r="AO8" s="2">
        <v>1</v>
      </c>
      <c r="AP8" s="2">
        <v>0</v>
      </c>
      <c r="AQ8" s="2">
        <v>0</v>
      </c>
      <c r="AR8" s="2">
        <v>0</v>
      </c>
      <c r="AS8" s="2" t="s">
        <v>30</v>
      </c>
      <c r="AT8" s="2">
        <v>2.5</v>
      </c>
      <c r="AU8" s="2" t="s">
        <v>30</v>
      </c>
      <c r="AV8" s="2">
        <v>0</v>
      </c>
      <c r="AW8" s="2">
        <v>2</v>
      </c>
      <c r="AX8" s="2">
        <v>52286533</v>
      </c>
      <c r="AY8" s="2">
        <v>1</v>
      </c>
      <c r="AZ8" s="2">
        <v>0</v>
      </c>
      <c r="BA8" s="2">
        <v>8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CX8" s="2">
        <f>Y8*'Source (3)'!I28</f>
        <v>45</v>
      </c>
      <c r="CY8" s="2">
        <f>AA8</f>
        <v>256.22000000000003</v>
      </c>
      <c r="CZ8" s="2">
        <f>AE8</f>
        <v>256.22000000000003</v>
      </c>
      <c r="DA8" s="2">
        <f>AI8</f>
        <v>1</v>
      </c>
      <c r="DB8" s="2">
        <f t="shared" si="0"/>
        <v>640.54999999999995</v>
      </c>
      <c r="DC8" s="2">
        <f t="shared" si="1"/>
        <v>0</v>
      </c>
    </row>
    <row r="9" spans="1:107" x14ac:dyDescent="0.25">
      <c r="A9" s="2">
        <f>ROW('Source (3)'!A29)</f>
        <v>29</v>
      </c>
      <c r="B9" s="2">
        <v>52286166</v>
      </c>
      <c r="C9" s="2">
        <v>52286534</v>
      </c>
      <c r="D9" s="2">
        <v>49677488</v>
      </c>
      <c r="E9" s="2">
        <v>29</v>
      </c>
      <c r="F9" s="2">
        <v>1</v>
      </c>
      <c r="G9" s="2">
        <v>29</v>
      </c>
      <c r="H9" s="2">
        <v>1</v>
      </c>
      <c r="I9" s="2" t="s">
        <v>359</v>
      </c>
      <c r="J9" s="2" t="s">
        <v>30</v>
      </c>
      <c r="K9" s="2" t="s">
        <v>360</v>
      </c>
      <c r="L9" s="2">
        <v>1191</v>
      </c>
      <c r="N9" s="2">
        <v>1013</v>
      </c>
      <c r="O9" s="2" t="s">
        <v>361</v>
      </c>
      <c r="P9" s="2" t="s">
        <v>361</v>
      </c>
      <c r="Q9" s="2">
        <v>1</v>
      </c>
      <c r="W9" s="2">
        <v>0</v>
      </c>
      <c r="X9" s="2">
        <v>476480486</v>
      </c>
      <c r="Y9" s="2">
        <v>0.04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1</v>
      </c>
      <c r="AJ9" s="2">
        <v>1</v>
      </c>
      <c r="AK9" s="2">
        <v>1</v>
      </c>
      <c r="AL9" s="2">
        <v>1</v>
      </c>
      <c r="AN9" s="2">
        <v>0</v>
      </c>
      <c r="AO9" s="2">
        <v>1</v>
      </c>
      <c r="AP9" s="2">
        <v>0</v>
      </c>
      <c r="AQ9" s="2">
        <v>0</v>
      </c>
      <c r="AR9" s="2">
        <v>0</v>
      </c>
      <c r="AS9" s="2" t="s">
        <v>30</v>
      </c>
      <c r="AT9" s="2">
        <v>0.04</v>
      </c>
      <c r="AU9" s="2" t="s">
        <v>30</v>
      </c>
      <c r="AV9" s="2">
        <v>1</v>
      </c>
      <c r="AW9" s="2">
        <v>2</v>
      </c>
      <c r="AX9" s="2">
        <v>52286540</v>
      </c>
      <c r="AY9" s="2">
        <v>1</v>
      </c>
      <c r="AZ9" s="2">
        <v>0</v>
      </c>
      <c r="BA9" s="2">
        <v>9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CX9" s="2">
        <f>Y9*'Source (3)'!I29</f>
        <v>-0.72</v>
      </c>
      <c r="CY9" s="2">
        <f>AD9</f>
        <v>0</v>
      </c>
      <c r="CZ9" s="2">
        <f>AH9</f>
        <v>0</v>
      </c>
      <c r="DA9" s="2">
        <f>AL9</f>
        <v>1</v>
      </c>
      <c r="DB9" s="2">
        <f t="shared" si="0"/>
        <v>0</v>
      </c>
      <c r="DC9" s="2">
        <f t="shared" si="1"/>
        <v>0</v>
      </c>
    </row>
    <row r="10" spans="1:107" x14ac:dyDescent="0.25">
      <c r="A10" s="2">
        <f>ROW('Source (3)'!A29)</f>
        <v>29</v>
      </c>
      <c r="B10" s="2">
        <v>52286166</v>
      </c>
      <c r="C10" s="2">
        <v>52286534</v>
      </c>
      <c r="D10" s="2">
        <v>49678662</v>
      </c>
      <c r="E10" s="2">
        <v>1</v>
      </c>
      <c r="F10" s="2">
        <v>1</v>
      </c>
      <c r="G10" s="2">
        <v>29</v>
      </c>
      <c r="H10" s="2">
        <v>2</v>
      </c>
      <c r="I10" s="2" t="s">
        <v>93</v>
      </c>
      <c r="J10" s="2" t="s">
        <v>365</v>
      </c>
      <c r="K10" s="2" t="s">
        <v>94</v>
      </c>
      <c r="L10" s="2">
        <v>1368</v>
      </c>
      <c r="N10" s="2">
        <v>1011</v>
      </c>
      <c r="O10" s="2" t="s">
        <v>82</v>
      </c>
      <c r="P10" s="2" t="s">
        <v>82</v>
      </c>
      <c r="Q10" s="2">
        <v>1</v>
      </c>
      <c r="W10" s="2">
        <v>0</v>
      </c>
      <c r="X10" s="2">
        <v>988317905</v>
      </c>
      <c r="Y10" s="2">
        <v>0.04</v>
      </c>
      <c r="AA10" s="2">
        <v>0</v>
      </c>
      <c r="AB10" s="2">
        <v>7834.05</v>
      </c>
      <c r="AC10" s="2">
        <v>1037.76</v>
      </c>
      <c r="AD10" s="2">
        <v>0</v>
      </c>
      <c r="AE10" s="2">
        <v>0</v>
      </c>
      <c r="AF10" s="2">
        <v>7834.05</v>
      </c>
      <c r="AG10" s="2">
        <v>1037.76</v>
      </c>
      <c r="AH10" s="2">
        <v>0</v>
      </c>
      <c r="AI10" s="2">
        <v>1</v>
      </c>
      <c r="AJ10" s="2">
        <v>1</v>
      </c>
      <c r="AK10" s="2">
        <v>1</v>
      </c>
      <c r="AL10" s="2">
        <v>1</v>
      </c>
      <c r="AN10" s="2">
        <v>0</v>
      </c>
      <c r="AO10" s="2">
        <v>1</v>
      </c>
      <c r="AP10" s="2">
        <v>0</v>
      </c>
      <c r="AQ10" s="2">
        <v>0</v>
      </c>
      <c r="AR10" s="2">
        <v>0</v>
      </c>
      <c r="AS10" s="2" t="s">
        <v>30</v>
      </c>
      <c r="AT10" s="2">
        <v>0.04</v>
      </c>
      <c r="AU10" s="2" t="s">
        <v>30</v>
      </c>
      <c r="AV10" s="2">
        <v>0</v>
      </c>
      <c r="AW10" s="2">
        <v>2</v>
      </c>
      <c r="AX10" s="2">
        <v>52286541</v>
      </c>
      <c r="AY10" s="2">
        <v>1</v>
      </c>
      <c r="AZ10" s="2">
        <v>0</v>
      </c>
      <c r="BA10" s="2">
        <v>10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CX10" s="2">
        <f>Y10*'Source (3)'!I29</f>
        <v>-0.72</v>
      </c>
      <c r="CY10" s="2">
        <f>AB10</f>
        <v>7834.05</v>
      </c>
      <c r="CZ10" s="2">
        <f>AF10</f>
        <v>7834.05</v>
      </c>
      <c r="DA10" s="2">
        <f>AJ10</f>
        <v>1</v>
      </c>
      <c r="DB10" s="2">
        <f t="shared" si="0"/>
        <v>313.36</v>
      </c>
      <c r="DC10" s="2">
        <f t="shared" si="1"/>
        <v>41.51</v>
      </c>
    </row>
    <row r="11" spans="1:107" x14ac:dyDescent="0.25">
      <c r="A11" s="2">
        <f>ROW('Source (3)'!A29)</f>
        <v>29</v>
      </c>
      <c r="B11" s="2">
        <v>52286166</v>
      </c>
      <c r="C11" s="2">
        <v>52286534</v>
      </c>
      <c r="D11" s="2">
        <v>49678657</v>
      </c>
      <c r="E11" s="2">
        <v>1</v>
      </c>
      <c r="F11" s="2">
        <v>1</v>
      </c>
      <c r="G11" s="2">
        <v>29</v>
      </c>
      <c r="H11" s="2">
        <v>2</v>
      </c>
      <c r="I11" s="2" t="s">
        <v>103</v>
      </c>
      <c r="J11" s="2" t="s">
        <v>366</v>
      </c>
      <c r="K11" s="2" t="s">
        <v>104</v>
      </c>
      <c r="L11" s="2">
        <v>1368</v>
      </c>
      <c r="N11" s="2">
        <v>1011</v>
      </c>
      <c r="O11" s="2" t="s">
        <v>82</v>
      </c>
      <c r="P11" s="2" t="s">
        <v>82</v>
      </c>
      <c r="Q11" s="2">
        <v>1</v>
      </c>
      <c r="W11" s="2">
        <v>0</v>
      </c>
      <c r="X11" s="2">
        <v>-198119259</v>
      </c>
      <c r="Y11" s="2">
        <v>0.04</v>
      </c>
      <c r="AA11" s="2">
        <v>0</v>
      </c>
      <c r="AB11" s="2">
        <v>1383.17</v>
      </c>
      <c r="AC11" s="2">
        <v>522.72</v>
      </c>
      <c r="AD11" s="2">
        <v>0</v>
      </c>
      <c r="AE11" s="2">
        <v>0</v>
      </c>
      <c r="AF11" s="2">
        <v>1383.17</v>
      </c>
      <c r="AG11" s="2">
        <v>522.72</v>
      </c>
      <c r="AH11" s="2">
        <v>0</v>
      </c>
      <c r="AI11" s="2">
        <v>1</v>
      </c>
      <c r="AJ11" s="2">
        <v>1</v>
      </c>
      <c r="AK11" s="2">
        <v>1</v>
      </c>
      <c r="AL11" s="2">
        <v>1</v>
      </c>
      <c r="AN11" s="2">
        <v>0</v>
      </c>
      <c r="AO11" s="2">
        <v>1</v>
      </c>
      <c r="AP11" s="2">
        <v>0</v>
      </c>
      <c r="AQ11" s="2">
        <v>0</v>
      </c>
      <c r="AR11" s="2">
        <v>0</v>
      </c>
      <c r="AS11" s="2" t="s">
        <v>30</v>
      </c>
      <c r="AT11" s="2">
        <v>0.04</v>
      </c>
      <c r="AU11" s="2" t="s">
        <v>30</v>
      </c>
      <c r="AV11" s="2">
        <v>0</v>
      </c>
      <c r="AW11" s="2">
        <v>2</v>
      </c>
      <c r="AX11" s="2">
        <v>52286542</v>
      </c>
      <c r="AY11" s="2">
        <v>1</v>
      </c>
      <c r="AZ11" s="2">
        <v>0</v>
      </c>
      <c r="BA11" s="2">
        <v>11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CX11" s="2">
        <f>Y11*'Source (3)'!I29</f>
        <v>-0.72</v>
      </c>
      <c r="CY11" s="2">
        <f>AB11</f>
        <v>1383.17</v>
      </c>
      <c r="CZ11" s="2">
        <f>AF11</f>
        <v>1383.17</v>
      </c>
      <c r="DA11" s="2">
        <f>AJ11</f>
        <v>1</v>
      </c>
      <c r="DB11" s="2">
        <f t="shared" si="0"/>
        <v>55.33</v>
      </c>
      <c r="DC11" s="2">
        <f t="shared" si="1"/>
        <v>20.91</v>
      </c>
    </row>
    <row r="12" spans="1:107" x14ac:dyDescent="0.25">
      <c r="A12" s="2">
        <f>ROW('Source (3)'!A29)</f>
        <v>29</v>
      </c>
      <c r="B12" s="2">
        <v>52286166</v>
      </c>
      <c r="C12" s="2">
        <v>52286534</v>
      </c>
      <c r="D12" s="2">
        <v>49681352</v>
      </c>
      <c r="E12" s="2">
        <v>1</v>
      </c>
      <c r="F12" s="2">
        <v>1</v>
      </c>
      <c r="G12" s="2">
        <v>29</v>
      </c>
      <c r="H12" s="2">
        <v>3</v>
      </c>
      <c r="I12" s="2" t="s">
        <v>111</v>
      </c>
      <c r="J12" s="2" t="s">
        <v>367</v>
      </c>
      <c r="K12" s="2" t="s">
        <v>112</v>
      </c>
      <c r="L12" s="2">
        <v>1339</v>
      </c>
      <c r="N12" s="2">
        <v>1007</v>
      </c>
      <c r="O12" s="2" t="s">
        <v>62</v>
      </c>
      <c r="P12" s="2" t="s">
        <v>62</v>
      </c>
      <c r="Q12" s="2">
        <v>1</v>
      </c>
      <c r="W12" s="2">
        <v>0</v>
      </c>
      <c r="X12" s="2">
        <v>1995837903</v>
      </c>
      <c r="Y12" s="2">
        <v>4.4999999999999998E-2</v>
      </c>
      <c r="AA12" s="2">
        <v>36.31</v>
      </c>
      <c r="AB12" s="2">
        <v>0</v>
      </c>
      <c r="AC12" s="2">
        <v>0</v>
      </c>
      <c r="AD12" s="2">
        <v>0</v>
      </c>
      <c r="AE12" s="2">
        <v>36.31</v>
      </c>
      <c r="AF12" s="2">
        <v>0</v>
      </c>
      <c r="AG12" s="2">
        <v>0</v>
      </c>
      <c r="AH12" s="2">
        <v>0</v>
      </c>
      <c r="AI12" s="2">
        <v>1</v>
      </c>
      <c r="AJ12" s="2">
        <v>1</v>
      </c>
      <c r="AK12" s="2">
        <v>1</v>
      </c>
      <c r="AL12" s="2">
        <v>1</v>
      </c>
      <c r="AN12" s="2">
        <v>0</v>
      </c>
      <c r="AO12" s="2">
        <v>1</v>
      </c>
      <c r="AP12" s="2">
        <v>0</v>
      </c>
      <c r="AQ12" s="2">
        <v>0</v>
      </c>
      <c r="AR12" s="2">
        <v>0</v>
      </c>
      <c r="AS12" s="2" t="s">
        <v>30</v>
      </c>
      <c r="AT12" s="2">
        <v>4.4999999999999998E-2</v>
      </c>
      <c r="AU12" s="2" t="s">
        <v>30</v>
      </c>
      <c r="AV12" s="2">
        <v>0</v>
      </c>
      <c r="AW12" s="2">
        <v>2</v>
      </c>
      <c r="AX12" s="2">
        <v>52286543</v>
      </c>
      <c r="AY12" s="2">
        <v>1</v>
      </c>
      <c r="AZ12" s="2">
        <v>0</v>
      </c>
      <c r="BA12" s="2">
        <v>12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CX12" s="2">
        <f>Y12*'Source (3)'!I29</f>
        <v>-0.81</v>
      </c>
      <c r="CY12" s="2">
        <f>AA12</f>
        <v>36.31</v>
      </c>
      <c r="CZ12" s="2">
        <f>AE12</f>
        <v>36.31</v>
      </c>
      <c r="DA12" s="2">
        <f>AI12</f>
        <v>1</v>
      </c>
      <c r="DB12" s="2">
        <f t="shared" si="0"/>
        <v>1.63</v>
      </c>
      <c r="DC12" s="2">
        <f t="shared" si="1"/>
        <v>0</v>
      </c>
    </row>
    <row r="13" spans="1:107" x14ac:dyDescent="0.25">
      <c r="A13" s="2">
        <f>ROW('Source (3)'!A29)</f>
        <v>29</v>
      </c>
      <c r="B13" s="2">
        <v>52286166</v>
      </c>
      <c r="C13" s="2">
        <v>52286534</v>
      </c>
      <c r="D13" s="2">
        <v>49682077</v>
      </c>
      <c r="E13" s="2">
        <v>1</v>
      </c>
      <c r="F13" s="2">
        <v>1</v>
      </c>
      <c r="G13" s="2">
        <v>29</v>
      </c>
      <c r="H13" s="2">
        <v>3</v>
      </c>
      <c r="I13" s="2" t="s">
        <v>113</v>
      </c>
      <c r="J13" s="2" t="s">
        <v>368</v>
      </c>
      <c r="K13" s="2" t="s">
        <v>114</v>
      </c>
      <c r="L13" s="2">
        <v>1354</v>
      </c>
      <c r="N13" s="2">
        <v>1010</v>
      </c>
      <c r="O13" s="2" t="s">
        <v>67</v>
      </c>
      <c r="P13" s="2" t="s">
        <v>67</v>
      </c>
      <c r="Q13" s="2">
        <v>1</v>
      </c>
      <c r="W13" s="2">
        <v>0</v>
      </c>
      <c r="X13" s="2">
        <v>2039534259</v>
      </c>
      <c r="Y13" s="2">
        <v>0.41</v>
      </c>
      <c r="AA13" s="2">
        <v>256.22000000000003</v>
      </c>
      <c r="AB13" s="2">
        <v>0</v>
      </c>
      <c r="AC13" s="2">
        <v>0</v>
      </c>
      <c r="AD13" s="2">
        <v>0</v>
      </c>
      <c r="AE13" s="2">
        <v>256.22000000000003</v>
      </c>
      <c r="AF13" s="2">
        <v>0</v>
      </c>
      <c r="AG13" s="2">
        <v>0</v>
      </c>
      <c r="AH13" s="2">
        <v>0</v>
      </c>
      <c r="AI13" s="2">
        <v>1</v>
      </c>
      <c r="AJ13" s="2">
        <v>1</v>
      </c>
      <c r="AK13" s="2">
        <v>1</v>
      </c>
      <c r="AL13" s="2">
        <v>1</v>
      </c>
      <c r="AN13" s="2">
        <v>0</v>
      </c>
      <c r="AO13" s="2">
        <v>1</v>
      </c>
      <c r="AP13" s="2">
        <v>0</v>
      </c>
      <c r="AQ13" s="2">
        <v>0</v>
      </c>
      <c r="AR13" s="2">
        <v>0</v>
      </c>
      <c r="AS13" s="2" t="s">
        <v>30</v>
      </c>
      <c r="AT13" s="2">
        <v>0.41</v>
      </c>
      <c r="AU13" s="2" t="s">
        <v>30</v>
      </c>
      <c r="AV13" s="2">
        <v>0</v>
      </c>
      <c r="AW13" s="2">
        <v>2</v>
      </c>
      <c r="AX13" s="2">
        <v>52286544</v>
      </c>
      <c r="AY13" s="2">
        <v>1</v>
      </c>
      <c r="AZ13" s="2">
        <v>0</v>
      </c>
      <c r="BA13" s="2">
        <v>13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CX13" s="2">
        <f>Y13*'Source (3)'!I29</f>
        <v>-7.38</v>
      </c>
      <c r="CY13" s="2">
        <f>AA13</f>
        <v>256.22000000000003</v>
      </c>
      <c r="CZ13" s="2">
        <f>AE13</f>
        <v>256.22000000000003</v>
      </c>
      <c r="DA13" s="2">
        <f>AI13</f>
        <v>1</v>
      </c>
      <c r="DB13" s="2">
        <f t="shared" si="0"/>
        <v>105.05</v>
      </c>
      <c r="DC13" s="2">
        <f t="shared" si="1"/>
        <v>0</v>
      </c>
    </row>
    <row r="14" spans="1:107" x14ac:dyDescent="0.25">
      <c r="A14" s="2">
        <f>ROW('Source (3)'!A30)</f>
        <v>30</v>
      </c>
      <c r="B14" s="2">
        <v>52286166</v>
      </c>
      <c r="C14" s="2">
        <v>52286545</v>
      </c>
      <c r="D14" s="2">
        <v>49677488</v>
      </c>
      <c r="E14" s="2">
        <v>29</v>
      </c>
      <c r="F14" s="2">
        <v>1</v>
      </c>
      <c r="G14" s="2">
        <v>29</v>
      </c>
      <c r="H14" s="2">
        <v>1</v>
      </c>
      <c r="I14" s="2" t="s">
        <v>359</v>
      </c>
      <c r="J14" s="2" t="s">
        <v>30</v>
      </c>
      <c r="K14" s="2" t="s">
        <v>360</v>
      </c>
      <c r="L14" s="2">
        <v>1191</v>
      </c>
      <c r="N14" s="2">
        <v>1013</v>
      </c>
      <c r="O14" s="2" t="s">
        <v>361</v>
      </c>
      <c r="P14" s="2" t="s">
        <v>361</v>
      </c>
      <c r="Q14" s="2">
        <v>1</v>
      </c>
      <c r="W14" s="2">
        <v>0</v>
      </c>
      <c r="X14" s="2">
        <v>476480486</v>
      </c>
      <c r="Y14" s="2">
        <v>87.29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1</v>
      </c>
      <c r="AJ14" s="2">
        <v>1</v>
      </c>
      <c r="AK14" s="2">
        <v>1</v>
      </c>
      <c r="AL14" s="2">
        <v>1</v>
      </c>
      <c r="AN14" s="2">
        <v>0</v>
      </c>
      <c r="AO14" s="2">
        <v>1</v>
      </c>
      <c r="AP14" s="2">
        <v>0</v>
      </c>
      <c r="AQ14" s="2">
        <v>0</v>
      </c>
      <c r="AR14" s="2">
        <v>0</v>
      </c>
      <c r="AS14" s="2" t="s">
        <v>30</v>
      </c>
      <c r="AT14" s="2">
        <v>87.29</v>
      </c>
      <c r="AU14" s="2" t="s">
        <v>30</v>
      </c>
      <c r="AV14" s="2">
        <v>1</v>
      </c>
      <c r="AW14" s="2">
        <v>2</v>
      </c>
      <c r="AX14" s="2">
        <v>52286556</v>
      </c>
      <c r="AY14" s="2">
        <v>1</v>
      </c>
      <c r="AZ14" s="2">
        <v>0</v>
      </c>
      <c r="BA14" s="2">
        <v>14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CX14" s="2">
        <f>Y14*'Source (3)'!I30</f>
        <v>47.136600000000001</v>
      </c>
      <c r="CY14" s="2">
        <f>AD14</f>
        <v>0</v>
      </c>
      <c r="CZ14" s="2">
        <f>AH14</f>
        <v>0</v>
      </c>
      <c r="DA14" s="2">
        <f>AL14</f>
        <v>1</v>
      </c>
      <c r="DB14" s="2">
        <f t="shared" si="0"/>
        <v>0</v>
      </c>
      <c r="DC14" s="2">
        <f t="shared" si="1"/>
        <v>0</v>
      </c>
    </row>
    <row r="15" spans="1:107" x14ac:dyDescent="0.25">
      <c r="A15" s="2">
        <f>ROW('Source (3)'!A30)</f>
        <v>30</v>
      </c>
      <c r="B15" s="2">
        <v>52286166</v>
      </c>
      <c r="C15" s="2">
        <v>52286545</v>
      </c>
      <c r="D15" s="2">
        <v>49678449</v>
      </c>
      <c r="E15" s="2">
        <v>1</v>
      </c>
      <c r="F15" s="2">
        <v>1</v>
      </c>
      <c r="G15" s="2">
        <v>29</v>
      </c>
      <c r="H15" s="2">
        <v>2</v>
      </c>
      <c r="I15" s="2" t="s">
        <v>89</v>
      </c>
      <c r="J15" s="2" t="s">
        <v>369</v>
      </c>
      <c r="K15" s="2" t="s">
        <v>90</v>
      </c>
      <c r="L15" s="2">
        <v>1368</v>
      </c>
      <c r="N15" s="2">
        <v>1011</v>
      </c>
      <c r="O15" s="2" t="s">
        <v>82</v>
      </c>
      <c r="P15" s="2" t="s">
        <v>82</v>
      </c>
      <c r="Q15" s="2">
        <v>1</v>
      </c>
      <c r="W15" s="2">
        <v>0</v>
      </c>
      <c r="X15" s="2">
        <v>-1395457639</v>
      </c>
      <c r="Y15" s="2">
        <v>1.59</v>
      </c>
      <c r="AA15" s="2">
        <v>0</v>
      </c>
      <c r="AB15" s="2">
        <v>780.77</v>
      </c>
      <c r="AC15" s="2">
        <v>433.88</v>
      </c>
      <c r="AD15" s="2">
        <v>0</v>
      </c>
      <c r="AE15" s="2">
        <v>0</v>
      </c>
      <c r="AF15" s="2">
        <v>780.77</v>
      </c>
      <c r="AG15" s="2">
        <v>433.88</v>
      </c>
      <c r="AH15" s="2">
        <v>0</v>
      </c>
      <c r="AI15" s="2">
        <v>1</v>
      </c>
      <c r="AJ15" s="2">
        <v>1</v>
      </c>
      <c r="AK15" s="2">
        <v>1</v>
      </c>
      <c r="AL15" s="2">
        <v>1</v>
      </c>
      <c r="AN15" s="2">
        <v>0</v>
      </c>
      <c r="AO15" s="2">
        <v>1</v>
      </c>
      <c r="AP15" s="2">
        <v>0</v>
      </c>
      <c r="AQ15" s="2">
        <v>0</v>
      </c>
      <c r="AR15" s="2">
        <v>0</v>
      </c>
      <c r="AS15" s="2" t="s">
        <v>30</v>
      </c>
      <c r="AT15" s="2">
        <v>1.59</v>
      </c>
      <c r="AU15" s="2" t="s">
        <v>30</v>
      </c>
      <c r="AV15" s="2">
        <v>0</v>
      </c>
      <c r="AW15" s="2">
        <v>2</v>
      </c>
      <c r="AX15" s="2">
        <v>52286557</v>
      </c>
      <c r="AY15" s="2">
        <v>1</v>
      </c>
      <c r="AZ15" s="2">
        <v>0</v>
      </c>
      <c r="BA15" s="2">
        <v>15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CX15" s="2">
        <f>Y15*'Source (3)'!I30</f>
        <v>0.85860000000000003</v>
      </c>
      <c r="CY15" s="2">
        <f>AB15</f>
        <v>780.77</v>
      </c>
      <c r="CZ15" s="2">
        <f>AF15</f>
        <v>780.77</v>
      </c>
      <c r="DA15" s="2">
        <f>AJ15</f>
        <v>1</v>
      </c>
      <c r="DB15" s="2">
        <f t="shared" si="0"/>
        <v>1241.42</v>
      </c>
      <c r="DC15" s="2">
        <f t="shared" si="1"/>
        <v>689.87</v>
      </c>
    </row>
    <row r="16" spans="1:107" x14ac:dyDescent="0.25">
      <c r="A16" s="2">
        <f>ROW('Source (3)'!A30)</f>
        <v>30</v>
      </c>
      <c r="B16" s="2">
        <v>52286166</v>
      </c>
      <c r="C16" s="2">
        <v>52286545</v>
      </c>
      <c r="D16" s="2">
        <v>49678608</v>
      </c>
      <c r="E16" s="2">
        <v>1</v>
      </c>
      <c r="F16" s="2">
        <v>1</v>
      </c>
      <c r="G16" s="2">
        <v>29</v>
      </c>
      <c r="H16" s="2">
        <v>2</v>
      </c>
      <c r="I16" s="2" t="s">
        <v>95</v>
      </c>
      <c r="J16" s="2" t="s">
        <v>370</v>
      </c>
      <c r="K16" s="2" t="s">
        <v>96</v>
      </c>
      <c r="L16" s="2">
        <v>1368</v>
      </c>
      <c r="N16" s="2">
        <v>1011</v>
      </c>
      <c r="O16" s="2" t="s">
        <v>82</v>
      </c>
      <c r="P16" s="2" t="s">
        <v>82</v>
      </c>
      <c r="Q16" s="2">
        <v>1</v>
      </c>
      <c r="W16" s="2">
        <v>0</v>
      </c>
      <c r="X16" s="2">
        <v>1295106229</v>
      </c>
      <c r="Y16" s="2">
        <v>5.15</v>
      </c>
      <c r="AA16" s="2">
        <v>0</v>
      </c>
      <c r="AB16" s="2">
        <v>1331.87</v>
      </c>
      <c r="AC16" s="2">
        <v>518.54999999999995</v>
      </c>
      <c r="AD16" s="2">
        <v>0</v>
      </c>
      <c r="AE16" s="2">
        <v>0</v>
      </c>
      <c r="AF16" s="2">
        <v>1331.87</v>
      </c>
      <c r="AG16" s="2">
        <v>518.54999999999995</v>
      </c>
      <c r="AH16" s="2">
        <v>0</v>
      </c>
      <c r="AI16" s="2">
        <v>1</v>
      </c>
      <c r="AJ16" s="2">
        <v>1</v>
      </c>
      <c r="AK16" s="2">
        <v>1</v>
      </c>
      <c r="AL16" s="2">
        <v>1</v>
      </c>
      <c r="AN16" s="2">
        <v>0</v>
      </c>
      <c r="AO16" s="2">
        <v>1</v>
      </c>
      <c r="AP16" s="2">
        <v>0</v>
      </c>
      <c r="AQ16" s="2">
        <v>0</v>
      </c>
      <c r="AR16" s="2">
        <v>0</v>
      </c>
      <c r="AS16" s="2" t="s">
        <v>30</v>
      </c>
      <c r="AT16" s="2">
        <v>5.15</v>
      </c>
      <c r="AU16" s="2" t="s">
        <v>30</v>
      </c>
      <c r="AV16" s="2">
        <v>0</v>
      </c>
      <c r="AW16" s="2">
        <v>2</v>
      </c>
      <c r="AX16" s="2">
        <v>52286558</v>
      </c>
      <c r="AY16" s="2">
        <v>1</v>
      </c>
      <c r="AZ16" s="2">
        <v>0</v>
      </c>
      <c r="BA16" s="2">
        <v>16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CX16" s="2">
        <f>Y16*'Source (3)'!I30</f>
        <v>2.7810000000000001</v>
      </c>
      <c r="CY16" s="2">
        <f>AB16</f>
        <v>1331.87</v>
      </c>
      <c r="CZ16" s="2">
        <f>AF16</f>
        <v>1331.87</v>
      </c>
      <c r="DA16" s="2">
        <f>AJ16</f>
        <v>1</v>
      </c>
      <c r="DB16" s="2">
        <f t="shared" si="0"/>
        <v>6859.13</v>
      </c>
      <c r="DC16" s="2">
        <f t="shared" si="1"/>
        <v>2670.53</v>
      </c>
    </row>
    <row r="17" spans="1:107" x14ac:dyDescent="0.25">
      <c r="A17" s="2">
        <f>ROW('Source (3)'!A30)</f>
        <v>30</v>
      </c>
      <c r="B17" s="2">
        <v>52286166</v>
      </c>
      <c r="C17" s="2">
        <v>52286545</v>
      </c>
      <c r="D17" s="2">
        <v>49678594</v>
      </c>
      <c r="E17" s="2">
        <v>1</v>
      </c>
      <c r="F17" s="2">
        <v>1</v>
      </c>
      <c r="G17" s="2">
        <v>29</v>
      </c>
      <c r="H17" s="2">
        <v>2</v>
      </c>
      <c r="I17" s="2" t="s">
        <v>97</v>
      </c>
      <c r="J17" s="2" t="s">
        <v>371</v>
      </c>
      <c r="K17" s="2" t="s">
        <v>98</v>
      </c>
      <c r="L17" s="2">
        <v>1368</v>
      </c>
      <c r="N17" s="2">
        <v>1011</v>
      </c>
      <c r="O17" s="2" t="s">
        <v>82</v>
      </c>
      <c r="P17" s="2" t="s">
        <v>82</v>
      </c>
      <c r="Q17" s="2">
        <v>1</v>
      </c>
      <c r="W17" s="2">
        <v>0</v>
      </c>
      <c r="X17" s="2">
        <v>-180193475</v>
      </c>
      <c r="Y17" s="2">
        <v>11.26</v>
      </c>
      <c r="AA17" s="2">
        <v>0</v>
      </c>
      <c r="AB17" s="2">
        <v>1364.68</v>
      </c>
      <c r="AC17" s="2">
        <v>556.52</v>
      </c>
      <c r="AD17" s="2">
        <v>0</v>
      </c>
      <c r="AE17" s="2">
        <v>0</v>
      </c>
      <c r="AF17" s="2">
        <v>1364.68</v>
      </c>
      <c r="AG17" s="2">
        <v>556.52</v>
      </c>
      <c r="AH17" s="2">
        <v>0</v>
      </c>
      <c r="AI17" s="2">
        <v>1</v>
      </c>
      <c r="AJ17" s="2">
        <v>1</v>
      </c>
      <c r="AK17" s="2">
        <v>1</v>
      </c>
      <c r="AL17" s="2">
        <v>1</v>
      </c>
      <c r="AN17" s="2">
        <v>0</v>
      </c>
      <c r="AO17" s="2">
        <v>1</v>
      </c>
      <c r="AP17" s="2">
        <v>0</v>
      </c>
      <c r="AQ17" s="2">
        <v>0</v>
      </c>
      <c r="AR17" s="2">
        <v>0</v>
      </c>
      <c r="AS17" s="2" t="s">
        <v>30</v>
      </c>
      <c r="AT17" s="2">
        <v>11.26</v>
      </c>
      <c r="AU17" s="2" t="s">
        <v>30</v>
      </c>
      <c r="AV17" s="2">
        <v>0</v>
      </c>
      <c r="AW17" s="2">
        <v>2</v>
      </c>
      <c r="AX17" s="2">
        <v>52286559</v>
      </c>
      <c r="AY17" s="2">
        <v>1</v>
      </c>
      <c r="AZ17" s="2">
        <v>0</v>
      </c>
      <c r="BA17" s="2">
        <v>17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CX17" s="2">
        <f>Y17*'Source (3)'!I30</f>
        <v>6.0804</v>
      </c>
      <c r="CY17" s="2">
        <f>AB17</f>
        <v>1364.68</v>
      </c>
      <c r="CZ17" s="2">
        <f>AF17</f>
        <v>1364.68</v>
      </c>
      <c r="DA17" s="2">
        <f>AJ17</f>
        <v>1</v>
      </c>
      <c r="DB17" s="2">
        <f t="shared" si="0"/>
        <v>15366.3</v>
      </c>
      <c r="DC17" s="2">
        <f t="shared" si="1"/>
        <v>6266.42</v>
      </c>
    </row>
    <row r="18" spans="1:107" x14ac:dyDescent="0.25">
      <c r="A18" s="2">
        <f>ROW('Source (3)'!A30)</f>
        <v>30</v>
      </c>
      <c r="B18" s="2">
        <v>52286166</v>
      </c>
      <c r="C18" s="2">
        <v>52286545</v>
      </c>
      <c r="D18" s="2">
        <v>49678595</v>
      </c>
      <c r="E18" s="2">
        <v>1</v>
      </c>
      <c r="F18" s="2">
        <v>1</v>
      </c>
      <c r="G18" s="2">
        <v>29</v>
      </c>
      <c r="H18" s="2">
        <v>2</v>
      </c>
      <c r="I18" s="2" t="s">
        <v>99</v>
      </c>
      <c r="J18" s="2" t="s">
        <v>372</v>
      </c>
      <c r="K18" s="2" t="s">
        <v>100</v>
      </c>
      <c r="L18" s="2">
        <v>1368</v>
      </c>
      <c r="N18" s="2">
        <v>1011</v>
      </c>
      <c r="O18" s="2" t="s">
        <v>82</v>
      </c>
      <c r="P18" s="2" t="s">
        <v>82</v>
      </c>
      <c r="Q18" s="2">
        <v>1</v>
      </c>
      <c r="W18" s="2">
        <v>0</v>
      </c>
      <c r="X18" s="2">
        <v>802121905</v>
      </c>
      <c r="Y18" s="2">
        <v>32.19</v>
      </c>
      <c r="AA18" s="2">
        <v>0</v>
      </c>
      <c r="AB18" s="2">
        <v>1888.15</v>
      </c>
      <c r="AC18" s="2">
        <v>756.58</v>
      </c>
      <c r="AD18" s="2">
        <v>0</v>
      </c>
      <c r="AE18" s="2">
        <v>0</v>
      </c>
      <c r="AF18" s="2">
        <v>1888.15</v>
      </c>
      <c r="AG18" s="2">
        <v>756.58</v>
      </c>
      <c r="AH18" s="2">
        <v>0</v>
      </c>
      <c r="AI18" s="2">
        <v>1</v>
      </c>
      <c r="AJ18" s="2">
        <v>1</v>
      </c>
      <c r="AK18" s="2">
        <v>1</v>
      </c>
      <c r="AL18" s="2">
        <v>1</v>
      </c>
      <c r="AN18" s="2">
        <v>0</v>
      </c>
      <c r="AO18" s="2">
        <v>1</v>
      </c>
      <c r="AP18" s="2">
        <v>0</v>
      </c>
      <c r="AQ18" s="2">
        <v>0</v>
      </c>
      <c r="AR18" s="2">
        <v>0</v>
      </c>
      <c r="AS18" s="2" t="s">
        <v>30</v>
      </c>
      <c r="AT18" s="2">
        <v>32.19</v>
      </c>
      <c r="AU18" s="2" t="s">
        <v>30</v>
      </c>
      <c r="AV18" s="2">
        <v>0</v>
      </c>
      <c r="AW18" s="2">
        <v>2</v>
      </c>
      <c r="AX18" s="2">
        <v>52286560</v>
      </c>
      <c r="AY18" s="2">
        <v>1</v>
      </c>
      <c r="AZ18" s="2">
        <v>0</v>
      </c>
      <c r="BA18" s="2">
        <v>18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CX18" s="2">
        <f>Y18*'Source (3)'!I30</f>
        <v>17.3826</v>
      </c>
      <c r="CY18" s="2">
        <f>AB18</f>
        <v>1888.15</v>
      </c>
      <c r="CZ18" s="2">
        <f>AF18</f>
        <v>1888.15</v>
      </c>
      <c r="DA18" s="2">
        <f>AJ18</f>
        <v>1</v>
      </c>
      <c r="DB18" s="2">
        <f t="shared" si="0"/>
        <v>60779.55</v>
      </c>
      <c r="DC18" s="2">
        <f t="shared" si="1"/>
        <v>24354.31</v>
      </c>
    </row>
    <row r="19" spans="1:107" x14ac:dyDescent="0.25">
      <c r="A19" s="2">
        <f>ROW('Source (3)'!A30)</f>
        <v>30</v>
      </c>
      <c r="B19" s="2">
        <v>52286166</v>
      </c>
      <c r="C19" s="2">
        <v>52286545</v>
      </c>
      <c r="D19" s="2">
        <v>49678632</v>
      </c>
      <c r="E19" s="2">
        <v>1</v>
      </c>
      <c r="F19" s="2">
        <v>1</v>
      </c>
      <c r="G19" s="2">
        <v>29</v>
      </c>
      <c r="H19" s="2">
        <v>2</v>
      </c>
      <c r="I19" s="2" t="s">
        <v>101</v>
      </c>
      <c r="J19" s="2" t="s">
        <v>373</v>
      </c>
      <c r="K19" s="2" t="s">
        <v>102</v>
      </c>
      <c r="L19" s="2">
        <v>1368</v>
      </c>
      <c r="N19" s="2">
        <v>1011</v>
      </c>
      <c r="O19" s="2" t="s">
        <v>82</v>
      </c>
      <c r="P19" s="2" t="s">
        <v>82</v>
      </c>
      <c r="Q19" s="2">
        <v>1</v>
      </c>
      <c r="W19" s="2">
        <v>0</v>
      </c>
      <c r="X19" s="2">
        <v>2089049132</v>
      </c>
      <c r="Y19" s="2">
        <v>5.81</v>
      </c>
      <c r="AA19" s="2">
        <v>0</v>
      </c>
      <c r="AB19" s="2">
        <v>1586.43</v>
      </c>
      <c r="AC19" s="2">
        <v>752.49</v>
      </c>
      <c r="AD19" s="2">
        <v>0</v>
      </c>
      <c r="AE19" s="2">
        <v>0</v>
      </c>
      <c r="AF19" s="2">
        <v>1586.43</v>
      </c>
      <c r="AG19" s="2">
        <v>752.49</v>
      </c>
      <c r="AH19" s="2">
        <v>0</v>
      </c>
      <c r="AI19" s="2">
        <v>1</v>
      </c>
      <c r="AJ19" s="2">
        <v>1</v>
      </c>
      <c r="AK19" s="2">
        <v>1</v>
      </c>
      <c r="AL19" s="2">
        <v>1</v>
      </c>
      <c r="AN19" s="2">
        <v>0</v>
      </c>
      <c r="AO19" s="2">
        <v>1</v>
      </c>
      <c r="AP19" s="2">
        <v>0</v>
      </c>
      <c r="AQ19" s="2">
        <v>0</v>
      </c>
      <c r="AR19" s="2">
        <v>0</v>
      </c>
      <c r="AS19" s="2" t="s">
        <v>30</v>
      </c>
      <c r="AT19" s="2">
        <v>5.81</v>
      </c>
      <c r="AU19" s="2" t="s">
        <v>30</v>
      </c>
      <c r="AV19" s="2">
        <v>0</v>
      </c>
      <c r="AW19" s="2">
        <v>2</v>
      </c>
      <c r="AX19" s="2">
        <v>52286561</v>
      </c>
      <c r="AY19" s="2">
        <v>1</v>
      </c>
      <c r="AZ19" s="2">
        <v>0</v>
      </c>
      <c r="BA19" s="2">
        <v>19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CX19" s="2">
        <f>Y19*'Source (3)'!I30</f>
        <v>3.1374</v>
      </c>
      <c r="CY19" s="2">
        <f>AB19</f>
        <v>1586.43</v>
      </c>
      <c r="CZ19" s="2">
        <f>AF19</f>
        <v>1586.43</v>
      </c>
      <c r="DA19" s="2">
        <f>AJ19</f>
        <v>1</v>
      </c>
      <c r="DB19" s="2">
        <f t="shared" si="0"/>
        <v>9217.16</v>
      </c>
      <c r="DC19" s="2">
        <f t="shared" si="1"/>
        <v>4371.97</v>
      </c>
    </row>
    <row r="20" spans="1:107" x14ac:dyDescent="0.25">
      <c r="A20" s="2">
        <f>ROW('Source (3)'!A30)</f>
        <v>30</v>
      </c>
      <c r="B20" s="2">
        <v>52286166</v>
      </c>
      <c r="C20" s="2">
        <v>52286545</v>
      </c>
      <c r="D20" s="2">
        <v>49680614</v>
      </c>
      <c r="E20" s="2">
        <v>1</v>
      </c>
      <c r="F20" s="2">
        <v>1</v>
      </c>
      <c r="G20" s="2">
        <v>29</v>
      </c>
      <c r="H20" s="2">
        <v>3</v>
      </c>
      <c r="I20" s="2" t="s">
        <v>107</v>
      </c>
      <c r="J20" s="2" t="s">
        <v>197</v>
      </c>
      <c r="K20" s="2" t="s">
        <v>108</v>
      </c>
      <c r="L20" s="2">
        <v>1339</v>
      </c>
      <c r="N20" s="2">
        <v>1007</v>
      </c>
      <c r="O20" s="2" t="s">
        <v>62</v>
      </c>
      <c r="P20" s="2" t="s">
        <v>62</v>
      </c>
      <c r="Q20" s="2">
        <v>1</v>
      </c>
      <c r="W20" s="2">
        <v>0</v>
      </c>
      <c r="X20" s="2">
        <v>-579596608</v>
      </c>
      <c r="Y20" s="2">
        <v>55</v>
      </c>
      <c r="AA20" s="2">
        <v>1232.5</v>
      </c>
      <c r="AB20" s="2">
        <v>0</v>
      </c>
      <c r="AC20" s="2">
        <v>0</v>
      </c>
      <c r="AD20" s="2">
        <v>0</v>
      </c>
      <c r="AE20" s="2">
        <v>1232.5</v>
      </c>
      <c r="AF20" s="2">
        <v>0</v>
      </c>
      <c r="AG20" s="2">
        <v>0</v>
      </c>
      <c r="AH20" s="2">
        <v>0</v>
      </c>
      <c r="AI20" s="2">
        <v>1</v>
      </c>
      <c r="AJ20" s="2">
        <v>1</v>
      </c>
      <c r="AK20" s="2">
        <v>1</v>
      </c>
      <c r="AL20" s="2">
        <v>1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 t="s">
        <v>30</v>
      </c>
      <c r="AT20" s="2">
        <v>55</v>
      </c>
      <c r="AU20" s="2" t="s">
        <v>30</v>
      </c>
      <c r="AV20" s="2">
        <v>0</v>
      </c>
      <c r="AW20" s="2">
        <v>1</v>
      </c>
      <c r="AX20" s="2">
        <v>-1</v>
      </c>
      <c r="AY20" s="2">
        <v>0</v>
      </c>
      <c r="AZ20" s="2">
        <v>0</v>
      </c>
      <c r="BA20" s="2" t="s">
        <v>30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CX20" s="2">
        <f>Y20*'Source (3)'!I30</f>
        <v>29.7</v>
      </c>
      <c r="CY20" s="2">
        <f>AA20</f>
        <v>1232.5</v>
      </c>
      <c r="CZ20" s="2">
        <f>AE20</f>
        <v>1232.5</v>
      </c>
      <c r="DA20" s="2">
        <f>AI20</f>
        <v>1</v>
      </c>
      <c r="DB20" s="2">
        <f t="shared" si="0"/>
        <v>67787.5</v>
      </c>
      <c r="DC20" s="2">
        <f t="shared" si="1"/>
        <v>0</v>
      </c>
    </row>
    <row r="21" spans="1:107" x14ac:dyDescent="0.25">
      <c r="A21" s="2">
        <f>ROW('Source (3)'!A30)</f>
        <v>30</v>
      </c>
      <c r="B21" s="2">
        <v>52286166</v>
      </c>
      <c r="C21" s="2">
        <v>52286545</v>
      </c>
      <c r="D21" s="2">
        <v>49680618</v>
      </c>
      <c r="E21" s="2">
        <v>1</v>
      </c>
      <c r="F21" s="2">
        <v>1</v>
      </c>
      <c r="G21" s="2">
        <v>29</v>
      </c>
      <c r="H21" s="2">
        <v>3</v>
      </c>
      <c r="I21" s="2" t="s">
        <v>191</v>
      </c>
      <c r="J21" s="2" t="s">
        <v>193</v>
      </c>
      <c r="K21" s="2" t="s">
        <v>192</v>
      </c>
      <c r="L21" s="2">
        <v>1339</v>
      </c>
      <c r="N21" s="2">
        <v>1007</v>
      </c>
      <c r="O21" s="2" t="s">
        <v>62</v>
      </c>
      <c r="P21" s="2" t="s">
        <v>62</v>
      </c>
      <c r="Q21" s="2">
        <v>1</v>
      </c>
      <c r="W21" s="2">
        <v>1</v>
      </c>
      <c r="X21" s="2">
        <v>-235652667</v>
      </c>
      <c r="Y21" s="2">
        <v>-11.5</v>
      </c>
      <c r="AA21" s="2">
        <v>1610.75</v>
      </c>
      <c r="AB21" s="2">
        <v>0</v>
      </c>
      <c r="AC21" s="2">
        <v>0</v>
      </c>
      <c r="AD21" s="2">
        <v>0</v>
      </c>
      <c r="AE21" s="2">
        <v>1610.75</v>
      </c>
      <c r="AF21" s="2">
        <v>0</v>
      </c>
      <c r="AG21" s="2">
        <v>0</v>
      </c>
      <c r="AH21" s="2">
        <v>0</v>
      </c>
      <c r="AI21" s="2">
        <v>1</v>
      </c>
      <c r="AJ21" s="2">
        <v>1</v>
      </c>
      <c r="AK21" s="2">
        <v>1</v>
      </c>
      <c r="AL21" s="2">
        <v>1</v>
      </c>
      <c r="AN21" s="2">
        <v>0</v>
      </c>
      <c r="AO21" s="2">
        <v>1</v>
      </c>
      <c r="AP21" s="2">
        <v>0</v>
      </c>
      <c r="AQ21" s="2">
        <v>0</v>
      </c>
      <c r="AR21" s="2">
        <v>0</v>
      </c>
      <c r="AS21" s="2" t="s">
        <v>30</v>
      </c>
      <c r="AT21" s="2">
        <v>-11.5</v>
      </c>
      <c r="AU21" s="2" t="s">
        <v>30</v>
      </c>
      <c r="AV21" s="2">
        <v>0</v>
      </c>
      <c r="AW21" s="2">
        <v>2</v>
      </c>
      <c r="AX21" s="2">
        <v>52286562</v>
      </c>
      <c r="AY21" s="2">
        <v>1</v>
      </c>
      <c r="AZ21" s="2">
        <v>6144</v>
      </c>
      <c r="BA21" s="2">
        <v>20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CX21" s="2">
        <f>Y21*'Source (3)'!I30</f>
        <v>-6.21</v>
      </c>
      <c r="CY21" s="2">
        <f>AA21</f>
        <v>1610.75</v>
      </c>
      <c r="CZ21" s="2">
        <f>AE21</f>
        <v>1610.75</v>
      </c>
      <c r="DA21" s="2">
        <f>AI21</f>
        <v>1</v>
      </c>
      <c r="DB21" s="2">
        <f t="shared" si="0"/>
        <v>-18523.63</v>
      </c>
      <c r="DC21" s="2">
        <f t="shared" si="1"/>
        <v>0</v>
      </c>
    </row>
    <row r="22" spans="1:107" x14ac:dyDescent="0.25">
      <c r="A22" s="2">
        <f>ROW('Source (3)'!A30)</f>
        <v>30</v>
      </c>
      <c r="B22" s="2">
        <v>52286166</v>
      </c>
      <c r="C22" s="2">
        <v>52286545</v>
      </c>
      <c r="D22" s="2">
        <v>49680619</v>
      </c>
      <c r="E22" s="2">
        <v>1</v>
      </c>
      <c r="F22" s="2">
        <v>1</v>
      </c>
      <c r="G22" s="2">
        <v>29</v>
      </c>
      <c r="H22" s="2">
        <v>3</v>
      </c>
      <c r="I22" s="2" t="s">
        <v>194</v>
      </c>
      <c r="J22" s="2" t="s">
        <v>196</v>
      </c>
      <c r="K22" s="2" t="s">
        <v>195</v>
      </c>
      <c r="L22" s="2">
        <v>1339</v>
      </c>
      <c r="N22" s="2">
        <v>1007</v>
      </c>
      <c r="O22" s="2" t="s">
        <v>62</v>
      </c>
      <c r="P22" s="2" t="s">
        <v>62</v>
      </c>
      <c r="Q22" s="2">
        <v>1</v>
      </c>
      <c r="W22" s="2">
        <v>1</v>
      </c>
      <c r="X22" s="2">
        <v>-1914292201</v>
      </c>
      <c r="Y22" s="2">
        <v>-55</v>
      </c>
      <c r="AA22" s="2">
        <v>1542.75</v>
      </c>
      <c r="AB22" s="2">
        <v>0</v>
      </c>
      <c r="AC22" s="2">
        <v>0</v>
      </c>
      <c r="AD22" s="2">
        <v>0</v>
      </c>
      <c r="AE22" s="2">
        <v>1542.75</v>
      </c>
      <c r="AF22" s="2">
        <v>0</v>
      </c>
      <c r="AG22" s="2">
        <v>0</v>
      </c>
      <c r="AH22" s="2">
        <v>0</v>
      </c>
      <c r="AI22" s="2">
        <v>1</v>
      </c>
      <c r="AJ22" s="2">
        <v>1</v>
      </c>
      <c r="AK22" s="2">
        <v>1</v>
      </c>
      <c r="AL22" s="2">
        <v>1</v>
      </c>
      <c r="AN22" s="2">
        <v>0</v>
      </c>
      <c r="AO22" s="2">
        <v>1</v>
      </c>
      <c r="AP22" s="2">
        <v>0</v>
      </c>
      <c r="AQ22" s="2">
        <v>0</v>
      </c>
      <c r="AR22" s="2">
        <v>0</v>
      </c>
      <c r="AS22" s="2" t="s">
        <v>30</v>
      </c>
      <c r="AT22" s="2">
        <v>-55</v>
      </c>
      <c r="AU22" s="2" t="s">
        <v>30</v>
      </c>
      <c r="AV22" s="2">
        <v>0</v>
      </c>
      <c r="AW22" s="2">
        <v>2</v>
      </c>
      <c r="AX22" s="2">
        <v>52286563</v>
      </c>
      <c r="AY22" s="2">
        <v>1</v>
      </c>
      <c r="AZ22" s="2">
        <v>6144</v>
      </c>
      <c r="BA22" s="2">
        <v>21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CX22" s="2">
        <f>Y22*'Source (3)'!I30</f>
        <v>-29.7</v>
      </c>
      <c r="CY22" s="2">
        <f>AA22</f>
        <v>1542.75</v>
      </c>
      <c r="CZ22" s="2">
        <f>AE22</f>
        <v>1542.75</v>
      </c>
      <c r="DA22" s="2">
        <f>AI22</f>
        <v>1</v>
      </c>
      <c r="DB22" s="2">
        <f t="shared" si="0"/>
        <v>-84851.25</v>
      </c>
      <c r="DC22" s="2">
        <f t="shared" si="1"/>
        <v>0</v>
      </c>
    </row>
    <row r="23" spans="1:107" x14ac:dyDescent="0.25">
      <c r="A23" s="2">
        <f>ROW('Source (3)'!A30)</f>
        <v>30</v>
      </c>
      <c r="B23" s="2">
        <v>52286166</v>
      </c>
      <c r="C23" s="2">
        <v>52286545</v>
      </c>
      <c r="D23" s="2">
        <v>49681352</v>
      </c>
      <c r="E23" s="2">
        <v>1</v>
      </c>
      <c r="F23" s="2">
        <v>1</v>
      </c>
      <c r="G23" s="2">
        <v>29</v>
      </c>
      <c r="H23" s="2">
        <v>3</v>
      </c>
      <c r="I23" s="2" t="s">
        <v>111</v>
      </c>
      <c r="J23" s="2" t="s">
        <v>367</v>
      </c>
      <c r="K23" s="2" t="s">
        <v>112</v>
      </c>
      <c r="L23" s="2">
        <v>1339</v>
      </c>
      <c r="N23" s="2">
        <v>1007</v>
      </c>
      <c r="O23" s="2" t="s">
        <v>62</v>
      </c>
      <c r="P23" s="2" t="s">
        <v>62</v>
      </c>
      <c r="Q23" s="2">
        <v>1</v>
      </c>
      <c r="W23" s="2">
        <v>0</v>
      </c>
      <c r="X23" s="2">
        <v>1995837903</v>
      </c>
      <c r="Y23" s="2">
        <v>25</v>
      </c>
      <c r="AA23" s="2">
        <v>36.31</v>
      </c>
      <c r="AB23" s="2">
        <v>0</v>
      </c>
      <c r="AC23" s="2">
        <v>0</v>
      </c>
      <c r="AD23" s="2">
        <v>0</v>
      </c>
      <c r="AE23" s="2">
        <v>36.31</v>
      </c>
      <c r="AF23" s="2">
        <v>0</v>
      </c>
      <c r="AG23" s="2">
        <v>0</v>
      </c>
      <c r="AH23" s="2">
        <v>0</v>
      </c>
      <c r="AI23" s="2">
        <v>1</v>
      </c>
      <c r="AJ23" s="2">
        <v>1</v>
      </c>
      <c r="AK23" s="2">
        <v>1</v>
      </c>
      <c r="AL23" s="2">
        <v>1</v>
      </c>
      <c r="AN23" s="2">
        <v>0</v>
      </c>
      <c r="AO23" s="2">
        <v>1</v>
      </c>
      <c r="AP23" s="2">
        <v>0</v>
      </c>
      <c r="AQ23" s="2">
        <v>0</v>
      </c>
      <c r="AR23" s="2">
        <v>0</v>
      </c>
      <c r="AS23" s="2" t="s">
        <v>30</v>
      </c>
      <c r="AT23" s="2">
        <v>25</v>
      </c>
      <c r="AU23" s="2" t="s">
        <v>30</v>
      </c>
      <c r="AV23" s="2">
        <v>0</v>
      </c>
      <c r="AW23" s="2">
        <v>2</v>
      </c>
      <c r="AX23" s="2">
        <v>52286564</v>
      </c>
      <c r="AY23" s="2">
        <v>1</v>
      </c>
      <c r="AZ23" s="2">
        <v>0</v>
      </c>
      <c r="BA23" s="2">
        <v>22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CX23" s="2">
        <f>Y23*'Source (3)'!I30</f>
        <v>13.5</v>
      </c>
      <c r="CY23" s="2">
        <f>AA23</f>
        <v>36.31</v>
      </c>
      <c r="CZ23" s="2">
        <f>AE23</f>
        <v>36.31</v>
      </c>
      <c r="DA23" s="2">
        <f>AI23</f>
        <v>1</v>
      </c>
      <c r="DB23" s="2">
        <f t="shared" si="0"/>
        <v>907.75</v>
      </c>
      <c r="DC23" s="2">
        <f t="shared" si="1"/>
        <v>0</v>
      </c>
    </row>
    <row r="24" spans="1:107" x14ac:dyDescent="0.25">
      <c r="A24" s="2">
        <f>ROW('Source (3)'!A34)</f>
        <v>34</v>
      </c>
      <c r="B24" s="2">
        <v>52286166</v>
      </c>
      <c r="C24" s="2">
        <v>52286568</v>
      </c>
      <c r="D24" s="2">
        <v>49679217</v>
      </c>
      <c r="E24" s="2">
        <v>1</v>
      </c>
      <c r="F24" s="2">
        <v>1</v>
      </c>
      <c r="G24" s="2">
        <v>29</v>
      </c>
      <c r="H24" s="2">
        <v>2</v>
      </c>
      <c r="I24" s="2" t="s">
        <v>85</v>
      </c>
      <c r="J24" s="2" t="s">
        <v>374</v>
      </c>
      <c r="K24" s="2" t="s">
        <v>86</v>
      </c>
      <c r="L24" s="2">
        <v>1368</v>
      </c>
      <c r="N24" s="2">
        <v>1011</v>
      </c>
      <c r="O24" s="2" t="s">
        <v>82</v>
      </c>
      <c r="P24" s="2" t="s">
        <v>82</v>
      </c>
      <c r="Q24" s="2">
        <v>1</v>
      </c>
      <c r="W24" s="2">
        <v>0</v>
      </c>
      <c r="X24" s="2">
        <v>2102615478</v>
      </c>
      <c r="Y24" s="2">
        <v>0.02</v>
      </c>
      <c r="AA24" s="2">
        <v>0</v>
      </c>
      <c r="AB24" s="2">
        <v>1070.1199999999999</v>
      </c>
      <c r="AC24" s="2">
        <v>332.66</v>
      </c>
      <c r="AD24" s="2">
        <v>0</v>
      </c>
      <c r="AE24" s="2">
        <v>0</v>
      </c>
      <c r="AF24" s="2">
        <v>1070.1199999999999</v>
      </c>
      <c r="AG24" s="2">
        <v>332.66</v>
      </c>
      <c r="AH24" s="2">
        <v>0</v>
      </c>
      <c r="AI24" s="2">
        <v>1</v>
      </c>
      <c r="AJ24" s="2">
        <v>1</v>
      </c>
      <c r="AK24" s="2">
        <v>1</v>
      </c>
      <c r="AL24" s="2">
        <v>1</v>
      </c>
      <c r="AN24" s="2">
        <v>0</v>
      </c>
      <c r="AO24" s="2">
        <v>1</v>
      </c>
      <c r="AP24" s="2">
        <v>0</v>
      </c>
      <c r="AQ24" s="2">
        <v>0</v>
      </c>
      <c r="AR24" s="2">
        <v>0</v>
      </c>
      <c r="AS24" s="2" t="s">
        <v>30</v>
      </c>
      <c r="AT24" s="2">
        <v>0.02</v>
      </c>
      <c r="AU24" s="2" t="s">
        <v>30</v>
      </c>
      <c r="AV24" s="2">
        <v>0</v>
      </c>
      <c r="AW24" s="2">
        <v>2</v>
      </c>
      <c r="AX24" s="2">
        <v>52286571</v>
      </c>
      <c r="AY24" s="2">
        <v>1</v>
      </c>
      <c r="AZ24" s="2">
        <v>0</v>
      </c>
      <c r="BA24" s="2">
        <v>23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CX24" s="2">
        <f>Y24*'Source (3)'!I34</f>
        <v>4.32</v>
      </c>
      <c r="CY24" s="2">
        <f>AB24</f>
        <v>1070.1199999999999</v>
      </c>
      <c r="CZ24" s="2">
        <f>AF24</f>
        <v>1070.1199999999999</v>
      </c>
      <c r="DA24" s="2">
        <f>AJ24</f>
        <v>1</v>
      </c>
      <c r="DB24" s="2">
        <f t="shared" si="0"/>
        <v>21.4</v>
      </c>
      <c r="DC24" s="2">
        <f t="shared" si="1"/>
        <v>6.65</v>
      </c>
    </row>
    <row r="25" spans="1:107" x14ac:dyDescent="0.25">
      <c r="A25" s="2">
        <f>ROW('Source (3)'!A34)</f>
        <v>34</v>
      </c>
      <c r="B25" s="2">
        <v>52286166</v>
      </c>
      <c r="C25" s="2">
        <v>52286568</v>
      </c>
      <c r="D25" s="2">
        <v>49679218</v>
      </c>
      <c r="E25" s="2">
        <v>1</v>
      </c>
      <c r="F25" s="2">
        <v>1</v>
      </c>
      <c r="G25" s="2">
        <v>29</v>
      </c>
      <c r="H25" s="2">
        <v>2</v>
      </c>
      <c r="I25" s="2" t="s">
        <v>87</v>
      </c>
      <c r="J25" s="2" t="s">
        <v>375</v>
      </c>
      <c r="K25" s="2" t="s">
        <v>88</v>
      </c>
      <c r="L25" s="2">
        <v>1368</v>
      </c>
      <c r="N25" s="2">
        <v>1011</v>
      </c>
      <c r="O25" s="2" t="s">
        <v>82</v>
      </c>
      <c r="P25" s="2" t="s">
        <v>82</v>
      </c>
      <c r="Q25" s="2">
        <v>1</v>
      </c>
      <c r="W25" s="2">
        <v>0</v>
      </c>
      <c r="X25" s="2">
        <v>-421523076</v>
      </c>
      <c r="Y25" s="2">
        <v>1.7999999999999999E-2</v>
      </c>
      <c r="AA25" s="2">
        <v>0</v>
      </c>
      <c r="AB25" s="2">
        <v>1080.76</v>
      </c>
      <c r="AC25" s="2">
        <v>332.99</v>
      </c>
      <c r="AD25" s="2">
        <v>0</v>
      </c>
      <c r="AE25" s="2">
        <v>0</v>
      </c>
      <c r="AF25" s="2">
        <v>1080.76</v>
      </c>
      <c r="AG25" s="2">
        <v>332.99</v>
      </c>
      <c r="AH25" s="2">
        <v>0</v>
      </c>
      <c r="AI25" s="2">
        <v>1</v>
      </c>
      <c r="AJ25" s="2">
        <v>1</v>
      </c>
      <c r="AK25" s="2">
        <v>1</v>
      </c>
      <c r="AL25" s="2">
        <v>1</v>
      </c>
      <c r="AN25" s="2">
        <v>0</v>
      </c>
      <c r="AO25" s="2">
        <v>1</v>
      </c>
      <c r="AP25" s="2">
        <v>0</v>
      </c>
      <c r="AQ25" s="2">
        <v>0</v>
      </c>
      <c r="AR25" s="2">
        <v>0</v>
      </c>
      <c r="AS25" s="2" t="s">
        <v>30</v>
      </c>
      <c r="AT25" s="2">
        <v>1.7999999999999999E-2</v>
      </c>
      <c r="AU25" s="2" t="s">
        <v>30</v>
      </c>
      <c r="AV25" s="2">
        <v>0</v>
      </c>
      <c r="AW25" s="2">
        <v>2</v>
      </c>
      <c r="AX25" s="2">
        <v>52286572</v>
      </c>
      <c r="AY25" s="2">
        <v>1</v>
      </c>
      <c r="AZ25" s="2">
        <v>0</v>
      </c>
      <c r="BA25" s="2">
        <v>24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CX25" s="2">
        <f>Y25*'Source (3)'!I34</f>
        <v>3.8879999999999999</v>
      </c>
      <c r="CY25" s="2">
        <f>AB25</f>
        <v>1080.76</v>
      </c>
      <c r="CZ25" s="2">
        <f>AF25</f>
        <v>1080.76</v>
      </c>
      <c r="DA25" s="2">
        <f>AJ25</f>
        <v>1</v>
      </c>
      <c r="DB25" s="2">
        <f t="shared" si="0"/>
        <v>19.45</v>
      </c>
      <c r="DC25" s="2">
        <f t="shared" si="1"/>
        <v>5.99</v>
      </c>
    </row>
    <row r="26" spans="1:107" x14ac:dyDescent="0.25">
      <c r="A26" s="2">
        <f>ROW('Source (3)'!A35)</f>
        <v>35</v>
      </c>
      <c r="B26" s="2">
        <v>52286166</v>
      </c>
      <c r="C26" s="2">
        <v>52286573</v>
      </c>
      <c r="D26" s="2">
        <v>49679217</v>
      </c>
      <c r="E26" s="2">
        <v>1</v>
      </c>
      <c r="F26" s="2">
        <v>1</v>
      </c>
      <c r="G26" s="2">
        <v>29</v>
      </c>
      <c r="H26" s="2">
        <v>2</v>
      </c>
      <c r="I26" s="2" t="s">
        <v>85</v>
      </c>
      <c r="J26" s="2" t="s">
        <v>374</v>
      </c>
      <c r="K26" s="2" t="s">
        <v>86</v>
      </c>
      <c r="L26" s="2">
        <v>1368</v>
      </c>
      <c r="N26" s="2">
        <v>1011</v>
      </c>
      <c r="O26" s="2" t="s">
        <v>82</v>
      </c>
      <c r="P26" s="2" t="s">
        <v>82</v>
      </c>
      <c r="Q26" s="2">
        <v>1</v>
      </c>
      <c r="W26" s="2">
        <v>0</v>
      </c>
      <c r="X26" s="2">
        <v>2102615478</v>
      </c>
      <c r="Y26" s="2">
        <v>0.52</v>
      </c>
      <c r="AA26" s="2">
        <v>0</v>
      </c>
      <c r="AB26" s="2">
        <v>1070.1199999999999</v>
      </c>
      <c r="AC26" s="2">
        <v>332.66</v>
      </c>
      <c r="AD26" s="2">
        <v>0</v>
      </c>
      <c r="AE26" s="2">
        <v>0</v>
      </c>
      <c r="AF26" s="2">
        <v>1070.1199999999999</v>
      </c>
      <c r="AG26" s="2">
        <v>332.66</v>
      </c>
      <c r="AH26" s="2">
        <v>0</v>
      </c>
      <c r="AI26" s="2">
        <v>1</v>
      </c>
      <c r="AJ26" s="2">
        <v>1</v>
      </c>
      <c r="AK26" s="2">
        <v>1</v>
      </c>
      <c r="AL26" s="2">
        <v>1</v>
      </c>
      <c r="AN26" s="2">
        <v>0</v>
      </c>
      <c r="AO26" s="2">
        <v>1</v>
      </c>
      <c r="AP26" s="2">
        <v>1</v>
      </c>
      <c r="AQ26" s="2">
        <v>0</v>
      </c>
      <c r="AR26" s="2">
        <v>0</v>
      </c>
      <c r="AS26" s="2" t="s">
        <v>30</v>
      </c>
      <c r="AT26" s="2">
        <v>0.01</v>
      </c>
      <c r="AU26" s="2" t="s">
        <v>207</v>
      </c>
      <c r="AV26" s="2">
        <v>0</v>
      </c>
      <c r="AW26" s="2">
        <v>2</v>
      </c>
      <c r="AX26" s="2">
        <v>52286576</v>
      </c>
      <c r="AY26" s="2">
        <v>1</v>
      </c>
      <c r="AZ26" s="2">
        <v>0</v>
      </c>
      <c r="BA26" s="2">
        <v>25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CX26" s="2">
        <f>Y26*'Source (3)'!I35</f>
        <v>112.32</v>
      </c>
      <c r="CY26" s="2">
        <f>AB26</f>
        <v>1070.1199999999999</v>
      </c>
      <c r="CZ26" s="2">
        <f>AF26</f>
        <v>1070.1199999999999</v>
      </c>
      <c r="DA26" s="2">
        <f>AJ26</f>
        <v>1</v>
      </c>
      <c r="DB26" s="2">
        <f>ROUND((ROUND(AT26*CZ26,2)*52),6)</f>
        <v>556.4</v>
      </c>
      <c r="DC26" s="2">
        <f>ROUND((ROUND(AT26*AG26,2)*52),6)</f>
        <v>173.16</v>
      </c>
    </row>
    <row r="27" spans="1:107" x14ac:dyDescent="0.25">
      <c r="A27" s="2">
        <f>ROW('Source (3)'!A35)</f>
        <v>35</v>
      </c>
      <c r="B27" s="2">
        <v>52286166</v>
      </c>
      <c r="C27" s="2">
        <v>52286573</v>
      </c>
      <c r="D27" s="2">
        <v>49679218</v>
      </c>
      <c r="E27" s="2">
        <v>1</v>
      </c>
      <c r="F27" s="2">
        <v>1</v>
      </c>
      <c r="G27" s="2">
        <v>29</v>
      </c>
      <c r="H27" s="2">
        <v>2</v>
      </c>
      <c r="I27" s="2" t="s">
        <v>87</v>
      </c>
      <c r="J27" s="2" t="s">
        <v>375</v>
      </c>
      <c r="K27" s="2" t="s">
        <v>88</v>
      </c>
      <c r="L27" s="2">
        <v>1368</v>
      </c>
      <c r="N27" s="2">
        <v>1011</v>
      </c>
      <c r="O27" s="2" t="s">
        <v>82</v>
      </c>
      <c r="P27" s="2" t="s">
        <v>82</v>
      </c>
      <c r="Q27" s="2">
        <v>1</v>
      </c>
      <c r="W27" s="2">
        <v>0</v>
      </c>
      <c r="X27" s="2">
        <v>-421523076</v>
      </c>
      <c r="Y27" s="2">
        <v>0.41599999999999998</v>
      </c>
      <c r="AA27" s="2">
        <v>0</v>
      </c>
      <c r="AB27" s="2">
        <v>1080.76</v>
      </c>
      <c r="AC27" s="2">
        <v>332.99</v>
      </c>
      <c r="AD27" s="2">
        <v>0</v>
      </c>
      <c r="AE27" s="2">
        <v>0</v>
      </c>
      <c r="AF27" s="2">
        <v>1080.76</v>
      </c>
      <c r="AG27" s="2">
        <v>332.99</v>
      </c>
      <c r="AH27" s="2">
        <v>0</v>
      </c>
      <c r="AI27" s="2">
        <v>1</v>
      </c>
      <c r="AJ27" s="2">
        <v>1</v>
      </c>
      <c r="AK27" s="2">
        <v>1</v>
      </c>
      <c r="AL27" s="2">
        <v>1</v>
      </c>
      <c r="AN27" s="2">
        <v>0</v>
      </c>
      <c r="AO27" s="2">
        <v>1</v>
      </c>
      <c r="AP27" s="2">
        <v>1</v>
      </c>
      <c r="AQ27" s="2">
        <v>0</v>
      </c>
      <c r="AR27" s="2">
        <v>0</v>
      </c>
      <c r="AS27" s="2" t="s">
        <v>30</v>
      </c>
      <c r="AT27" s="2">
        <v>8.0000000000000002E-3</v>
      </c>
      <c r="AU27" s="2" t="s">
        <v>207</v>
      </c>
      <c r="AV27" s="2">
        <v>0</v>
      </c>
      <c r="AW27" s="2">
        <v>2</v>
      </c>
      <c r="AX27" s="2">
        <v>52286577</v>
      </c>
      <c r="AY27" s="2">
        <v>1</v>
      </c>
      <c r="AZ27" s="2">
        <v>0</v>
      </c>
      <c r="BA27" s="2">
        <v>26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CX27" s="2">
        <f>Y27*'Source (3)'!I35</f>
        <v>89.855999999999995</v>
      </c>
      <c r="CY27" s="2">
        <f>AB27</f>
        <v>1080.76</v>
      </c>
      <c r="CZ27" s="2">
        <f>AF27</f>
        <v>1080.76</v>
      </c>
      <c r="DA27" s="2">
        <f>AJ27</f>
        <v>1</v>
      </c>
      <c r="DB27" s="2">
        <f>ROUND((ROUND(AT27*CZ27,2)*52),6)</f>
        <v>449.8</v>
      </c>
      <c r="DC27" s="2">
        <f>ROUND((ROUND(AT27*AG27,2)*52),6)</f>
        <v>138.32</v>
      </c>
    </row>
    <row r="28" spans="1:107" x14ac:dyDescent="0.25">
      <c r="A28" s="2">
        <f>ROW('Source (3)'!A36)</f>
        <v>36</v>
      </c>
      <c r="B28" s="2">
        <v>52286166</v>
      </c>
      <c r="C28" s="2">
        <v>52286578</v>
      </c>
      <c r="D28" s="2">
        <v>49677488</v>
      </c>
      <c r="E28" s="2">
        <v>29</v>
      </c>
      <c r="F28" s="2">
        <v>1</v>
      </c>
      <c r="G28" s="2">
        <v>29</v>
      </c>
      <c r="H28" s="2">
        <v>1</v>
      </c>
      <c r="I28" s="2" t="s">
        <v>359</v>
      </c>
      <c r="J28" s="2" t="s">
        <v>30</v>
      </c>
      <c r="K28" s="2" t="s">
        <v>360</v>
      </c>
      <c r="L28" s="2">
        <v>1191</v>
      </c>
      <c r="N28" s="2">
        <v>1013</v>
      </c>
      <c r="O28" s="2" t="s">
        <v>361</v>
      </c>
      <c r="P28" s="2" t="s">
        <v>361</v>
      </c>
      <c r="Q28" s="2">
        <v>1</v>
      </c>
      <c r="W28" s="2">
        <v>0</v>
      </c>
      <c r="X28" s="2">
        <v>476480486</v>
      </c>
      <c r="Y28" s="2">
        <v>10.3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1</v>
      </c>
      <c r="AJ28" s="2">
        <v>1</v>
      </c>
      <c r="AK28" s="2">
        <v>1</v>
      </c>
      <c r="AL28" s="2">
        <v>1</v>
      </c>
      <c r="AN28" s="2">
        <v>0</v>
      </c>
      <c r="AO28" s="2">
        <v>1</v>
      </c>
      <c r="AP28" s="2">
        <v>0</v>
      </c>
      <c r="AQ28" s="2">
        <v>0</v>
      </c>
      <c r="AR28" s="2">
        <v>0</v>
      </c>
      <c r="AS28" s="2" t="s">
        <v>30</v>
      </c>
      <c r="AT28" s="2">
        <v>10.3</v>
      </c>
      <c r="AU28" s="2" t="s">
        <v>30</v>
      </c>
      <c r="AV28" s="2">
        <v>1</v>
      </c>
      <c r="AW28" s="2">
        <v>2</v>
      </c>
      <c r="AX28" s="2">
        <v>52286584</v>
      </c>
      <c r="AY28" s="2">
        <v>1</v>
      </c>
      <c r="AZ28" s="2">
        <v>0</v>
      </c>
      <c r="BA28" s="2">
        <v>27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CX28" s="2">
        <f>Y28*'Source (3)'!I36</f>
        <v>185.4</v>
      </c>
      <c r="CY28" s="2">
        <f>AD28</f>
        <v>0</v>
      </c>
      <c r="CZ28" s="2">
        <f>AH28</f>
        <v>0</v>
      </c>
      <c r="DA28" s="2">
        <f>AL28</f>
        <v>1</v>
      </c>
      <c r="DB28" s="2">
        <f t="shared" ref="DB28:DB43" si="2">ROUND(ROUND(AT28*CZ28,2),6)</f>
        <v>0</v>
      </c>
      <c r="DC28" s="2">
        <f t="shared" ref="DC28:DC43" si="3">ROUND(ROUND(AT28*AG28,2),6)</f>
        <v>0</v>
      </c>
    </row>
    <row r="29" spans="1:107" x14ac:dyDescent="0.25">
      <c r="A29" s="2">
        <f>ROW('Source (3)'!A36)</f>
        <v>36</v>
      </c>
      <c r="B29" s="2">
        <v>52286166</v>
      </c>
      <c r="C29" s="2">
        <v>52286578</v>
      </c>
      <c r="D29" s="2">
        <v>49678594</v>
      </c>
      <c r="E29" s="2">
        <v>1</v>
      </c>
      <c r="F29" s="2">
        <v>1</v>
      </c>
      <c r="G29" s="2">
        <v>29</v>
      </c>
      <c r="H29" s="2">
        <v>2</v>
      </c>
      <c r="I29" s="2" t="s">
        <v>97</v>
      </c>
      <c r="J29" s="2" t="s">
        <v>371</v>
      </c>
      <c r="K29" s="2" t="s">
        <v>98</v>
      </c>
      <c r="L29" s="2">
        <v>1368</v>
      </c>
      <c r="N29" s="2">
        <v>1011</v>
      </c>
      <c r="O29" s="2" t="s">
        <v>82</v>
      </c>
      <c r="P29" s="2" t="s">
        <v>82</v>
      </c>
      <c r="Q29" s="2">
        <v>1</v>
      </c>
      <c r="W29" s="2">
        <v>0</v>
      </c>
      <c r="X29" s="2">
        <v>-180193475</v>
      </c>
      <c r="Y29" s="2">
        <v>0.89</v>
      </c>
      <c r="AA29" s="2">
        <v>0</v>
      </c>
      <c r="AB29" s="2">
        <v>1364.68</v>
      </c>
      <c r="AC29" s="2">
        <v>556.52</v>
      </c>
      <c r="AD29" s="2">
        <v>0</v>
      </c>
      <c r="AE29" s="2">
        <v>0</v>
      </c>
      <c r="AF29" s="2">
        <v>1364.68</v>
      </c>
      <c r="AG29" s="2">
        <v>556.52</v>
      </c>
      <c r="AH29" s="2">
        <v>0</v>
      </c>
      <c r="AI29" s="2">
        <v>1</v>
      </c>
      <c r="AJ29" s="2">
        <v>1</v>
      </c>
      <c r="AK29" s="2">
        <v>1</v>
      </c>
      <c r="AL29" s="2">
        <v>1</v>
      </c>
      <c r="AN29" s="2">
        <v>0</v>
      </c>
      <c r="AO29" s="2">
        <v>1</v>
      </c>
      <c r="AP29" s="2">
        <v>0</v>
      </c>
      <c r="AQ29" s="2">
        <v>0</v>
      </c>
      <c r="AR29" s="2">
        <v>0</v>
      </c>
      <c r="AS29" s="2" t="s">
        <v>30</v>
      </c>
      <c r="AT29" s="2">
        <v>0.89</v>
      </c>
      <c r="AU29" s="2" t="s">
        <v>30</v>
      </c>
      <c r="AV29" s="2">
        <v>0</v>
      </c>
      <c r="AW29" s="2">
        <v>2</v>
      </c>
      <c r="AX29" s="2">
        <v>52286585</v>
      </c>
      <c r="AY29" s="2">
        <v>1</v>
      </c>
      <c r="AZ29" s="2">
        <v>0</v>
      </c>
      <c r="BA29" s="2">
        <v>28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CX29" s="2">
        <f>Y29*'Source (3)'!I36</f>
        <v>16.02</v>
      </c>
      <c r="CY29" s="2">
        <f>AB29</f>
        <v>1364.68</v>
      </c>
      <c r="CZ29" s="2">
        <f>AF29</f>
        <v>1364.68</v>
      </c>
      <c r="DA29" s="2">
        <f>AJ29</f>
        <v>1</v>
      </c>
      <c r="DB29" s="2">
        <f t="shared" si="2"/>
        <v>1214.57</v>
      </c>
      <c r="DC29" s="2">
        <f t="shared" si="3"/>
        <v>495.3</v>
      </c>
    </row>
    <row r="30" spans="1:107" x14ac:dyDescent="0.25">
      <c r="A30" s="2">
        <f>ROW('Source (3)'!A36)</f>
        <v>36</v>
      </c>
      <c r="B30" s="2">
        <v>52286166</v>
      </c>
      <c r="C30" s="2">
        <v>52286578</v>
      </c>
      <c r="D30" s="2">
        <v>49679414</v>
      </c>
      <c r="E30" s="2">
        <v>1</v>
      </c>
      <c r="F30" s="2">
        <v>1</v>
      </c>
      <c r="G30" s="2">
        <v>29</v>
      </c>
      <c r="H30" s="2">
        <v>3</v>
      </c>
      <c r="I30" s="2" t="s">
        <v>109</v>
      </c>
      <c r="J30" s="2" t="s">
        <v>376</v>
      </c>
      <c r="K30" s="2" t="s">
        <v>110</v>
      </c>
      <c r="L30" s="2">
        <v>1348</v>
      </c>
      <c r="N30" s="2">
        <v>1009</v>
      </c>
      <c r="O30" s="2" t="s">
        <v>63</v>
      </c>
      <c r="P30" s="2" t="s">
        <v>63</v>
      </c>
      <c r="Q30" s="2">
        <v>1000</v>
      </c>
      <c r="W30" s="2">
        <v>0</v>
      </c>
      <c r="X30" s="2">
        <v>2030676919</v>
      </c>
      <c r="Y30" s="2">
        <v>0.06</v>
      </c>
      <c r="AA30" s="2">
        <v>34834.18</v>
      </c>
      <c r="AB30" s="2">
        <v>0</v>
      </c>
      <c r="AC30" s="2">
        <v>0</v>
      </c>
      <c r="AD30" s="2">
        <v>0</v>
      </c>
      <c r="AE30" s="2">
        <v>34834.18</v>
      </c>
      <c r="AF30" s="2">
        <v>0</v>
      </c>
      <c r="AG30" s="2">
        <v>0</v>
      </c>
      <c r="AH30" s="2">
        <v>0</v>
      </c>
      <c r="AI30" s="2">
        <v>1</v>
      </c>
      <c r="AJ30" s="2">
        <v>1</v>
      </c>
      <c r="AK30" s="2">
        <v>1</v>
      </c>
      <c r="AL30" s="2">
        <v>1</v>
      </c>
      <c r="AN30" s="2">
        <v>0</v>
      </c>
      <c r="AO30" s="2">
        <v>1</v>
      </c>
      <c r="AP30" s="2">
        <v>0</v>
      </c>
      <c r="AQ30" s="2">
        <v>0</v>
      </c>
      <c r="AR30" s="2">
        <v>0</v>
      </c>
      <c r="AS30" s="2" t="s">
        <v>30</v>
      </c>
      <c r="AT30" s="2">
        <v>0.06</v>
      </c>
      <c r="AU30" s="2" t="s">
        <v>30</v>
      </c>
      <c r="AV30" s="2">
        <v>0</v>
      </c>
      <c r="AW30" s="2">
        <v>2</v>
      </c>
      <c r="AX30" s="2">
        <v>52286586</v>
      </c>
      <c r="AY30" s="2">
        <v>1</v>
      </c>
      <c r="AZ30" s="2">
        <v>0</v>
      </c>
      <c r="BA30" s="2">
        <v>29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CX30" s="2">
        <f>Y30*'Source (3)'!I36</f>
        <v>1.08</v>
      </c>
      <c r="CY30" s="2">
        <f>AA30</f>
        <v>34834.18</v>
      </c>
      <c r="CZ30" s="2">
        <f>AE30</f>
        <v>34834.18</v>
      </c>
      <c r="DA30" s="2">
        <f>AI30</f>
        <v>1</v>
      </c>
      <c r="DB30" s="2">
        <f t="shared" si="2"/>
        <v>2090.0500000000002</v>
      </c>
      <c r="DC30" s="2">
        <f t="shared" si="3"/>
        <v>0</v>
      </c>
    </row>
    <row r="31" spans="1:107" x14ac:dyDescent="0.25">
      <c r="A31" s="2">
        <f>ROW('Source (3)'!A36)</f>
        <v>36</v>
      </c>
      <c r="B31" s="2">
        <v>52286166</v>
      </c>
      <c r="C31" s="2">
        <v>52286578</v>
      </c>
      <c r="D31" s="2">
        <v>49682551</v>
      </c>
      <c r="E31" s="2">
        <v>1</v>
      </c>
      <c r="F31" s="2">
        <v>1</v>
      </c>
      <c r="G31" s="2">
        <v>29</v>
      </c>
      <c r="H31" s="2">
        <v>3</v>
      </c>
      <c r="I31" s="2" t="s">
        <v>160</v>
      </c>
      <c r="J31" s="2" t="s">
        <v>213</v>
      </c>
      <c r="K31" s="2" t="s">
        <v>212</v>
      </c>
      <c r="L31" s="2">
        <v>1348</v>
      </c>
      <c r="N31" s="2">
        <v>1009</v>
      </c>
      <c r="O31" s="2" t="s">
        <v>63</v>
      </c>
      <c r="P31" s="2" t="s">
        <v>63</v>
      </c>
      <c r="Q31" s="2">
        <v>1000</v>
      </c>
      <c r="W31" s="2">
        <v>1</v>
      </c>
      <c r="X31" s="2">
        <v>-58237108</v>
      </c>
      <c r="Y31" s="2">
        <v>-7.14</v>
      </c>
      <c r="AA31" s="2">
        <v>2954.24</v>
      </c>
      <c r="AB31" s="2">
        <v>0</v>
      </c>
      <c r="AC31" s="2">
        <v>0</v>
      </c>
      <c r="AD31" s="2">
        <v>0</v>
      </c>
      <c r="AE31" s="2">
        <v>2954.24</v>
      </c>
      <c r="AF31" s="2">
        <v>0</v>
      </c>
      <c r="AG31" s="2">
        <v>0</v>
      </c>
      <c r="AH31" s="2">
        <v>0</v>
      </c>
      <c r="AI31" s="2">
        <v>1</v>
      </c>
      <c r="AJ31" s="2">
        <v>1</v>
      </c>
      <c r="AK31" s="2">
        <v>1</v>
      </c>
      <c r="AL31" s="2">
        <v>1</v>
      </c>
      <c r="AN31" s="2">
        <v>0</v>
      </c>
      <c r="AO31" s="2">
        <v>1</v>
      </c>
      <c r="AP31" s="2">
        <v>0</v>
      </c>
      <c r="AQ31" s="2">
        <v>0</v>
      </c>
      <c r="AR31" s="2">
        <v>0</v>
      </c>
      <c r="AS31" s="2" t="s">
        <v>30</v>
      </c>
      <c r="AT31" s="2">
        <v>-7.14</v>
      </c>
      <c r="AU31" s="2" t="s">
        <v>30</v>
      </c>
      <c r="AV31" s="2">
        <v>0</v>
      </c>
      <c r="AW31" s="2">
        <v>2</v>
      </c>
      <c r="AX31" s="2">
        <v>52286587</v>
      </c>
      <c r="AY31" s="2">
        <v>1</v>
      </c>
      <c r="AZ31" s="2">
        <v>6144</v>
      </c>
      <c r="BA31" s="2">
        <v>30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CX31" s="2">
        <f>Y31*'Source (3)'!I36</f>
        <v>-128.52000000000001</v>
      </c>
      <c r="CY31" s="2">
        <f>AA31</f>
        <v>2954.24</v>
      </c>
      <c r="CZ31" s="2">
        <f>AE31</f>
        <v>2954.24</v>
      </c>
      <c r="DA31" s="2">
        <f>AI31</f>
        <v>1</v>
      </c>
      <c r="DB31" s="2">
        <f t="shared" si="2"/>
        <v>-21093.27</v>
      </c>
      <c r="DC31" s="2">
        <f t="shared" si="3"/>
        <v>0</v>
      </c>
    </row>
    <row r="32" spans="1:107" x14ac:dyDescent="0.25">
      <c r="A32" s="2">
        <f>ROW('Source (3)'!A36)</f>
        <v>36</v>
      </c>
      <c r="B32" s="2">
        <v>52286166</v>
      </c>
      <c r="C32" s="2">
        <v>52286578</v>
      </c>
      <c r="D32" s="2">
        <v>49682551</v>
      </c>
      <c r="E32" s="2">
        <v>1</v>
      </c>
      <c r="F32" s="2">
        <v>1</v>
      </c>
      <c r="G32" s="2">
        <v>29</v>
      </c>
      <c r="H32" s="2">
        <v>3</v>
      </c>
      <c r="I32" s="2" t="s">
        <v>160</v>
      </c>
      <c r="J32" s="2" t="s">
        <v>213</v>
      </c>
      <c r="K32" s="2" t="s">
        <v>161</v>
      </c>
      <c r="L32" s="2">
        <v>1348</v>
      </c>
      <c r="N32" s="2">
        <v>1009</v>
      </c>
      <c r="O32" s="2" t="s">
        <v>63</v>
      </c>
      <c r="P32" s="2" t="s">
        <v>63</v>
      </c>
      <c r="Q32" s="2">
        <v>1000</v>
      </c>
      <c r="W32" s="2">
        <v>1</v>
      </c>
      <c r="X32" s="2">
        <v>946953562</v>
      </c>
      <c r="Y32" s="2">
        <v>11.67</v>
      </c>
      <c r="AA32" s="2">
        <v>2954.24</v>
      </c>
      <c r="AB32" s="2">
        <v>0</v>
      </c>
      <c r="AC32" s="2">
        <v>0</v>
      </c>
      <c r="AD32" s="2">
        <v>0</v>
      </c>
      <c r="AE32" s="2">
        <v>2954.24</v>
      </c>
      <c r="AF32" s="2">
        <v>0</v>
      </c>
      <c r="AG32" s="2">
        <v>0</v>
      </c>
      <c r="AH32" s="2">
        <v>0</v>
      </c>
      <c r="AI32" s="2">
        <v>1</v>
      </c>
      <c r="AJ32" s="2">
        <v>1</v>
      </c>
      <c r="AK32" s="2">
        <v>1</v>
      </c>
      <c r="AL32" s="2">
        <v>1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 t="s">
        <v>30</v>
      </c>
      <c r="AT32" s="2">
        <v>11.67</v>
      </c>
      <c r="AU32" s="2" t="s">
        <v>30</v>
      </c>
      <c r="AV32" s="2">
        <v>0</v>
      </c>
      <c r="AW32" s="2">
        <v>1</v>
      </c>
      <c r="AX32" s="2">
        <v>-1</v>
      </c>
      <c r="AY32" s="2">
        <v>0</v>
      </c>
      <c r="AZ32" s="2">
        <v>0</v>
      </c>
      <c r="BA32" s="2" t="s">
        <v>30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CX32" s="2">
        <f>Y32*'Source (3)'!I36</f>
        <v>210.06</v>
      </c>
      <c r="CY32" s="2">
        <f>AA32</f>
        <v>2954.24</v>
      </c>
      <c r="CZ32" s="2">
        <f>AE32</f>
        <v>2954.24</v>
      </c>
      <c r="DA32" s="2">
        <f>AI32</f>
        <v>1</v>
      </c>
      <c r="DB32" s="2">
        <f t="shared" si="2"/>
        <v>34475.980000000003</v>
      </c>
      <c r="DC32" s="2">
        <f t="shared" si="3"/>
        <v>0</v>
      </c>
    </row>
    <row r="33" spans="1:107" x14ac:dyDescent="0.25">
      <c r="A33" s="2">
        <f>ROW('Source (3)'!A84)</f>
        <v>84</v>
      </c>
      <c r="B33" s="2">
        <v>52286166</v>
      </c>
      <c r="C33" s="2">
        <v>52286590</v>
      </c>
      <c r="D33" s="2">
        <v>49677488</v>
      </c>
      <c r="E33" s="2">
        <v>29</v>
      </c>
      <c r="F33" s="2">
        <v>1</v>
      </c>
      <c r="G33" s="2">
        <v>29</v>
      </c>
      <c r="H33" s="2">
        <v>1</v>
      </c>
      <c r="I33" s="2" t="s">
        <v>359</v>
      </c>
      <c r="J33" s="2" t="s">
        <v>30</v>
      </c>
      <c r="K33" s="2" t="s">
        <v>360</v>
      </c>
      <c r="L33" s="2">
        <v>1191</v>
      </c>
      <c r="N33" s="2">
        <v>1013</v>
      </c>
      <c r="O33" s="2" t="s">
        <v>361</v>
      </c>
      <c r="P33" s="2" t="s">
        <v>361</v>
      </c>
      <c r="Q33" s="2">
        <v>1</v>
      </c>
      <c r="W33" s="2">
        <v>0</v>
      </c>
      <c r="X33" s="2">
        <v>476480486</v>
      </c>
      <c r="Y33" s="2">
        <v>0.66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1</v>
      </c>
      <c r="AJ33" s="2">
        <v>1</v>
      </c>
      <c r="AK33" s="2">
        <v>1</v>
      </c>
      <c r="AL33" s="2">
        <v>1</v>
      </c>
      <c r="AN33" s="2">
        <v>0</v>
      </c>
      <c r="AO33" s="2">
        <v>1</v>
      </c>
      <c r="AP33" s="2">
        <v>0</v>
      </c>
      <c r="AQ33" s="2">
        <v>0</v>
      </c>
      <c r="AR33" s="2">
        <v>0</v>
      </c>
      <c r="AS33" s="2" t="s">
        <v>30</v>
      </c>
      <c r="AT33" s="2">
        <v>0.66</v>
      </c>
      <c r="AU33" s="2" t="s">
        <v>30</v>
      </c>
      <c r="AV33" s="2">
        <v>1</v>
      </c>
      <c r="AW33" s="2">
        <v>2</v>
      </c>
      <c r="AX33" s="2">
        <v>52286609</v>
      </c>
      <c r="AY33" s="2">
        <v>1</v>
      </c>
      <c r="AZ33" s="2">
        <v>0</v>
      </c>
      <c r="BA33" s="2">
        <v>31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CX33" s="2">
        <f>Y33*'Source (3)'!I84</f>
        <v>460.02</v>
      </c>
      <c r="CY33" s="2">
        <f>AD33</f>
        <v>0</v>
      </c>
      <c r="CZ33" s="2">
        <f>AH33</f>
        <v>0</v>
      </c>
      <c r="DA33" s="2">
        <f>AL33</f>
        <v>1</v>
      </c>
      <c r="DB33" s="2">
        <f t="shared" si="2"/>
        <v>0</v>
      </c>
      <c r="DC33" s="2">
        <f t="shared" si="3"/>
        <v>0</v>
      </c>
    </row>
    <row r="34" spans="1:107" x14ac:dyDescent="0.25">
      <c r="A34" s="2">
        <f>ROW('Source (3)'!A84)</f>
        <v>84</v>
      </c>
      <c r="B34" s="2">
        <v>52286166</v>
      </c>
      <c r="C34" s="2">
        <v>52286590</v>
      </c>
      <c r="D34" s="2">
        <v>49678762</v>
      </c>
      <c r="E34" s="2">
        <v>1</v>
      </c>
      <c r="F34" s="2">
        <v>1</v>
      </c>
      <c r="G34" s="2">
        <v>29</v>
      </c>
      <c r="H34" s="2">
        <v>2</v>
      </c>
      <c r="I34" s="2" t="s">
        <v>116</v>
      </c>
      <c r="J34" s="2" t="s">
        <v>377</v>
      </c>
      <c r="K34" s="2" t="s">
        <v>117</v>
      </c>
      <c r="L34" s="2">
        <v>1368</v>
      </c>
      <c r="N34" s="2">
        <v>1011</v>
      </c>
      <c r="O34" s="2" t="s">
        <v>82</v>
      </c>
      <c r="P34" s="2" t="s">
        <v>82</v>
      </c>
      <c r="Q34" s="2">
        <v>1</v>
      </c>
      <c r="W34" s="2">
        <v>0</v>
      </c>
      <c r="X34" s="2">
        <v>-27366755</v>
      </c>
      <c r="Y34" s="2">
        <v>0.13200000000000001</v>
      </c>
      <c r="AA34" s="2">
        <v>0</v>
      </c>
      <c r="AB34" s="2">
        <v>493.52</v>
      </c>
      <c r="AC34" s="2">
        <v>377.79</v>
      </c>
      <c r="AD34" s="2">
        <v>0</v>
      </c>
      <c r="AE34" s="2">
        <v>0</v>
      </c>
      <c r="AF34" s="2">
        <v>493.52</v>
      </c>
      <c r="AG34" s="2">
        <v>377.79</v>
      </c>
      <c r="AH34" s="2">
        <v>0</v>
      </c>
      <c r="AI34" s="2">
        <v>1</v>
      </c>
      <c r="AJ34" s="2">
        <v>1</v>
      </c>
      <c r="AK34" s="2">
        <v>1</v>
      </c>
      <c r="AL34" s="2">
        <v>1</v>
      </c>
      <c r="AN34" s="2">
        <v>0</v>
      </c>
      <c r="AO34" s="2">
        <v>1</v>
      </c>
      <c r="AP34" s="2">
        <v>0</v>
      </c>
      <c r="AQ34" s="2">
        <v>0</v>
      </c>
      <c r="AR34" s="2">
        <v>0</v>
      </c>
      <c r="AS34" s="2" t="s">
        <v>30</v>
      </c>
      <c r="AT34" s="2">
        <v>0.13200000000000001</v>
      </c>
      <c r="AU34" s="2" t="s">
        <v>30</v>
      </c>
      <c r="AV34" s="2">
        <v>0</v>
      </c>
      <c r="AW34" s="2">
        <v>2</v>
      </c>
      <c r="AX34" s="2">
        <v>52286610</v>
      </c>
      <c r="AY34" s="2">
        <v>1</v>
      </c>
      <c r="AZ34" s="2">
        <v>0</v>
      </c>
      <c r="BA34" s="2">
        <v>32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CX34" s="2">
        <f>Y34*'Source (3)'!I84</f>
        <v>92.004000000000005</v>
      </c>
      <c r="CY34" s="2">
        <f>AB34</f>
        <v>493.52</v>
      </c>
      <c r="CZ34" s="2">
        <f>AF34</f>
        <v>493.52</v>
      </c>
      <c r="DA34" s="2">
        <f>AJ34</f>
        <v>1</v>
      </c>
      <c r="DB34" s="2">
        <f t="shared" si="2"/>
        <v>65.14</v>
      </c>
      <c r="DC34" s="2">
        <f t="shared" si="3"/>
        <v>49.87</v>
      </c>
    </row>
    <row r="35" spans="1:107" x14ac:dyDescent="0.25">
      <c r="A35" s="2">
        <f>ROW('Source (3)'!A84)</f>
        <v>84</v>
      </c>
      <c r="B35" s="2">
        <v>52286166</v>
      </c>
      <c r="C35" s="2">
        <v>52286590</v>
      </c>
      <c r="D35" s="2">
        <v>49679228</v>
      </c>
      <c r="E35" s="2">
        <v>1</v>
      </c>
      <c r="F35" s="2">
        <v>1</v>
      </c>
      <c r="G35" s="2">
        <v>29</v>
      </c>
      <c r="H35" s="2">
        <v>2</v>
      </c>
      <c r="I35" s="2" t="s">
        <v>118</v>
      </c>
      <c r="J35" s="2" t="s">
        <v>378</v>
      </c>
      <c r="K35" s="2" t="s">
        <v>119</v>
      </c>
      <c r="L35" s="2">
        <v>1368</v>
      </c>
      <c r="N35" s="2">
        <v>1011</v>
      </c>
      <c r="O35" s="2" t="s">
        <v>82</v>
      </c>
      <c r="P35" s="2" t="s">
        <v>82</v>
      </c>
      <c r="Q35" s="2">
        <v>1</v>
      </c>
      <c r="W35" s="2">
        <v>0</v>
      </c>
      <c r="X35" s="2">
        <v>56280798</v>
      </c>
      <c r="Y35" s="2">
        <v>0.05</v>
      </c>
      <c r="AA35" s="2">
        <v>0</v>
      </c>
      <c r="AB35" s="2">
        <v>1153.51</v>
      </c>
      <c r="AC35" s="2">
        <v>408.74</v>
      </c>
      <c r="AD35" s="2">
        <v>0</v>
      </c>
      <c r="AE35" s="2">
        <v>0</v>
      </c>
      <c r="AF35" s="2">
        <v>1153.51</v>
      </c>
      <c r="AG35" s="2">
        <v>408.74</v>
      </c>
      <c r="AH35" s="2">
        <v>0</v>
      </c>
      <c r="AI35" s="2">
        <v>1</v>
      </c>
      <c r="AJ35" s="2">
        <v>1</v>
      </c>
      <c r="AK35" s="2">
        <v>1</v>
      </c>
      <c r="AL35" s="2">
        <v>1</v>
      </c>
      <c r="AN35" s="2">
        <v>0</v>
      </c>
      <c r="AO35" s="2">
        <v>1</v>
      </c>
      <c r="AP35" s="2">
        <v>0</v>
      </c>
      <c r="AQ35" s="2">
        <v>0</v>
      </c>
      <c r="AR35" s="2">
        <v>0</v>
      </c>
      <c r="AS35" s="2" t="s">
        <v>30</v>
      </c>
      <c r="AT35" s="2">
        <v>0.05</v>
      </c>
      <c r="AU35" s="2" t="s">
        <v>30</v>
      </c>
      <c r="AV35" s="2">
        <v>0</v>
      </c>
      <c r="AW35" s="2">
        <v>2</v>
      </c>
      <c r="AX35" s="2">
        <v>52286611</v>
      </c>
      <c r="AY35" s="2">
        <v>1</v>
      </c>
      <c r="AZ35" s="2">
        <v>0</v>
      </c>
      <c r="BA35" s="2">
        <v>33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CX35" s="2">
        <f>Y35*'Source (3)'!I84</f>
        <v>34.85</v>
      </c>
      <c r="CY35" s="2">
        <f>AB35</f>
        <v>1153.51</v>
      </c>
      <c r="CZ35" s="2">
        <f>AF35</f>
        <v>1153.51</v>
      </c>
      <c r="DA35" s="2">
        <f>AJ35</f>
        <v>1</v>
      </c>
      <c r="DB35" s="2">
        <f t="shared" si="2"/>
        <v>57.68</v>
      </c>
      <c r="DC35" s="2">
        <f t="shared" si="3"/>
        <v>20.440000000000001</v>
      </c>
    </row>
    <row r="36" spans="1:107" x14ac:dyDescent="0.25">
      <c r="A36" s="2">
        <f>ROW('Source (3)'!A84)</f>
        <v>84</v>
      </c>
      <c r="B36" s="2">
        <v>52286166</v>
      </c>
      <c r="C36" s="2">
        <v>52286590</v>
      </c>
      <c r="D36" s="2">
        <v>49679291</v>
      </c>
      <c r="E36" s="2">
        <v>1</v>
      </c>
      <c r="F36" s="2">
        <v>1</v>
      </c>
      <c r="G36" s="2">
        <v>29</v>
      </c>
      <c r="H36" s="2">
        <v>2</v>
      </c>
      <c r="I36" s="2" t="s">
        <v>91</v>
      </c>
      <c r="J36" s="2" t="s">
        <v>364</v>
      </c>
      <c r="K36" s="2" t="s">
        <v>92</v>
      </c>
      <c r="L36" s="2">
        <v>1368</v>
      </c>
      <c r="N36" s="2">
        <v>1011</v>
      </c>
      <c r="O36" s="2" t="s">
        <v>82</v>
      </c>
      <c r="P36" s="2" t="s">
        <v>82</v>
      </c>
      <c r="Q36" s="2">
        <v>1</v>
      </c>
      <c r="W36" s="2">
        <v>0</v>
      </c>
      <c r="X36" s="2">
        <v>-417828855</v>
      </c>
      <c r="Y36" s="2">
        <v>0.13200000000000001</v>
      </c>
      <c r="AA36" s="2">
        <v>0</v>
      </c>
      <c r="AB36" s="2">
        <v>6.02</v>
      </c>
      <c r="AC36" s="2">
        <v>0.02</v>
      </c>
      <c r="AD36" s="2">
        <v>0</v>
      </c>
      <c r="AE36" s="2">
        <v>0</v>
      </c>
      <c r="AF36" s="2">
        <v>6.02</v>
      </c>
      <c r="AG36" s="2">
        <v>0.02</v>
      </c>
      <c r="AH36" s="2">
        <v>0</v>
      </c>
      <c r="AI36" s="2">
        <v>1</v>
      </c>
      <c r="AJ36" s="2">
        <v>1</v>
      </c>
      <c r="AK36" s="2">
        <v>1</v>
      </c>
      <c r="AL36" s="2">
        <v>1</v>
      </c>
      <c r="AN36" s="2">
        <v>0</v>
      </c>
      <c r="AO36" s="2">
        <v>1</v>
      </c>
      <c r="AP36" s="2">
        <v>0</v>
      </c>
      <c r="AQ36" s="2">
        <v>0</v>
      </c>
      <c r="AR36" s="2">
        <v>0</v>
      </c>
      <c r="AS36" s="2" t="s">
        <v>30</v>
      </c>
      <c r="AT36" s="2">
        <v>0.13200000000000001</v>
      </c>
      <c r="AU36" s="2" t="s">
        <v>30</v>
      </c>
      <c r="AV36" s="2">
        <v>0</v>
      </c>
      <c r="AW36" s="2">
        <v>2</v>
      </c>
      <c r="AX36" s="2">
        <v>52286612</v>
      </c>
      <c r="AY36" s="2">
        <v>1</v>
      </c>
      <c r="AZ36" s="2">
        <v>0</v>
      </c>
      <c r="BA36" s="2">
        <v>34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CX36" s="2">
        <f>Y36*'Source (3)'!I84</f>
        <v>92.004000000000005</v>
      </c>
      <c r="CY36" s="2">
        <f>AB36</f>
        <v>6.02</v>
      </c>
      <c r="CZ36" s="2">
        <f>AF36</f>
        <v>6.02</v>
      </c>
      <c r="DA36" s="2">
        <f>AJ36</f>
        <v>1</v>
      </c>
      <c r="DB36" s="2">
        <f t="shared" si="2"/>
        <v>0.79</v>
      </c>
      <c r="DC36" s="2">
        <f t="shared" si="3"/>
        <v>0</v>
      </c>
    </row>
    <row r="37" spans="1:107" x14ac:dyDescent="0.25">
      <c r="A37" s="2">
        <f>ROW('Source (3)'!A84)</f>
        <v>84</v>
      </c>
      <c r="B37" s="2">
        <v>52286166</v>
      </c>
      <c r="C37" s="2">
        <v>52286590</v>
      </c>
      <c r="D37" s="2">
        <v>49678516</v>
      </c>
      <c r="E37" s="2">
        <v>1</v>
      </c>
      <c r="F37" s="2">
        <v>1</v>
      </c>
      <c r="G37" s="2">
        <v>29</v>
      </c>
      <c r="H37" s="2">
        <v>2</v>
      </c>
      <c r="I37" s="2" t="s">
        <v>120</v>
      </c>
      <c r="J37" s="2" t="s">
        <v>379</v>
      </c>
      <c r="K37" s="2" t="s">
        <v>121</v>
      </c>
      <c r="L37" s="2">
        <v>1368</v>
      </c>
      <c r="N37" s="2">
        <v>1011</v>
      </c>
      <c r="O37" s="2" t="s">
        <v>82</v>
      </c>
      <c r="P37" s="2" t="s">
        <v>82</v>
      </c>
      <c r="Q37" s="2">
        <v>1</v>
      </c>
      <c r="W37" s="2">
        <v>0</v>
      </c>
      <c r="X37" s="2">
        <v>-2018356411</v>
      </c>
      <c r="Y37" s="2">
        <v>8.8999999999999996E-2</v>
      </c>
      <c r="AA37" s="2">
        <v>0</v>
      </c>
      <c r="AB37" s="2">
        <v>857.91</v>
      </c>
      <c r="AC37" s="2">
        <v>479.87</v>
      </c>
      <c r="AD37" s="2">
        <v>0</v>
      </c>
      <c r="AE37" s="2">
        <v>0</v>
      </c>
      <c r="AF37" s="2">
        <v>857.91</v>
      </c>
      <c r="AG37" s="2">
        <v>479.87</v>
      </c>
      <c r="AH37" s="2">
        <v>0</v>
      </c>
      <c r="AI37" s="2">
        <v>1</v>
      </c>
      <c r="AJ37" s="2">
        <v>1</v>
      </c>
      <c r="AK37" s="2">
        <v>1</v>
      </c>
      <c r="AL37" s="2">
        <v>1</v>
      </c>
      <c r="AN37" s="2">
        <v>0</v>
      </c>
      <c r="AO37" s="2">
        <v>1</v>
      </c>
      <c r="AP37" s="2">
        <v>0</v>
      </c>
      <c r="AQ37" s="2">
        <v>0</v>
      </c>
      <c r="AR37" s="2">
        <v>0</v>
      </c>
      <c r="AS37" s="2" t="s">
        <v>30</v>
      </c>
      <c r="AT37" s="2">
        <v>8.8999999999999996E-2</v>
      </c>
      <c r="AU37" s="2" t="s">
        <v>30</v>
      </c>
      <c r="AV37" s="2">
        <v>0</v>
      </c>
      <c r="AW37" s="2">
        <v>2</v>
      </c>
      <c r="AX37" s="2">
        <v>52286613</v>
      </c>
      <c r="AY37" s="2">
        <v>1</v>
      </c>
      <c r="AZ37" s="2">
        <v>0</v>
      </c>
      <c r="BA37" s="2">
        <v>35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CX37" s="2">
        <f>Y37*'Source (3)'!I84</f>
        <v>62.033000000000001</v>
      </c>
      <c r="CY37" s="2">
        <f>AB37</f>
        <v>857.91</v>
      </c>
      <c r="CZ37" s="2">
        <f>AF37</f>
        <v>857.91</v>
      </c>
      <c r="DA37" s="2">
        <f>AJ37</f>
        <v>1</v>
      </c>
      <c r="DB37" s="2">
        <f t="shared" si="2"/>
        <v>76.349999999999994</v>
      </c>
      <c r="DC37" s="2">
        <f t="shared" si="3"/>
        <v>42.71</v>
      </c>
    </row>
    <row r="38" spans="1:107" x14ac:dyDescent="0.25">
      <c r="A38" s="2">
        <f>ROW('Source (3)'!A84)</f>
        <v>84</v>
      </c>
      <c r="B38" s="2">
        <v>52286166</v>
      </c>
      <c r="C38" s="2">
        <v>52286590</v>
      </c>
      <c r="D38" s="2">
        <v>49682289</v>
      </c>
      <c r="E38" s="2">
        <v>1</v>
      </c>
      <c r="F38" s="2">
        <v>1</v>
      </c>
      <c r="G38" s="2">
        <v>29</v>
      </c>
      <c r="H38" s="2">
        <v>3</v>
      </c>
      <c r="I38" s="2" t="s">
        <v>124</v>
      </c>
      <c r="J38" s="2" t="s">
        <v>380</v>
      </c>
      <c r="K38" s="2" t="s">
        <v>125</v>
      </c>
      <c r="L38" s="2">
        <v>1339</v>
      </c>
      <c r="N38" s="2">
        <v>1007</v>
      </c>
      <c r="O38" s="2" t="s">
        <v>62</v>
      </c>
      <c r="P38" s="2" t="s">
        <v>62</v>
      </c>
      <c r="Q38" s="2">
        <v>1</v>
      </c>
      <c r="W38" s="2">
        <v>0</v>
      </c>
      <c r="X38" s="2">
        <v>1740019385</v>
      </c>
      <c r="Y38" s="2">
        <v>5.8999999999999997E-2</v>
      </c>
      <c r="AA38" s="2">
        <v>3886.23</v>
      </c>
      <c r="AB38" s="2">
        <v>0</v>
      </c>
      <c r="AC38" s="2">
        <v>0</v>
      </c>
      <c r="AD38" s="2">
        <v>0</v>
      </c>
      <c r="AE38" s="2">
        <v>3886.23</v>
      </c>
      <c r="AF38" s="2">
        <v>0</v>
      </c>
      <c r="AG38" s="2">
        <v>0</v>
      </c>
      <c r="AH38" s="2">
        <v>0</v>
      </c>
      <c r="AI38" s="2">
        <v>1</v>
      </c>
      <c r="AJ38" s="2">
        <v>1</v>
      </c>
      <c r="AK38" s="2">
        <v>1</v>
      </c>
      <c r="AL38" s="2">
        <v>1</v>
      </c>
      <c r="AN38" s="2">
        <v>0</v>
      </c>
      <c r="AO38" s="2">
        <v>1</v>
      </c>
      <c r="AP38" s="2">
        <v>0</v>
      </c>
      <c r="AQ38" s="2">
        <v>0</v>
      </c>
      <c r="AR38" s="2">
        <v>0</v>
      </c>
      <c r="AS38" s="2" t="s">
        <v>30</v>
      </c>
      <c r="AT38" s="2">
        <v>5.8999999999999997E-2</v>
      </c>
      <c r="AU38" s="2" t="s">
        <v>30</v>
      </c>
      <c r="AV38" s="2">
        <v>0</v>
      </c>
      <c r="AW38" s="2">
        <v>2</v>
      </c>
      <c r="AX38" s="2">
        <v>52286614</v>
      </c>
      <c r="AY38" s="2">
        <v>1</v>
      </c>
      <c r="AZ38" s="2">
        <v>0</v>
      </c>
      <c r="BA38" s="2">
        <v>36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CX38" s="2">
        <f>Y38*'Source (3)'!I84</f>
        <v>41.122999999999998</v>
      </c>
      <c r="CY38" s="2">
        <f>AA38</f>
        <v>3886.23</v>
      </c>
      <c r="CZ38" s="2">
        <f>AE38</f>
        <v>3886.23</v>
      </c>
      <c r="DA38" s="2">
        <f>AI38</f>
        <v>1</v>
      </c>
      <c r="DB38" s="2">
        <f t="shared" si="2"/>
        <v>229.29</v>
      </c>
      <c r="DC38" s="2">
        <f t="shared" si="3"/>
        <v>0</v>
      </c>
    </row>
    <row r="39" spans="1:107" x14ac:dyDescent="0.25">
      <c r="A39" s="2">
        <f>ROW('Source (3)'!A84)</f>
        <v>84</v>
      </c>
      <c r="B39" s="2">
        <v>52286166</v>
      </c>
      <c r="C39" s="2">
        <v>52286590</v>
      </c>
      <c r="D39" s="2">
        <v>49682398</v>
      </c>
      <c r="E39" s="2">
        <v>1</v>
      </c>
      <c r="F39" s="2">
        <v>1</v>
      </c>
      <c r="G39" s="2">
        <v>29</v>
      </c>
      <c r="H39" s="2">
        <v>3</v>
      </c>
      <c r="I39" s="2" t="s">
        <v>286</v>
      </c>
      <c r="J39" s="2" t="s">
        <v>288</v>
      </c>
      <c r="K39" s="2" t="s">
        <v>287</v>
      </c>
      <c r="L39" s="2">
        <v>1339</v>
      </c>
      <c r="N39" s="2">
        <v>1007</v>
      </c>
      <c r="O39" s="2" t="s">
        <v>62</v>
      </c>
      <c r="P39" s="2" t="s">
        <v>62</v>
      </c>
      <c r="Q39" s="2">
        <v>1</v>
      </c>
      <c r="W39" s="2">
        <v>1</v>
      </c>
      <c r="X39" s="2">
        <v>820745631</v>
      </c>
      <c r="Y39" s="2">
        <v>-5.9999999999999995E-4</v>
      </c>
      <c r="AA39" s="2">
        <v>3427.48</v>
      </c>
      <c r="AB39" s="2">
        <v>0</v>
      </c>
      <c r="AC39" s="2">
        <v>0</v>
      </c>
      <c r="AD39" s="2">
        <v>0</v>
      </c>
      <c r="AE39" s="2">
        <v>3427.48</v>
      </c>
      <c r="AF39" s="2">
        <v>0</v>
      </c>
      <c r="AG39" s="2">
        <v>0</v>
      </c>
      <c r="AH39" s="2">
        <v>0</v>
      </c>
      <c r="AI39" s="2">
        <v>1</v>
      </c>
      <c r="AJ39" s="2">
        <v>1</v>
      </c>
      <c r="AK39" s="2">
        <v>1</v>
      </c>
      <c r="AL39" s="2">
        <v>1</v>
      </c>
      <c r="AN39" s="2">
        <v>0</v>
      </c>
      <c r="AO39" s="2">
        <v>1</v>
      </c>
      <c r="AP39" s="2">
        <v>0</v>
      </c>
      <c r="AQ39" s="2">
        <v>0</v>
      </c>
      <c r="AR39" s="2">
        <v>0</v>
      </c>
      <c r="AS39" s="2" t="s">
        <v>30</v>
      </c>
      <c r="AT39" s="2">
        <v>-5.9999999999999995E-4</v>
      </c>
      <c r="AU39" s="2" t="s">
        <v>30</v>
      </c>
      <c r="AV39" s="2">
        <v>0</v>
      </c>
      <c r="AW39" s="2">
        <v>2</v>
      </c>
      <c r="AX39" s="2">
        <v>52286615</v>
      </c>
      <c r="AY39" s="2">
        <v>1</v>
      </c>
      <c r="AZ39" s="2">
        <v>6144</v>
      </c>
      <c r="BA39" s="2">
        <v>37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CX39" s="2">
        <f>Y39*'Source (3)'!I84</f>
        <v>-0.41820000000000002</v>
      </c>
      <c r="CY39" s="2">
        <f>AA39</f>
        <v>3427.48</v>
      </c>
      <c r="CZ39" s="2">
        <f>AE39</f>
        <v>3427.48</v>
      </c>
      <c r="DA39" s="2">
        <f>AI39</f>
        <v>1</v>
      </c>
      <c r="DB39" s="2">
        <f t="shared" si="2"/>
        <v>-2.06</v>
      </c>
      <c r="DC39" s="2">
        <f t="shared" si="3"/>
        <v>0</v>
      </c>
    </row>
    <row r="40" spans="1:107" x14ac:dyDescent="0.25">
      <c r="A40" s="2">
        <f>ROW('Source (3)'!A84)</f>
        <v>84</v>
      </c>
      <c r="B40" s="2">
        <v>52286166</v>
      </c>
      <c r="C40" s="2">
        <v>52286590</v>
      </c>
      <c r="D40" s="2">
        <v>49683146</v>
      </c>
      <c r="E40" s="2">
        <v>1</v>
      </c>
      <c r="F40" s="2">
        <v>1</v>
      </c>
      <c r="G40" s="2">
        <v>29</v>
      </c>
      <c r="H40" s="2">
        <v>3</v>
      </c>
      <c r="I40" s="2" t="s">
        <v>128</v>
      </c>
      <c r="J40" s="2" t="s">
        <v>381</v>
      </c>
      <c r="K40" s="2" t="s">
        <v>129</v>
      </c>
      <c r="L40" s="2">
        <v>1339</v>
      </c>
      <c r="N40" s="2">
        <v>1007</v>
      </c>
      <c r="O40" s="2" t="s">
        <v>62</v>
      </c>
      <c r="P40" s="2" t="s">
        <v>62</v>
      </c>
      <c r="Q40" s="2">
        <v>1</v>
      </c>
      <c r="W40" s="2">
        <v>0</v>
      </c>
      <c r="X40" s="2">
        <v>949035675</v>
      </c>
      <c r="Y40" s="2">
        <v>4.36E-2</v>
      </c>
      <c r="AA40" s="2">
        <v>7871.69</v>
      </c>
      <c r="AB40" s="2">
        <v>0</v>
      </c>
      <c r="AC40" s="2">
        <v>0</v>
      </c>
      <c r="AD40" s="2">
        <v>0</v>
      </c>
      <c r="AE40" s="2">
        <v>7871.69</v>
      </c>
      <c r="AF40" s="2">
        <v>0</v>
      </c>
      <c r="AG40" s="2">
        <v>0</v>
      </c>
      <c r="AH40" s="2">
        <v>0</v>
      </c>
      <c r="AI40" s="2">
        <v>1</v>
      </c>
      <c r="AJ40" s="2">
        <v>1</v>
      </c>
      <c r="AK40" s="2">
        <v>1</v>
      </c>
      <c r="AL40" s="2">
        <v>1</v>
      </c>
      <c r="AN40" s="2">
        <v>0</v>
      </c>
      <c r="AO40" s="2">
        <v>1</v>
      </c>
      <c r="AP40" s="2">
        <v>0</v>
      </c>
      <c r="AQ40" s="2">
        <v>0</v>
      </c>
      <c r="AR40" s="2">
        <v>0</v>
      </c>
      <c r="AS40" s="2" t="s">
        <v>30</v>
      </c>
      <c r="AT40" s="2">
        <v>4.36E-2</v>
      </c>
      <c r="AU40" s="2" t="s">
        <v>30</v>
      </c>
      <c r="AV40" s="2">
        <v>0</v>
      </c>
      <c r="AW40" s="2">
        <v>2</v>
      </c>
      <c r="AX40" s="2">
        <v>52286616</v>
      </c>
      <c r="AY40" s="2">
        <v>1</v>
      </c>
      <c r="AZ40" s="2">
        <v>0</v>
      </c>
      <c r="BA40" s="2">
        <v>38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CX40" s="2">
        <f>Y40*'Source (3)'!I84</f>
        <v>30.389199999999999</v>
      </c>
      <c r="CY40" s="2">
        <f>AA40</f>
        <v>7871.69</v>
      </c>
      <c r="CZ40" s="2">
        <f>AE40</f>
        <v>7871.69</v>
      </c>
      <c r="DA40" s="2">
        <f>AI40</f>
        <v>1</v>
      </c>
      <c r="DB40" s="2">
        <f t="shared" si="2"/>
        <v>343.21</v>
      </c>
      <c r="DC40" s="2">
        <f t="shared" si="3"/>
        <v>0</v>
      </c>
    </row>
    <row r="41" spans="1:107" x14ac:dyDescent="0.25">
      <c r="A41" s="2">
        <f>ROW('Source (3)'!A84)</f>
        <v>84</v>
      </c>
      <c r="B41" s="2">
        <v>52286166</v>
      </c>
      <c r="C41" s="2">
        <v>52286590</v>
      </c>
      <c r="D41" s="2">
        <v>49677490</v>
      </c>
      <c r="E41" s="2">
        <v>29</v>
      </c>
      <c r="F41" s="2">
        <v>1</v>
      </c>
      <c r="G41" s="2">
        <v>29</v>
      </c>
      <c r="H41" s="2">
        <v>3</v>
      </c>
      <c r="I41" s="2" t="s">
        <v>289</v>
      </c>
      <c r="J41" s="2" t="s">
        <v>30</v>
      </c>
      <c r="K41" s="2" t="s">
        <v>290</v>
      </c>
      <c r="L41" s="2">
        <v>1348</v>
      </c>
      <c r="N41" s="2">
        <v>1009</v>
      </c>
      <c r="O41" s="2" t="s">
        <v>63</v>
      </c>
      <c r="P41" s="2" t="s">
        <v>63</v>
      </c>
      <c r="Q41" s="2">
        <v>1000</v>
      </c>
      <c r="W41" s="2">
        <v>1</v>
      </c>
      <c r="X41" s="2">
        <v>1489638031</v>
      </c>
      <c r="Y41" s="2">
        <v>-0.246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1</v>
      </c>
      <c r="AJ41" s="2">
        <v>1</v>
      </c>
      <c r="AK41" s="2">
        <v>1</v>
      </c>
      <c r="AL41" s="2">
        <v>1</v>
      </c>
      <c r="AN41" s="2">
        <v>0</v>
      </c>
      <c r="AO41" s="2">
        <v>1</v>
      </c>
      <c r="AP41" s="2">
        <v>0</v>
      </c>
      <c r="AQ41" s="2">
        <v>0</v>
      </c>
      <c r="AR41" s="2">
        <v>0</v>
      </c>
      <c r="AS41" s="2" t="s">
        <v>30</v>
      </c>
      <c r="AT41" s="2">
        <v>-0.246</v>
      </c>
      <c r="AU41" s="2" t="s">
        <v>30</v>
      </c>
      <c r="AV41" s="2">
        <v>0</v>
      </c>
      <c r="AW41" s="2">
        <v>2</v>
      </c>
      <c r="AX41" s="2">
        <v>52286617</v>
      </c>
      <c r="AY41" s="2">
        <v>1</v>
      </c>
      <c r="AZ41" s="2">
        <v>6144</v>
      </c>
      <c r="BA41" s="2">
        <v>39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CX41" s="2">
        <f>Y41*'Source (3)'!I84</f>
        <v>-171.46199999999999</v>
      </c>
      <c r="CY41" s="2">
        <f>AA41</f>
        <v>0</v>
      </c>
      <c r="CZ41" s="2">
        <f>AE41</f>
        <v>0</v>
      </c>
      <c r="DA41" s="2">
        <f>AI41</f>
        <v>1</v>
      </c>
      <c r="DB41" s="2">
        <f t="shared" si="2"/>
        <v>0</v>
      </c>
      <c r="DC41" s="2">
        <f t="shared" si="3"/>
        <v>0</v>
      </c>
    </row>
    <row r="42" spans="1:107" x14ac:dyDescent="0.25">
      <c r="A42" s="2">
        <f>ROW('Source (3)'!A87)</f>
        <v>87</v>
      </c>
      <c r="B42" s="2">
        <v>52286166</v>
      </c>
      <c r="C42" s="2">
        <v>52286620</v>
      </c>
      <c r="D42" s="2">
        <v>49679217</v>
      </c>
      <c r="E42" s="2">
        <v>1</v>
      </c>
      <c r="F42" s="2">
        <v>1</v>
      </c>
      <c r="G42" s="2">
        <v>29</v>
      </c>
      <c r="H42" s="2">
        <v>2</v>
      </c>
      <c r="I42" s="2" t="s">
        <v>85</v>
      </c>
      <c r="J42" s="2" t="s">
        <v>374</v>
      </c>
      <c r="K42" s="2" t="s">
        <v>86</v>
      </c>
      <c r="L42" s="2">
        <v>1368</v>
      </c>
      <c r="N42" s="2">
        <v>1011</v>
      </c>
      <c r="O42" s="2" t="s">
        <v>82</v>
      </c>
      <c r="P42" s="2" t="s">
        <v>82</v>
      </c>
      <c r="Q42" s="2">
        <v>1</v>
      </c>
      <c r="W42" s="2">
        <v>0</v>
      </c>
      <c r="X42" s="2">
        <v>2102615478</v>
      </c>
      <c r="Y42" s="2">
        <v>0.02</v>
      </c>
      <c r="AA42" s="2">
        <v>0</v>
      </c>
      <c r="AB42" s="2">
        <v>1070.1199999999999</v>
      </c>
      <c r="AC42" s="2">
        <v>332.66</v>
      </c>
      <c r="AD42" s="2">
        <v>0</v>
      </c>
      <c r="AE42" s="2">
        <v>0</v>
      </c>
      <c r="AF42" s="2">
        <v>1070.1199999999999</v>
      </c>
      <c r="AG42" s="2">
        <v>332.66</v>
      </c>
      <c r="AH42" s="2">
        <v>0</v>
      </c>
      <c r="AI42" s="2">
        <v>1</v>
      </c>
      <c r="AJ42" s="2">
        <v>1</v>
      </c>
      <c r="AK42" s="2">
        <v>1</v>
      </c>
      <c r="AL42" s="2">
        <v>1</v>
      </c>
      <c r="AN42" s="2">
        <v>0</v>
      </c>
      <c r="AO42" s="2">
        <v>1</v>
      </c>
      <c r="AP42" s="2">
        <v>0</v>
      </c>
      <c r="AQ42" s="2">
        <v>0</v>
      </c>
      <c r="AR42" s="2">
        <v>0</v>
      </c>
      <c r="AS42" s="2" t="s">
        <v>30</v>
      </c>
      <c r="AT42" s="2">
        <v>0.02</v>
      </c>
      <c r="AU42" s="2" t="s">
        <v>30</v>
      </c>
      <c r="AV42" s="2">
        <v>0</v>
      </c>
      <c r="AW42" s="2">
        <v>2</v>
      </c>
      <c r="AX42" s="2">
        <v>52286625</v>
      </c>
      <c r="AY42" s="2">
        <v>1</v>
      </c>
      <c r="AZ42" s="2">
        <v>0</v>
      </c>
      <c r="BA42" s="2">
        <v>40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CX42" s="2">
        <f>Y42*'Source (3)'!I87</f>
        <v>3.4292400000000001</v>
      </c>
      <c r="CY42" s="2">
        <f>AB42</f>
        <v>1070.1199999999999</v>
      </c>
      <c r="CZ42" s="2">
        <f>AF42</f>
        <v>1070.1199999999999</v>
      </c>
      <c r="DA42" s="2">
        <f>AJ42</f>
        <v>1</v>
      </c>
      <c r="DB42" s="2">
        <f t="shared" si="2"/>
        <v>21.4</v>
      </c>
      <c r="DC42" s="2">
        <f t="shared" si="3"/>
        <v>6.65</v>
      </c>
    </row>
    <row r="43" spans="1:107" x14ac:dyDescent="0.25">
      <c r="A43" s="2">
        <f>ROW('Source (3)'!A87)</f>
        <v>87</v>
      </c>
      <c r="B43" s="2">
        <v>52286166</v>
      </c>
      <c r="C43" s="2">
        <v>52286620</v>
      </c>
      <c r="D43" s="2">
        <v>49679218</v>
      </c>
      <c r="E43" s="2">
        <v>1</v>
      </c>
      <c r="F43" s="2">
        <v>1</v>
      </c>
      <c r="G43" s="2">
        <v>29</v>
      </c>
      <c r="H43" s="2">
        <v>2</v>
      </c>
      <c r="I43" s="2" t="s">
        <v>87</v>
      </c>
      <c r="J43" s="2" t="s">
        <v>375</v>
      </c>
      <c r="K43" s="2" t="s">
        <v>88</v>
      </c>
      <c r="L43" s="2">
        <v>1368</v>
      </c>
      <c r="N43" s="2">
        <v>1011</v>
      </c>
      <c r="O43" s="2" t="s">
        <v>82</v>
      </c>
      <c r="P43" s="2" t="s">
        <v>82</v>
      </c>
      <c r="Q43" s="2">
        <v>1</v>
      </c>
      <c r="W43" s="2">
        <v>0</v>
      </c>
      <c r="X43" s="2">
        <v>-421523076</v>
      </c>
      <c r="Y43" s="2">
        <v>1.7999999999999999E-2</v>
      </c>
      <c r="AA43" s="2">
        <v>0</v>
      </c>
      <c r="AB43" s="2">
        <v>1080.76</v>
      </c>
      <c r="AC43" s="2">
        <v>332.99</v>
      </c>
      <c r="AD43" s="2">
        <v>0</v>
      </c>
      <c r="AE43" s="2">
        <v>0</v>
      </c>
      <c r="AF43" s="2">
        <v>1080.76</v>
      </c>
      <c r="AG43" s="2">
        <v>332.99</v>
      </c>
      <c r="AH43" s="2">
        <v>0</v>
      </c>
      <c r="AI43" s="2">
        <v>1</v>
      </c>
      <c r="AJ43" s="2">
        <v>1</v>
      </c>
      <c r="AK43" s="2">
        <v>1</v>
      </c>
      <c r="AL43" s="2">
        <v>1</v>
      </c>
      <c r="AN43" s="2">
        <v>0</v>
      </c>
      <c r="AO43" s="2">
        <v>1</v>
      </c>
      <c r="AP43" s="2">
        <v>0</v>
      </c>
      <c r="AQ43" s="2">
        <v>0</v>
      </c>
      <c r="AR43" s="2">
        <v>0</v>
      </c>
      <c r="AS43" s="2" t="s">
        <v>30</v>
      </c>
      <c r="AT43" s="2">
        <v>1.7999999999999999E-2</v>
      </c>
      <c r="AU43" s="2" t="s">
        <v>30</v>
      </c>
      <c r="AV43" s="2">
        <v>0</v>
      </c>
      <c r="AW43" s="2">
        <v>2</v>
      </c>
      <c r="AX43" s="2">
        <v>52286626</v>
      </c>
      <c r="AY43" s="2">
        <v>1</v>
      </c>
      <c r="AZ43" s="2">
        <v>0</v>
      </c>
      <c r="BA43" s="2">
        <v>41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CX43" s="2">
        <f>Y43*'Source (3)'!I87</f>
        <v>3.0863160000000001</v>
      </c>
      <c r="CY43" s="2">
        <f>AB43</f>
        <v>1080.76</v>
      </c>
      <c r="CZ43" s="2">
        <f>AF43</f>
        <v>1080.76</v>
      </c>
      <c r="DA43" s="2">
        <f>AJ43</f>
        <v>1</v>
      </c>
      <c r="DB43" s="2">
        <f t="shared" si="2"/>
        <v>19.45</v>
      </c>
      <c r="DC43" s="2">
        <f t="shared" si="3"/>
        <v>5.99</v>
      </c>
    </row>
    <row r="44" spans="1:107" x14ac:dyDescent="0.25">
      <c r="A44" s="2">
        <f>ROW('Source (3)'!A88)</f>
        <v>88</v>
      </c>
      <c r="B44" s="2">
        <v>52286166</v>
      </c>
      <c r="C44" s="2">
        <v>52286627</v>
      </c>
      <c r="D44" s="2">
        <v>49679217</v>
      </c>
      <c r="E44" s="2">
        <v>1</v>
      </c>
      <c r="F44" s="2">
        <v>1</v>
      </c>
      <c r="G44" s="2">
        <v>29</v>
      </c>
      <c r="H44" s="2">
        <v>2</v>
      </c>
      <c r="I44" s="2" t="s">
        <v>85</v>
      </c>
      <c r="J44" s="2" t="s">
        <v>374</v>
      </c>
      <c r="K44" s="2" t="s">
        <v>86</v>
      </c>
      <c r="L44" s="2">
        <v>1368</v>
      </c>
      <c r="N44" s="2">
        <v>1011</v>
      </c>
      <c r="O44" s="2" t="s">
        <v>82</v>
      </c>
      <c r="P44" s="2" t="s">
        <v>82</v>
      </c>
      <c r="Q44" s="2">
        <v>1</v>
      </c>
      <c r="W44" s="2">
        <v>0</v>
      </c>
      <c r="X44" s="2">
        <v>2102615478</v>
      </c>
      <c r="Y44" s="2">
        <v>0.52</v>
      </c>
      <c r="AA44" s="2">
        <v>0</v>
      </c>
      <c r="AB44" s="2">
        <v>1070.1199999999999</v>
      </c>
      <c r="AC44" s="2">
        <v>332.66</v>
      </c>
      <c r="AD44" s="2">
        <v>0</v>
      </c>
      <c r="AE44" s="2">
        <v>0</v>
      </c>
      <c r="AF44" s="2">
        <v>1070.1199999999999</v>
      </c>
      <c r="AG44" s="2">
        <v>332.66</v>
      </c>
      <c r="AH44" s="2">
        <v>0</v>
      </c>
      <c r="AI44" s="2">
        <v>1</v>
      </c>
      <c r="AJ44" s="2">
        <v>1</v>
      </c>
      <c r="AK44" s="2">
        <v>1</v>
      </c>
      <c r="AL44" s="2">
        <v>1</v>
      </c>
      <c r="AN44" s="2">
        <v>0</v>
      </c>
      <c r="AO44" s="2">
        <v>1</v>
      </c>
      <c r="AP44" s="2">
        <v>1</v>
      </c>
      <c r="AQ44" s="2">
        <v>0</v>
      </c>
      <c r="AR44" s="2">
        <v>0</v>
      </c>
      <c r="AS44" s="2" t="s">
        <v>30</v>
      </c>
      <c r="AT44" s="2">
        <v>0.01</v>
      </c>
      <c r="AU44" s="2" t="s">
        <v>207</v>
      </c>
      <c r="AV44" s="2">
        <v>0</v>
      </c>
      <c r="AW44" s="2">
        <v>2</v>
      </c>
      <c r="AX44" s="2">
        <v>52286632</v>
      </c>
      <c r="AY44" s="2">
        <v>1</v>
      </c>
      <c r="AZ44" s="2">
        <v>0</v>
      </c>
      <c r="BA44" s="2">
        <v>42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CX44" s="2">
        <f>Y44*'Source (3)'!I88</f>
        <v>89.160240000000002</v>
      </c>
      <c r="CY44" s="2">
        <f>AB44</f>
        <v>1070.1199999999999</v>
      </c>
      <c r="CZ44" s="2">
        <f>AF44</f>
        <v>1070.1199999999999</v>
      </c>
      <c r="DA44" s="2">
        <f>AJ44</f>
        <v>1</v>
      </c>
      <c r="DB44" s="2">
        <f>ROUND((ROUND(AT44*CZ44,2)*52),6)</f>
        <v>556.4</v>
      </c>
      <c r="DC44" s="2">
        <f>ROUND((ROUND(AT44*AG44,2)*52),6)</f>
        <v>173.16</v>
      </c>
    </row>
    <row r="45" spans="1:107" x14ac:dyDescent="0.25">
      <c r="A45" s="2">
        <f>ROW('Source (3)'!A88)</f>
        <v>88</v>
      </c>
      <c r="B45" s="2">
        <v>52286166</v>
      </c>
      <c r="C45" s="2">
        <v>52286627</v>
      </c>
      <c r="D45" s="2">
        <v>49679218</v>
      </c>
      <c r="E45" s="2">
        <v>1</v>
      </c>
      <c r="F45" s="2">
        <v>1</v>
      </c>
      <c r="G45" s="2">
        <v>29</v>
      </c>
      <c r="H45" s="2">
        <v>2</v>
      </c>
      <c r="I45" s="2" t="s">
        <v>87</v>
      </c>
      <c r="J45" s="2" t="s">
        <v>375</v>
      </c>
      <c r="K45" s="2" t="s">
        <v>88</v>
      </c>
      <c r="L45" s="2">
        <v>1368</v>
      </c>
      <c r="N45" s="2">
        <v>1011</v>
      </c>
      <c r="O45" s="2" t="s">
        <v>82</v>
      </c>
      <c r="P45" s="2" t="s">
        <v>82</v>
      </c>
      <c r="Q45" s="2">
        <v>1</v>
      </c>
      <c r="W45" s="2">
        <v>0</v>
      </c>
      <c r="X45" s="2">
        <v>-421523076</v>
      </c>
      <c r="Y45" s="2">
        <v>0.41599999999999998</v>
      </c>
      <c r="AA45" s="2">
        <v>0</v>
      </c>
      <c r="AB45" s="2">
        <v>1080.76</v>
      </c>
      <c r="AC45" s="2">
        <v>332.99</v>
      </c>
      <c r="AD45" s="2">
        <v>0</v>
      </c>
      <c r="AE45" s="2">
        <v>0</v>
      </c>
      <c r="AF45" s="2">
        <v>1080.76</v>
      </c>
      <c r="AG45" s="2">
        <v>332.99</v>
      </c>
      <c r="AH45" s="2">
        <v>0</v>
      </c>
      <c r="AI45" s="2">
        <v>1</v>
      </c>
      <c r="AJ45" s="2">
        <v>1</v>
      </c>
      <c r="AK45" s="2">
        <v>1</v>
      </c>
      <c r="AL45" s="2">
        <v>1</v>
      </c>
      <c r="AN45" s="2">
        <v>0</v>
      </c>
      <c r="AO45" s="2">
        <v>1</v>
      </c>
      <c r="AP45" s="2">
        <v>1</v>
      </c>
      <c r="AQ45" s="2">
        <v>0</v>
      </c>
      <c r="AR45" s="2">
        <v>0</v>
      </c>
      <c r="AS45" s="2" t="s">
        <v>30</v>
      </c>
      <c r="AT45" s="2">
        <v>8.0000000000000002E-3</v>
      </c>
      <c r="AU45" s="2" t="s">
        <v>207</v>
      </c>
      <c r="AV45" s="2">
        <v>0</v>
      </c>
      <c r="AW45" s="2">
        <v>2</v>
      </c>
      <c r="AX45" s="2">
        <v>52286633</v>
      </c>
      <c r="AY45" s="2">
        <v>1</v>
      </c>
      <c r="AZ45" s="2">
        <v>0</v>
      </c>
      <c r="BA45" s="2">
        <v>43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CX45" s="2">
        <f>Y45*'Source (3)'!I88</f>
        <v>71.328192000000001</v>
      </c>
      <c r="CY45" s="2">
        <f>AB45</f>
        <v>1080.76</v>
      </c>
      <c r="CZ45" s="2">
        <f>AF45</f>
        <v>1080.76</v>
      </c>
      <c r="DA45" s="2">
        <f>AJ45</f>
        <v>1</v>
      </c>
      <c r="DB45" s="2">
        <f>ROUND((ROUND(AT45*CZ45,2)*52),6)</f>
        <v>449.8</v>
      </c>
      <c r="DC45" s="2">
        <f>ROUND((ROUND(AT45*AG45,2)*52),6)</f>
        <v>138.32</v>
      </c>
    </row>
    <row r="46" spans="1:107" x14ac:dyDescent="0.25">
      <c r="A46" s="2">
        <f>ROW('Source (3)'!A89)</f>
        <v>89</v>
      </c>
      <c r="B46" s="2">
        <v>52286166</v>
      </c>
      <c r="C46" s="2">
        <v>52286634</v>
      </c>
      <c r="D46" s="2">
        <v>49677488</v>
      </c>
      <c r="E46" s="2">
        <v>29</v>
      </c>
      <c r="F46" s="2">
        <v>1</v>
      </c>
      <c r="G46" s="2">
        <v>29</v>
      </c>
      <c r="H46" s="2">
        <v>1</v>
      </c>
      <c r="I46" s="2" t="s">
        <v>359</v>
      </c>
      <c r="J46" s="2" t="s">
        <v>30</v>
      </c>
      <c r="K46" s="2" t="s">
        <v>360</v>
      </c>
      <c r="L46" s="2">
        <v>1191</v>
      </c>
      <c r="N46" s="2">
        <v>1013</v>
      </c>
      <c r="O46" s="2" t="s">
        <v>361</v>
      </c>
      <c r="P46" s="2" t="s">
        <v>361</v>
      </c>
      <c r="Q46" s="2">
        <v>1</v>
      </c>
      <c r="W46" s="2">
        <v>0</v>
      </c>
      <c r="X46" s="2">
        <v>476480486</v>
      </c>
      <c r="Y46" s="2">
        <v>80.27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1</v>
      </c>
      <c r="AJ46" s="2">
        <v>1</v>
      </c>
      <c r="AK46" s="2">
        <v>1</v>
      </c>
      <c r="AL46" s="2">
        <v>1</v>
      </c>
      <c r="AN46" s="2">
        <v>0</v>
      </c>
      <c r="AO46" s="2">
        <v>1</v>
      </c>
      <c r="AP46" s="2">
        <v>0</v>
      </c>
      <c r="AQ46" s="2">
        <v>0</v>
      </c>
      <c r="AR46" s="2">
        <v>0</v>
      </c>
      <c r="AS46" s="2" t="s">
        <v>30</v>
      </c>
      <c r="AT46" s="2">
        <v>80.27</v>
      </c>
      <c r="AU46" s="2" t="s">
        <v>30</v>
      </c>
      <c r="AV46" s="2">
        <v>1</v>
      </c>
      <c r="AW46" s="2">
        <v>2</v>
      </c>
      <c r="AX46" s="2">
        <v>52286643</v>
      </c>
      <c r="AY46" s="2">
        <v>1</v>
      </c>
      <c r="AZ46" s="2">
        <v>0</v>
      </c>
      <c r="BA46" s="2">
        <v>44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CX46" s="2">
        <f>Y46*'Source (3)'!I89</f>
        <v>266.49639999999999</v>
      </c>
      <c r="CY46" s="2">
        <f>AD46</f>
        <v>0</v>
      </c>
      <c r="CZ46" s="2">
        <f>AH46</f>
        <v>0</v>
      </c>
      <c r="DA46" s="2">
        <f>AL46</f>
        <v>1</v>
      </c>
      <c r="DB46" s="2">
        <f t="shared" ref="DB46:DB61" si="4">ROUND(ROUND(AT46*CZ46,2),6)</f>
        <v>0</v>
      </c>
      <c r="DC46" s="2">
        <f t="shared" ref="DC46:DC61" si="5">ROUND(ROUND(AT46*AG46,2),6)</f>
        <v>0</v>
      </c>
    </row>
    <row r="47" spans="1:107" x14ac:dyDescent="0.25">
      <c r="A47" s="2">
        <f>ROW('Source (3)'!A89)</f>
        <v>89</v>
      </c>
      <c r="B47" s="2">
        <v>52286166</v>
      </c>
      <c r="C47" s="2">
        <v>52286634</v>
      </c>
      <c r="D47" s="2">
        <v>49682322</v>
      </c>
      <c r="E47" s="2">
        <v>1</v>
      </c>
      <c r="F47" s="2">
        <v>1</v>
      </c>
      <c r="G47" s="2">
        <v>29</v>
      </c>
      <c r="H47" s="2">
        <v>3</v>
      </c>
      <c r="I47" s="2" t="s">
        <v>126</v>
      </c>
      <c r="J47" s="2" t="s">
        <v>382</v>
      </c>
      <c r="K47" s="2" t="s">
        <v>127</v>
      </c>
      <c r="L47" s="2">
        <v>1339</v>
      </c>
      <c r="N47" s="2">
        <v>1007</v>
      </c>
      <c r="O47" s="2" t="s">
        <v>62</v>
      </c>
      <c r="P47" s="2" t="s">
        <v>62</v>
      </c>
      <c r="Q47" s="2">
        <v>1</v>
      </c>
      <c r="W47" s="2">
        <v>0</v>
      </c>
      <c r="X47" s="2">
        <v>-113610528</v>
      </c>
      <c r="Y47" s="2">
        <v>5.9</v>
      </c>
      <c r="AA47" s="2">
        <v>3917.3</v>
      </c>
      <c r="AB47" s="2">
        <v>0</v>
      </c>
      <c r="AC47" s="2">
        <v>0</v>
      </c>
      <c r="AD47" s="2">
        <v>0</v>
      </c>
      <c r="AE47" s="2">
        <v>3917.3</v>
      </c>
      <c r="AF47" s="2">
        <v>0</v>
      </c>
      <c r="AG47" s="2">
        <v>0</v>
      </c>
      <c r="AH47" s="2">
        <v>0</v>
      </c>
      <c r="AI47" s="2">
        <v>1</v>
      </c>
      <c r="AJ47" s="2">
        <v>1</v>
      </c>
      <c r="AK47" s="2">
        <v>1</v>
      </c>
      <c r="AL47" s="2">
        <v>1</v>
      </c>
      <c r="AN47" s="2">
        <v>0</v>
      </c>
      <c r="AO47" s="2">
        <v>1</v>
      </c>
      <c r="AP47" s="2">
        <v>0</v>
      </c>
      <c r="AQ47" s="2">
        <v>0</v>
      </c>
      <c r="AR47" s="2">
        <v>0</v>
      </c>
      <c r="AS47" s="2" t="s">
        <v>30</v>
      </c>
      <c r="AT47" s="2">
        <v>5.9</v>
      </c>
      <c r="AU47" s="2" t="s">
        <v>30</v>
      </c>
      <c r="AV47" s="2">
        <v>0</v>
      </c>
      <c r="AW47" s="2">
        <v>2</v>
      </c>
      <c r="AX47" s="2">
        <v>52286644</v>
      </c>
      <c r="AY47" s="2">
        <v>1</v>
      </c>
      <c r="AZ47" s="2">
        <v>0</v>
      </c>
      <c r="BA47" s="2">
        <v>45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CX47" s="2">
        <f>Y47*'Source (3)'!I89</f>
        <v>19.588000000000001</v>
      </c>
      <c r="CY47" s="2">
        <f>AA47</f>
        <v>3917.3</v>
      </c>
      <c r="CZ47" s="2">
        <f>AE47</f>
        <v>3917.3</v>
      </c>
      <c r="DA47" s="2">
        <f>AI47</f>
        <v>1</v>
      </c>
      <c r="DB47" s="2">
        <f t="shared" si="4"/>
        <v>23112.07</v>
      </c>
      <c r="DC47" s="2">
        <f t="shared" si="5"/>
        <v>0</v>
      </c>
    </row>
    <row r="48" spans="1:107" x14ac:dyDescent="0.25">
      <c r="A48" s="2">
        <f>ROW('Source (3)'!A89)</f>
        <v>89</v>
      </c>
      <c r="B48" s="2">
        <v>52286166</v>
      </c>
      <c r="C48" s="2">
        <v>52286634</v>
      </c>
      <c r="D48" s="2">
        <v>49682398</v>
      </c>
      <c r="E48" s="2">
        <v>1</v>
      </c>
      <c r="F48" s="2">
        <v>1</v>
      </c>
      <c r="G48" s="2">
        <v>29</v>
      </c>
      <c r="H48" s="2">
        <v>3</v>
      </c>
      <c r="I48" s="2" t="s">
        <v>286</v>
      </c>
      <c r="J48" s="2" t="s">
        <v>288</v>
      </c>
      <c r="K48" s="2" t="s">
        <v>287</v>
      </c>
      <c r="L48" s="2">
        <v>1339</v>
      </c>
      <c r="N48" s="2">
        <v>1007</v>
      </c>
      <c r="O48" s="2" t="s">
        <v>62</v>
      </c>
      <c r="P48" s="2" t="s">
        <v>62</v>
      </c>
      <c r="Q48" s="2">
        <v>1</v>
      </c>
      <c r="W48" s="2">
        <v>1</v>
      </c>
      <c r="X48" s="2">
        <v>820745631</v>
      </c>
      <c r="Y48" s="2">
        <v>-0.06</v>
      </c>
      <c r="AA48" s="2">
        <v>3427.48</v>
      </c>
      <c r="AB48" s="2">
        <v>0</v>
      </c>
      <c r="AC48" s="2">
        <v>0</v>
      </c>
      <c r="AD48" s="2">
        <v>0</v>
      </c>
      <c r="AE48" s="2">
        <v>3427.48</v>
      </c>
      <c r="AF48" s="2">
        <v>0</v>
      </c>
      <c r="AG48" s="2">
        <v>0</v>
      </c>
      <c r="AH48" s="2">
        <v>0</v>
      </c>
      <c r="AI48" s="2">
        <v>1</v>
      </c>
      <c r="AJ48" s="2">
        <v>1</v>
      </c>
      <c r="AK48" s="2">
        <v>1</v>
      </c>
      <c r="AL48" s="2">
        <v>1</v>
      </c>
      <c r="AN48" s="2">
        <v>0</v>
      </c>
      <c r="AO48" s="2">
        <v>1</v>
      </c>
      <c r="AP48" s="2">
        <v>0</v>
      </c>
      <c r="AQ48" s="2">
        <v>0</v>
      </c>
      <c r="AR48" s="2">
        <v>0</v>
      </c>
      <c r="AS48" s="2" t="s">
        <v>30</v>
      </c>
      <c r="AT48" s="2">
        <v>-0.06</v>
      </c>
      <c r="AU48" s="2" t="s">
        <v>30</v>
      </c>
      <c r="AV48" s="2">
        <v>0</v>
      </c>
      <c r="AW48" s="2">
        <v>2</v>
      </c>
      <c r="AX48" s="2">
        <v>52286645</v>
      </c>
      <c r="AY48" s="2">
        <v>1</v>
      </c>
      <c r="AZ48" s="2">
        <v>6144</v>
      </c>
      <c r="BA48" s="2">
        <v>46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CX48" s="2">
        <f>Y48*'Source (3)'!I89</f>
        <v>-0.19919999999999999</v>
      </c>
      <c r="CY48" s="2">
        <f>AA48</f>
        <v>3427.48</v>
      </c>
      <c r="CZ48" s="2">
        <f>AE48</f>
        <v>3427.48</v>
      </c>
      <c r="DA48" s="2">
        <f>AI48</f>
        <v>1</v>
      </c>
      <c r="DB48" s="2">
        <f t="shared" si="4"/>
        <v>-205.65</v>
      </c>
      <c r="DC48" s="2">
        <f t="shared" si="5"/>
        <v>0</v>
      </c>
    </row>
    <row r="49" spans="1:107" x14ac:dyDescent="0.25">
      <c r="A49" s="2">
        <f>ROW('Source (3)'!A89)</f>
        <v>89</v>
      </c>
      <c r="B49" s="2">
        <v>52286166</v>
      </c>
      <c r="C49" s="2">
        <v>52286634</v>
      </c>
      <c r="D49" s="2">
        <v>49683146</v>
      </c>
      <c r="E49" s="2">
        <v>1</v>
      </c>
      <c r="F49" s="2">
        <v>1</v>
      </c>
      <c r="G49" s="2">
        <v>29</v>
      </c>
      <c r="H49" s="2">
        <v>3</v>
      </c>
      <c r="I49" s="2" t="s">
        <v>128</v>
      </c>
      <c r="J49" s="2" t="s">
        <v>381</v>
      </c>
      <c r="K49" s="2" t="s">
        <v>129</v>
      </c>
      <c r="L49" s="2">
        <v>1339</v>
      </c>
      <c r="N49" s="2">
        <v>1007</v>
      </c>
      <c r="O49" s="2" t="s">
        <v>62</v>
      </c>
      <c r="P49" s="2" t="s">
        <v>62</v>
      </c>
      <c r="Q49" s="2">
        <v>1</v>
      </c>
      <c r="W49" s="2">
        <v>0</v>
      </c>
      <c r="X49" s="2">
        <v>949035675</v>
      </c>
      <c r="Y49" s="2">
        <v>4.3</v>
      </c>
      <c r="AA49" s="2">
        <v>7871.69</v>
      </c>
      <c r="AB49" s="2">
        <v>0</v>
      </c>
      <c r="AC49" s="2">
        <v>0</v>
      </c>
      <c r="AD49" s="2">
        <v>0</v>
      </c>
      <c r="AE49" s="2">
        <v>7871.69</v>
      </c>
      <c r="AF49" s="2">
        <v>0</v>
      </c>
      <c r="AG49" s="2">
        <v>0</v>
      </c>
      <c r="AH49" s="2">
        <v>0</v>
      </c>
      <c r="AI49" s="2">
        <v>1</v>
      </c>
      <c r="AJ49" s="2">
        <v>1</v>
      </c>
      <c r="AK49" s="2">
        <v>1</v>
      </c>
      <c r="AL49" s="2">
        <v>1</v>
      </c>
      <c r="AN49" s="2">
        <v>0</v>
      </c>
      <c r="AO49" s="2">
        <v>1</v>
      </c>
      <c r="AP49" s="2">
        <v>0</v>
      </c>
      <c r="AQ49" s="2">
        <v>0</v>
      </c>
      <c r="AR49" s="2">
        <v>0</v>
      </c>
      <c r="AS49" s="2" t="s">
        <v>30</v>
      </c>
      <c r="AT49" s="2">
        <v>4.3</v>
      </c>
      <c r="AU49" s="2" t="s">
        <v>30</v>
      </c>
      <c r="AV49" s="2">
        <v>0</v>
      </c>
      <c r="AW49" s="2">
        <v>2</v>
      </c>
      <c r="AX49" s="2">
        <v>52286646</v>
      </c>
      <c r="AY49" s="2">
        <v>1</v>
      </c>
      <c r="AZ49" s="2">
        <v>0</v>
      </c>
      <c r="BA49" s="2">
        <v>47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CX49" s="2">
        <f>Y49*'Source (3)'!I89</f>
        <v>14.276</v>
      </c>
      <c r="CY49" s="2">
        <f>AA49</f>
        <v>7871.69</v>
      </c>
      <c r="CZ49" s="2">
        <f>AE49</f>
        <v>7871.69</v>
      </c>
      <c r="DA49" s="2">
        <f>AI49</f>
        <v>1</v>
      </c>
      <c r="DB49" s="2">
        <f t="shared" si="4"/>
        <v>33848.269999999997</v>
      </c>
      <c r="DC49" s="2">
        <f t="shared" si="5"/>
        <v>0</v>
      </c>
    </row>
    <row r="50" spans="1:107" x14ac:dyDescent="0.25">
      <c r="A50" s="2">
        <f>ROW('Source (3)'!A91)</f>
        <v>91</v>
      </c>
      <c r="B50" s="2">
        <v>52286166</v>
      </c>
      <c r="C50" s="2">
        <v>52286648</v>
      </c>
      <c r="D50" s="2">
        <v>49677488</v>
      </c>
      <c r="E50" s="2">
        <v>29</v>
      </c>
      <c r="F50" s="2">
        <v>1</v>
      </c>
      <c r="G50" s="2">
        <v>29</v>
      </c>
      <c r="H50" s="2">
        <v>1</v>
      </c>
      <c r="I50" s="2" t="s">
        <v>359</v>
      </c>
      <c r="J50" s="2" t="s">
        <v>30</v>
      </c>
      <c r="K50" s="2" t="s">
        <v>360</v>
      </c>
      <c r="L50" s="2">
        <v>1191</v>
      </c>
      <c r="N50" s="2">
        <v>1013</v>
      </c>
      <c r="O50" s="2" t="s">
        <v>361</v>
      </c>
      <c r="P50" s="2" t="s">
        <v>361</v>
      </c>
      <c r="Q50" s="2">
        <v>1</v>
      </c>
      <c r="W50" s="2">
        <v>0</v>
      </c>
      <c r="X50" s="2">
        <v>476480486</v>
      </c>
      <c r="Y50" s="2">
        <v>1.1499999999999999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1</v>
      </c>
      <c r="AJ50" s="2">
        <v>1</v>
      </c>
      <c r="AK50" s="2">
        <v>1</v>
      </c>
      <c r="AL50" s="2">
        <v>1</v>
      </c>
      <c r="AN50" s="2">
        <v>0</v>
      </c>
      <c r="AO50" s="2">
        <v>1</v>
      </c>
      <c r="AP50" s="2">
        <v>0</v>
      </c>
      <c r="AQ50" s="2">
        <v>0</v>
      </c>
      <c r="AR50" s="2">
        <v>0</v>
      </c>
      <c r="AS50" s="2" t="s">
        <v>30</v>
      </c>
      <c r="AT50" s="2">
        <v>1.1499999999999999</v>
      </c>
      <c r="AU50" s="2" t="s">
        <v>30</v>
      </c>
      <c r="AV50" s="2">
        <v>1</v>
      </c>
      <c r="AW50" s="2">
        <v>2</v>
      </c>
      <c r="AX50" s="2">
        <v>52286653</v>
      </c>
      <c r="AY50" s="2">
        <v>1</v>
      </c>
      <c r="AZ50" s="2">
        <v>0</v>
      </c>
      <c r="BA50" s="2">
        <v>48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CX50" s="2">
        <f>Y50*'Source (3)'!I91</f>
        <v>11.833500000000001</v>
      </c>
      <c r="CY50" s="2">
        <f>AD50</f>
        <v>0</v>
      </c>
      <c r="CZ50" s="2">
        <f>AH50</f>
        <v>0</v>
      </c>
      <c r="DA50" s="2">
        <f>AL50</f>
        <v>1</v>
      </c>
      <c r="DB50" s="2">
        <f t="shared" si="4"/>
        <v>0</v>
      </c>
      <c r="DC50" s="2">
        <f t="shared" si="5"/>
        <v>0</v>
      </c>
    </row>
    <row r="51" spans="1:107" x14ac:dyDescent="0.25">
      <c r="A51" s="2">
        <f>ROW('Source (3)'!A91)</f>
        <v>91</v>
      </c>
      <c r="B51" s="2">
        <v>52286166</v>
      </c>
      <c r="C51" s="2">
        <v>52286648</v>
      </c>
      <c r="D51" s="2">
        <v>49682152</v>
      </c>
      <c r="E51" s="2">
        <v>1</v>
      </c>
      <c r="F51" s="2">
        <v>1</v>
      </c>
      <c r="G51" s="2">
        <v>29</v>
      </c>
      <c r="H51" s="2">
        <v>3</v>
      </c>
      <c r="I51" s="2" t="s">
        <v>122</v>
      </c>
      <c r="J51" s="2" t="s">
        <v>383</v>
      </c>
      <c r="K51" s="2" t="s">
        <v>123</v>
      </c>
      <c r="L51" s="2">
        <v>1354</v>
      </c>
      <c r="N51" s="2">
        <v>1010</v>
      </c>
      <c r="O51" s="2" t="s">
        <v>67</v>
      </c>
      <c r="P51" s="2" t="s">
        <v>67</v>
      </c>
      <c r="Q51" s="2">
        <v>1</v>
      </c>
      <c r="W51" s="2">
        <v>0</v>
      </c>
      <c r="X51" s="2">
        <v>889322266</v>
      </c>
      <c r="Y51" s="2">
        <v>100.1</v>
      </c>
      <c r="AA51" s="2">
        <v>140.25</v>
      </c>
      <c r="AB51" s="2">
        <v>0</v>
      </c>
      <c r="AC51" s="2">
        <v>0</v>
      </c>
      <c r="AD51" s="2">
        <v>0</v>
      </c>
      <c r="AE51" s="2">
        <v>140.25</v>
      </c>
      <c r="AF51" s="2">
        <v>0</v>
      </c>
      <c r="AG51" s="2">
        <v>0</v>
      </c>
      <c r="AH51" s="2">
        <v>0</v>
      </c>
      <c r="AI51" s="2">
        <v>1</v>
      </c>
      <c r="AJ51" s="2">
        <v>1</v>
      </c>
      <c r="AK51" s="2">
        <v>1</v>
      </c>
      <c r="AL51" s="2">
        <v>1</v>
      </c>
      <c r="AN51" s="2">
        <v>0</v>
      </c>
      <c r="AO51" s="2">
        <v>1</v>
      </c>
      <c r="AP51" s="2">
        <v>0</v>
      </c>
      <c r="AQ51" s="2">
        <v>0</v>
      </c>
      <c r="AR51" s="2">
        <v>0</v>
      </c>
      <c r="AS51" s="2" t="s">
        <v>30</v>
      </c>
      <c r="AT51" s="2">
        <v>100.1</v>
      </c>
      <c r="AU51" s="2" t="s">
        <v>30</v>
      </c>
      <c r="AV51" s="2">
        <v>0</v>
      </c>
      <c r="AW51" s="2">
        <v>2</v>
      </c>
      <c r="AX51" s="2">
        <v>52286654</v>
      </c>
      <c r="AY51" s="2">
        <v>1</v>
      </c>
      <c r="AZ51" s="2">
        <v>0</v>
      </c>
      <c r="BA51" s="2">
        <v>49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CX51" s="2">
        <f>Y51*'Source (3)'!I91</f>
        <v>1030.029</v>
      </c>
      <c r="CY51" s="2">
        <f>AA51</f>
        <v>140.25</v>
      </c>
      <c r="CZ51" s="2">
        <f>AE51</f>
        <v>140.25</v>
      </c>
      <c r="DA51" s="2">
        <f>AI51</f>
        <v>1</v>
      </c>
      <c r="DB51" s="2">
        <f t="shared" si="4"/>
        <v>14039.03</v>
      </c>
      <c r="DC51" s="2">
        <f t="shared" si="5"/>
        <v>0</v>
      </c>
    </row>
    <row r="52" spans="1:107" x14ac:dyDescent="0.25">
      <c r="A52" s="2">
        <f>ROW('Source (3)'!A184)</f>
        <v>184</v>
      </c>
      <c r="B52" s="2">
        <v>52286166</v>
      </c>
      <c r="C52" s="2">
        <v>52286657</v>
      </c>
      <c r="D52" s="2">
        <v>49677488</v>
      </c>
      <c r="E52" s="2">
        <v>29</v>
      </c>
      <c r="F52" s="2">
        <v>1</v>
      </c>
      <c r="G52" s="2">
        <v>29</v>
      </c>
      <c r="H52" s="2">
        <v>1</v>
      </c>
      <c r="I52" s="2" t="s">
        <v>359</v>
      </c>
      <c r="J52" s="2" t="s">
        <v>30</v>
      </c>
      <c r="K52" s="2" t="s">
        <v>360</v>
      </c>
      <c r="L52" s="2">
        <v>1191</v>
      </c>
      <c r="N52" s="2">
        <v>1013</v>
      </c>
      <c r="O52" s="2" t="s">
        <v>361</v>
      </c>
      <c r="P52" s="2" t="s">
        <v>361</v>
      </c>
      <c r="Q52" s="2">
        <v>1</v>
      </c>
      <c r="W52" s="2">
        <v>0</v>
      </c>
      <c r="X52" s="2">
        <v>476480486</v>
      </c>
      <c r="Y52" s="2">
        <v>18.68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1</v>
      </c>
      <c r="AJ52" s="2">
        <v>1</v>
      </c>
      <c r="AK52" s="2">
        <v>1</v>
      </c>
      <c r="AL52" s="2">
        <v>1</v>
      </c>
      <c r="AN52" s="2">
        <v>0</v>
      </c>
      <c r="AO52" s="2">
        <v>1</v>
      </c>
      <c r="AP52" s="2">
        <v>0</v>
      </c>
      <c r="AQ52" s="2">
        <v>0</v>
      </c>
      <c r="AR52" s="2">
        <v>0</v>
      </c>
      <c r="AS52" s="2" t="s">
        <v>30</v>
      </c>
      <c r="AT52" s="2">
        <v>18.68</v>
      </c>
      <c r="AU52" s="2" t="s">
        <v>30</v>
      </c>
      <c r="AV52" s="2">
        <v>1</v>
      </c>
      <c r="AW52" s="2">
        <v>2</v>
      </c>
      <c r="AX52" s="2">
        <v>52286659</v>
      </c>
      <c r="AY52" s="2">
        <v>1</v>
      </c>
      <c r="AZ52" s="2">
        <v>0</v>
      </c>
      <c r="BA52" s="2">
        <v>50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CX52" s="2">
        <f>Y52*'Source (3)'!I184</f>
        <v>2.0398559999999999</v>
      </c>
      <c r="CY52" s="2">
        <f>AD52</f>
        <v>0</v>
      </c>
      <c r="CZ52" s="2">
        <f>AH52</f>
        <v>0</v>
      </c>
      <c r="DA52" s="2">
        <f>AL52</f>
        <v>1</v>
      </c>
      <c r="DB52" s="2">
        <f t="shared" si="4"/>
        <v>0</v>
      </c>
      <c r="DC52" s="2">
        <f t="shared" si="5"/>
        <v>0</v>
      </c>
    </row>
    <row r="53" spans="1:107" x14ac:dyDescent="0.25">
      <c r="A53" s="2">
        <f>ROW('Source (3)'!A185)</f>
        <v>185</v>
      </c>
      <c r="B53" s="2">
        <v>52286166</v>
      </c>
      <c r="C53" s="2">
        <v>52286660</v>
      </c>
      <c r="D53" s="2">
        <v>49677488</v>
      </c>
      <c r="E53" s="2">
        <v>29</v>
      </c>
      <c r="F53" s="2">
        <v>1</v>
      </c>
      <c r="G53" s="2">
        <v>29</v>
      </c>
      <c r="H53" s="2">
        <v>1</v>
      </c>
      <c r="I53" s="2" t="s">
        <v>359</v>
      </c>
      <c r="J53" s="2" t="s">
        <v>30</v>
      </c>
      <c r="K53" s="2" t="s">
        <v>360</v>
      </c>
      <c r="L53" s="2">
        <v>1191</v>
      </c>
      <c r="N53" s="2">
        <v>1013</v>
      </c>
      <c r="O53" s="2" t="s">
        <v>361</v>
      </c>
      <c r="P53" s="2" t="s">
        <v>361</v>
      </c>
      <c r="Q53" s="2">
        <v>1</v>
      </c>
      <c r="W53" s="2">
        <v>0</v>
      </c>
      <c r="X53" s="2">
        <v>476480486</v>
      </c>
      <c r="Y53" s="2">
        <v>11.7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1</v>
      </c>
      <c r="AJ53" s="2">
        <v>1</v>
      </c>
      <c r="AK53" s="2">
        <v>1</v>
      </c>
      <c r="AL53" s="2">
        <v>1</v>
      </c>
      <c r="AN53" s="2">
        <v>0</v>
      </c>
      <c r="AO53" s="2">
        <v>1</v>
      </c>
      <c r="AP53" s="2">
        <v>0</v>
      </c>
      <c r="AQ53" s="2">
        <v>0</v>
      </c>
      <c r="AR53" s="2">
        <v>0</v>
      </c>
      <c r="AS53" s="2" t="s">
        <v>30</v>
      </c>
      <c r="AT53" s="2">
        <v>11.7</v>
      </c>
      <c r="AU53" s="2" t="s">
        <v>30</v>
      </c>
      <c r="AV53" s="2">
        <v>1</v>
      </c>
      <c r="AW53" s="2">
        <v>2</v>
      </c>
      <c r="AX53" s="2">
        <v>52286664</v>
      </c>
      <c r="AY53" s="2">
        <v>1</v>
      </c>
      <c r="AZ53" s="2">
        <v>0</v>
      </c>
      <c r="BA53" s="2">
        <v>51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CX53" s="2">
        <f>Y53*'Source (3)'!I185</f>
        <v>2.7378</v>
      </c>
      <c r="CY53" s="2">
        <f>AD53</f>
        <v>0</v>
      </c>
      <c r="CZ53" s="2">
        <f>AH53</f>
        <v>0</v>
      </c>
      <c r="DA53" s="2">
        <f>AL53</f>
        <v>1</v>
      </c>
      <c r="DB53" s="2">
        <f t="shared" si="4"/>
        <v>0</v>
      </c>
      <c r="DC53" s="2">
        <f t="shared" si="5"/>
        <v>0</v>
      </c>
    </row>
    <row r="54" spans="1:107" x14ac:dyDescent="0.25">
      <c r="A54" s="2">
        <f>ROW('Source (3)'!A185)</f>
        <v>185</v>
      </c>
      <c r="B54" s="2">
        <v>52286166</v>
      </c>
      <c r="C54" s="2">
        <v>52286660</v>
      </c>
      <c r="D54" s="2">
        <v>49678449</v>
      </c>
      <c r="E54" s="2">
        <v>1</v>
      </c>
      <c r="F54" s="2">
        <v>1</v>
      </c>
      <c r="G54" s="2">
        <v>29</v>
      </c>
      <c r="H54" s="2">
        <v>2</v>
      </c>
      <c r="I54" s="2" t="s">
        <v>89</v>
      </c>
      <c r="J54" s="2" t="s">
        <v>369</v>
      </c>
      <c r="K54" s="2" t="s">
        <v>90</v>
      </c>
      <c r="L54" s="2">
        <v>1368</v>
      </c>
      <c r="N54" s="2">
        <v>1011</v>
      </c>
      <c r="O54" s="2" t="s">
        <v>82</v>
      </c>
      <c r="P54" s="2" t="s">
        <v>82</v>
      </c>
      <c r="Q54" s="2">
        <v>1</v>
      </c>
      <c r="W54" s="2">
        <v>0</v>
      </c>
      <c r="X54" s="2">
        <v>-1395457639</v>
      </c>
      <c r="Y54" s="2">
        <v>1.26</v>
      </c>
      <c r="AA54" s="2">
        <v>0</v>
      </c>
      <c r="AB54" s="2">
        <v>780.77</v>
      </c>
      <c r="AC54" s="2">
        <v>433.88</v>
      </c>
      <c r="AD54" s="2">
        <v>0</v>
      </c>
      <c r="AE54" s="2">
        <v>0</v>
      </c>
      <c r="AF54" s="2">
        <v>780.77</v>
      </c>
      <c r="AG54" s="2">
        <v>433.88</v>
      </c>
      <c r="AH54" s="2">
        <v>0</v>
      </c>
      <c r="AI54" s="2">
        <v>1</v>
      </c>
      <c r="AJ54" s="2">
        <v>1</v>
      </c>
      <c r="AK54" s="2">
        <v>1</v>
      </c>
      <c r="AL54" s="2">
        <v>1</v>
      </c>
      <c r="AN54" s="2">
        <v>0</v>
      </c>
      <c r="AO54" s="2">
        <v>1</v>
      </c>
      <c r="AP54" s="2">
        <v>0</v>
      </c>
      <c r="AQ54" s="2">
        <v>0</v>
      </c>
      <c r="AR54" s="2">
        <v>0</v>
      </c>
      <c r="AS54" s="2" t="s">
        <v>30</v>
      </c>
      <c r="AT54" s="2">
        <v>1.26</v>
      </c>
      <c r="AU54" s="2" t="s">
        <v>30</v>
      </c>
      <c r="AV54" s="2">
        <v>0</v>
      </c>
      <c r="AW54" s="2">
        <v>2</v>
      </c>
      <c r="AX54" s="2">
        <v>52286665</v>
      </c>
      <c r="AY54" s="2">
        <v>1</v>
      </c>
      <c r="AZ54" s="2">
        <v>0</v>
      </c>
      <c r="BA54" s="2">
        <v>52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CX54" s="2">
        <f>Y54*'Source (3)'!I185</f>
        <v>0.29483999999999999</v>
      </c>
      <c r="CY54" s="2">
        <f>AB54</f>
        <v>780.77</v>
      </c>
      <c r="CZ54" s="2">
        <f>AF54</f>
        <v>780.77</v>
      </c>
      <c r="DA54" s="2">
        <f>AJ54</f>
        <v>1</v>
      </c>
      <c r="DB54" s="2">
        <f t="shared" si="4"/>
        <v>983.77</v>
      </c>
      <c r="DC54" s="2">
        <f t="shared" si="5"/>
        <v>546.69000000000005</v>
      </c>
    </row>
    <row r="55" spans="1:107" x14ac:dyDescent="0.25">
      <c r="A55" s="2">
        <f>ROW('Source (3)'!A185)</f>
        <v>185</v>
      </c>
      <c r="B55" s="2">
        <v>52286166</v>
      </c>
      <c r="C55" s="2">
        <v>52286660</v>
      </c>
      <c r="D55" s="2">
        <v>49678633</v>
      </c>
      <c r="E55" s="2">
        <v>1</v>
      </c>
      <c r="F55" s="2">
        <v>1</v>
      </c>
      <c r="G55" s="2">
        <v>29</v>
      </c>
      <c r="H55" s="2">
        <v>2</v>
      </c>
      <c r="I55" s="2" t="s">
        <v>154</v>
      </c>
      <c r="J55" s="2" t="s">
        <v>392</v>
      </c>
      <c r="K55" s="2" t="s">
        <v>155</v>
      </c>
      <c r="L55" s="2">
        <v>1368</v>
      </c>
      <c r="N55" s="2">
        <v>1011</v>
      </c>
      <c r="O55" s="2" t="s">
        <v>82</v>
      </c>
      <c r="P55" s="2" t="s">
        <v>82</v>
      </c>
      <c r="Q55" s="2">
        <v>1</v>
      </c>
      <c r="W55" s="2">
        <v>0</v>
      </c>
      <c r="X55" s="2">
        <v>1254933040</v>
      </c>
      <c r="Y55" s="2">
        <v>1.7</v>
      </c>
      <c r="AA55" s="2">
        <v>0</v>
      </c>
      <c r="AB55" s="2">
        <v>1478.7</v>
      </c>
      <c r="AC55" s="2">
        <v>673.39</v>
      </c>
      <c r="AD55" s="2">
        <v>0</v>
      </c>
      <c r="AE55" s="2">
        <v>0</v>
      </c>
      <c r="AF55" s="2">
        <v>1478.7</v>
      </c>
      <c r="AG55" s="2">
        <v>673.39</v>
      </c>
      <c r="AH55" s="2">
        <v>0</v>
      </c>
      <c r="AI55" s="2">
        <v>1</v>
      </c>
      <c r="AJ55" s="2">
        <v>1</v>
      </c>
      <c r="AK55" s="2">
        <v>1</v>
      </c>
      <c r="AL55" s="2">
        <v>1</v>
      </c>
      <c r="AN55" s="2">
        <v>0</v>
      </c>
      <c r="AO55" s="2">
        <v>1</v>
      </c>
      <c r="AP55" s="2">
        <v>0</v>
      </c>
      <c r="AQ55" s="2">
        <v>0</v>
      </c>
      <c r="AR55" s="2">
        <v>0</v>
      </c>
      <c r="AS55" s="2" t="s">
        <v>30</v>
      </c>
      <c r="AT55" s="2">
        <v>1.7</v>
      </c>
      <c r="AU55" s="2" t="s">
        <v>30</v>
      </c>
      <c r="AV55" s="2">
        <v>0</v>
      </c>
      <c r="AW55" s="2">
        <v>2</v>
      </c>
      <c r="AX55" s="2">
        <v>52286666</v>
      </c>
      <c r="AY55" s="2">
        <v>1</v>
      </c>
      <c r="AZ55" s="2">
        <v>0</v>
      </c>
      <c r="BA55" s="2">
        <v>53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CX55" s="2">
        <f>Y55*'Source (3)'!I185</f>
        <v>0.39779999999999999</v>
      </c>
      <c r="CY55" s="2">
        <f>AB55</f>
        <v>1478.7</v>
      </c>
      <c r="CZ55" s="2">
        <f>AF55</f>
        <v>1478.7</v>
      </c>
      <c r="DA55" s="2">
        <f>AJ55</f>
        <v>1</v>
      </c>
      <c r="DB55" s="2">
        <f t="shared" si="4"/>
        <v>2513.79</v>
      </c>
      <c r="DC55" s="2">
        <f t="shared" si="5"/>
        <v>1144.76</v>
      </c>
    </row>
    <row r="56" spans="1:107" x14ac:dyDescent="0.25">
      <c r="A56" s="2">
        <f>ROW('Source (3)'!A186)</f>
        <v>186</v>
      </c>
      <c r="B56" s="2">
        <v>52286166</v>
      </c>
      <c r="C56" s="2">
        <v>52286667</v>
      </c>
      <c r="D56" s="2">
        <v>49677488</v>
      </c>
      <c r="E56" s="2">
        <v>29</v>
      </c>
      <c r="F56" s="2">
        <v>1</v>
      </c>
      <c r="G56" s="2">
        <v>29</v>
      </c>
      <c r="H56" s="2">
        <v>1</v>
      </c>
      <c r="I56" s="2" t="s">
        <v>359</v>
      </c>
      <c r="J56" s="2" t="s">
        <v>30</v>
      </c>
      <c r="K56" s="2" t="s">
        <v>360</v>
      </c>
      <c r="L56" s="2">
        <v>1191</v>
      </c>
      <c r="N56" s="2">
        <v>1013</v>
      </c>
      <c r="O56" s="2" t="s">
        <v>361</v>
      </c>
      <c r="P56" s="2" t="s">
        <v>361</v>
      </c>
      <c r="Q56" s="2">
        <v>1</v>
      </c>
      <c r="W56" s="2">
        <v>0</v>
      </c>
      <c r="X56" s="2">
        <v>476480486</v>
      </c>
      <c r="Y56" s="2">
        <v>1.02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1</v>
      </c>
      <c r="AJ56" s="2">
        <v>1</v>
      </c>
      <c r="AK56" s="2">
        <v>1</v>
      </c>
      <c r="AL56" s="2">
        <v>1</v>
      </c>
      <c r="AN56" s="2">
        <v>0</v>
      </c>
      <c r="AO56" s="2">
        <v>1</v>
      </c>
      <c r="AP56" s="2">
        <v>0</v>
      </c>
      <c r="AQ56" s="2">
        <v>0</v>
      </c>
      <c r="AR56" s="2">
        <v>0</v>
      </c>
      <c r="AS56" s="2" t="s">
        <v>30</v>
      </c>
      <c r="AT56" s="2">
        <v>1.02</v>
      </c>
      <c r="AU56" s="2" t="s">
        <v>30</v>
      </c>
      <c r="AV56" s="2">
        <v>1</v>
      </c>
      <c r="AW56" s="2">
        <v>2</v>
      </c>
      <c r="AX56" s="2">
        <v>52286669</v>
      </c>
      <c r="AY56" s="2">
        <v>1</v>
      </c>
      <c r="AZ56" s="2">
        <v>0</v>
      </c>
      <c r="BA56" s="2">
        <v>54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CX56" s="2">
        <f>Y56*'Source (3)'!I186</f>
        <v>3.5006400000000002</v>
      </c>
      <c r="CY56" s="2">
        <f>AD56</f>
        <v>0</v>
      </c>
      <c r="CZ56" s="2">
        <f>AH56</f>
        <v>0</v>
      </c>
      <c r="DA56" s="2">
        <f>AL56</f>
        <v>1</v>
      </c>
      <c r="DB56" s="2">
        <f t="shared" si="4"/>
        <v>0</v>
      </c>
      <c r="DC56" s="2">
        <f t="shared" si="5"/>
        <v>0</v>
      </c>
    </row>
    <row r="57" spans="1:107" x14ac:dyDescent="0.25">
      <c r="A57" s="2">
        <f>ROW('Source (3)'!A187)</f>
        <v>187</v>
      </c>
      <c r="B57" s="2">
        <v>52286166</v>
      </c>
      <c r="C57" s="2">
        <v>52286670</v>
      </c>
      <c r="D57" s="2">
        <v>49678405</v>
      </c>
      <c r="E57" s="2">
        <v>1</v>
      </c>
      <c r="F57" s="2">
        <v>1</v>
      </c>
      <c r="G57" s="2">
        <v>29</v>
      </c>
      <c r="H57" s="2">
        <v>2</v>
      </c>
      <c r="I57" s="2" t="s">
        <v>408</v>
      </c>
      <c r="J57" s="2" t="s">
        <v>468</v>
      </c>
      <c r="K57" s="2" t="s">
        <v>409</v>
      </c>
      <c r="L57" s="2">
        <v>1368</v>
      </c>
      <c r="N57" s="2">
        <v>1011</v>
      </c>
      <c r="O57" s="2" t="s">
        <v>82</v>
      </c>
      <c r="P57" s="2" t="s">
        <v>82</v>
      </c>
      <c r="Q57" s="2">
        <v>1</v>
      </c>
      <c r="W57" s="2">
        <v>0</v>
      </c>
      <c r="X57" s="2">
        <v>1415364272</v>
      </c>
      <c r="Y57" s="2">
        <v>5.3699999999999998E-2</v>
      </c>
      <c r="AA57" s="2">
        <v>0</v>
      </c>
      <c r="AB57" s="2">
        <v>1568.39</v>
      </c>
      <c r="AC57" s="2">
        <v>505.27</v>
      </c>
      <c r="AD57" s="2">
        <v>0</v>
      </c>
      <c r="AE57" s="2">
        <v>0</v>
      </c>
      <c r="AF57" s="2">
        <v>1568.39</v>
      </c>
      <c r="AG57" s="2">
        <v>505.27</v>
      </c>
      <c r="AH57" s="2">
        <v>0</v>
      </c>
      <c r="AI57" s="2">
        <v>1</v>
      </c>
      <c r="AJ57" s="2">
        <v>1</v>
      </c>
      <c r="AK57" s="2">
        <v>1</v>
      </c>
      <c r="AL57" s="2">
        <v>1</v>
      </c>
      <c r="AN57" s="2">
        <v>0</v>
      </c>
      <c r="AO57" s="2">
        <v>1</v>
      </c>
      <c r="AP57" s="2">
        <v>0</v>
      </c>
      <c r="AQ57" s="2">
        <v>0</v>
      </c>
      <c r="AR57" s="2">
        <v>0</v>
      </c>
      <c r="AS57" s="2" t="s">
        <v>30</v>
      </c>
      <c r="AT57" s="2">
        <v>5.3699999999999998E-2</v>
      </c>
      <c r="AU57" s="2" t="s">
        <v>30</v>
      </c>
      <c r="AV57" s="2">
        <v>0</v>
      </c>
      <c r="AW57" s="2">
        <v>2</v>
      </c>
      <c r="AX57" s="2">
        <v>52286672</v>
      </c>
      <c r="AY57" s="2">
        <v>1</v>
      </c>
      <c r="AZ57" s="2">
        <v>0</v>
      </c>
      <c r="BA57" s="2">
        <v>55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CX57" s="2">
        <f>Y57*'Source (3)'!I187</f>
        <v>1.6586856000000001</v>
      </c>
      <c r="CY57" s="2">
        <f t="shared" ref="CY57:CY63" si="6">AB57</f>
        <v>1568.39</v>
      </c>
      <c r="CZ57" s="2">
        <f t="shared" ref="CZ57:CZ63" si="7">AF57</f>
        <v>1568.39</v>
      </c>
      <c r="DA57" s="2">
        <f t="shared" ref="DA57:DA63" si="8">AJ57</f>
        <v>1</v>
      </c>
      <c r="DB57" s="2">
        <f t="shared" si="4"/>
        <v>84.22</v>
      </c>
      <c r="DC57" s="2">
        <f t="shared" si="5"/>
        <v>27.13</v>
      </c>
    </row>
    <row r="58" spans="1:107" x14ac:dyDescent="0.25">
      <c r="A58" s="2">
        <f>ROW('Source (3)'!A188)</f>
        <v>188</v>
      </c>
      <c r="B58" s="2">
        <v>52286166</v>
      </c>
      <c r="C58" s="2">
        <v>52286673</v>
      </c>
      <c r="D58" s="2">
        <v>49679217</v>
      </c>
      <c r="E58" s="2">
        <v>1</v>
      </c>
      <c r="F58" s="2">
        <v>1</v>
      </c>
      <c r="G58" s="2">
        <v>29</v>
      </c>
      <c r="H58" s="2">
        <v>2</v>
      </c>
      <c r="I58" s="2" t="s">
        <v>85</v>
      </c>
      <c r="J58" s="2" t="s">
        <v>374</v>
      </c>
      <c r="K58" s="2" t="s">
        <v>86</v>
      </c>
      <c r="L58" s="2">
        <v>1368</v>
      </c>
      <c r="N58" s="2">
        <v>1011</v>
      </c>
      <c r="O58" s="2" t="s">
        <v>82</v>
      </c>
      <c r="P58" s="2" t="s">
        <v>82</v>
      </c>
      <c r="Q58" s="2">
        <v>1</v>
      </c>
      <c r="W58" s="2">
        <v>0</v>
      </c>
      <c r="X58" s="2">
        <v>2102615478</v>
      </c>
      <c r="Y58" s="2">
        <v>5.3999999999999999E-2</v>
      </c>
      <c r="AA58" s="2">
        <v>0</v>
      </c>
      <c r="AB58" s="2">
        <v>1070.1199999999999</v>
      </c>
      <c r="AC58" s="2">
        <v>332.66</v>
      </c>
      <c r="AD58" s="2">
        <v>0</v>
      </c>
      <c r="AE58" s="2">
        <v>0</v>
      </c>
      <c r="AF58" s="2">
        <v>1070.1199999999999</v>
      </c>
      <c r="AG58" s="2">
        <v>332.66</v>
      </c>
      <c r="AH58" s="2">
        <v>0</v>
      </c>
      <c r="AI58" s="2">
        <v>1</v>
      </c>
      <c r="AJ58" s="2">
        <v>1</v>
      </c>
      <c r="AK58" s="2">
        <v>1</v>
      </c>
      <c r="AL58" s="2">
        <v>1</v>
      </c>
      <c r="AN58" s="2">
        <v>0</v>
      </c>
      <c r="AO58" s="2">
        <v>1</v>
      </c>
      <c r="AP58" s="2">
        <v>0</v>
      </c>
      <c r="AQ58" s="2">
        <v>0</v>
      </c>
      <c r="AR58" s="2">
        <v>0</v>
      </c>
      <c r="AS58" s="2" t="s">
        <v>30</v>
      </c>
      <c r="AT58" s="2">
        <v>5.3999999999999999E-2</v>
      </c>
      <c r="AU58" s="2" t="s">
        <v>30</v>
      </c>
      <c r="AV58" s="2">
        <v>0</v>
      </c>
      <c r="AW58" s="2">
        <v>2</v>
      </c>
      <c r="AX58" s="2">
        <v>52286676</v>
      </c>
      <c r="AY58" s="2">
        <v>1</v>
      </c>
      <c r="AZ58" s="2">
        <v>0</v>
      </c>
      <c r="BA58" s="2">
        <v>56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CX58" s="2">
        <f>Y58*'Source (3)'!I188</f>
        <v>0.18532799999999999</v>
      </c>
      <c r="CY58" s="2">
        <f t="shared" si="6"/>
        <v>1070.1199999999999</v>
      </c>
      <c r="CZ58" s="2">
        <f t="shared" si="7"/>
        <v>1070.1199999999999</v>
      </c>
      <c r="DA58" s="2">
        <f t="shared" si="8"/>
        <v>1</v>
      </c>
      <c r="DB58" s="2">
        <f t="shared" si="4"/>
        <v>57.79</v>
      </c>
      <c r="DC58" s="2">
        <f t="shared" si="5"/>
        <v>17.96</v>
      </c>
    </row>
    <row r="59" spans="1:107" x14ac:dyDescent="0.25">
      <c r="A59" s="2">
        <f>ROW('Source (3)'!A188)</f>
        <v>188</v>
      </c>
      <c r="B59" s="2">
        <v>52286166</v>
      </c>
      <c r="C59" s="2">
        <v>52286673</v>
      </c>
      <c r="D59" s="2">
        <v>49679218</v>
      </c>
      <c r="E59" s="2">
        <v>1</v>
      </c>
      <c r="F59" s="2">
        <v>1</v>
      </c>
      <c r="G59" s="2">
        <v>29</v>
      </c>
      <c r="H59" s="2">
        <v>2</v>
      </c>
      <c r="I59" s="2" t="s">
        <v>87</v>
      </c>
      <c r="J59" s="2" t="s">
        <v>375</v>
      </c>
      <c r="K59" s="2" t="s">
        <v>88</v>
      </c>
      <c r="L59" s="2">
        <v>1368</v>
      </c>
      <c r="N59" s="2">
        <v>1011</v>
      </c>
      <c r="O59" s="2" t="s">
        <v>82</v>
      </c>
      <c r="P59" s="2" t="s">
        <v>82</v>
      </c>
      <c r="Q59" s="2">
        <v>1</v>
      </c>
      <c r="W59" s="2">
        <v>0</v>
      </c>
      <c r="X59" s="2">
        <v>-421523076</v>
      </c>
      <c r="Y59" s="2">
        <v>5.5E-2</v>
      </c>
      <c r="AA59" s="2">
        <v>0</v>
      </c>
      <c r="AB59" s="2">
        <v>1080.76</v>
      </c>
      <c r="AC59" s="2">
        <v>332.99</v>
      </c>
      <c r="AD59" s="2">
        <v>0</v>
      </c>
      <c r="AE59" s="2">
        <v>0</v>
      </c>
      <c r="AF59" s="2">
        <v>1080.76</v>
      </c>
      <c r="AG59" s="2">
        <v>332.99</v>
      </c>
      <c r="AH59" s="2">
        <v>0</v>
      </c>
      <c r="AI59" s="2">
        <v>1</v>
      </c>
      <c r="AJ59" s="2">
        <v>1</v>
      </c>
      <c r="AK59" s="2">
        <v>1</v>
      </c>
      <c r="AL59" s="2">
        <v>1</v>
      </c>
      <c r="AN59" s="2">
        <v>0</v>
      </c>
      <c r="AO59" s="2">
        <v>1</v>
      </c>
      <c r="AP59" s="2">
        <v>0</v>
      </c>
      <c r="AQ59" s="2">
        <v>0</v>
      </c>
      <c r="AR59" s="2">
        <v>0</v>
      </c>
      <c r="AS59" s="2" t="s">
        <v>30</v>
      </c>
      <c r="AT59" s="2">
        <v>5.5E-2</v>
      </c>
      <c r="AU59" s="2" t="s">
        <v>30</v>
      </c>
      <c r="AV59" s="2">
        <v>0</v>
      </c>
      <c r="AW59" s="2">
        <v>2</v>
      </c>
      <c r="AX59" s="2">
        <v>52286677</v>
      </c>
      <c r="AY59" s="2">
        <v>1</v>
      </c>
      <c r="AZ59" s="2">
        <v>0</v>
      </c>
      <c r="BA59" s="2">
        <v>57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CX59" s="2">
        <f>Y59*'Source (3)'!I188</f>
        <v>0.18876000000000001</v>
      </c>
      <c r="CY59" s="2">
        <f t="shared" si="6"/>
        <v>1080.76</v>
      </c>
      <c r="CZ59" s="2">
        <f t="shared" si="7"/>
        <v>1080.76</v>
      </c>
      <c r="DA59" s="2">
        <f t="shared" si="8"/>
        <v>1</v>
      </c>
      <c r="DB59" s="2">
        <f t="shared" si="4"/>
        <v>59.44</v>
      </c>
      <c r="DC59" s="2">
        <f t="shared" si="5"/>
        <v>18.309999999999999</v>
      </c>
    </row>
    <row r="60" spans="1:107" x14ac:dyDescent="0.25">
      <c r="A60" s="2">
        <f>ROW('Source (3)'!A189)</f>
        <v>189</v>
      </c>
      <c r="B60" s="2">
        <v>52286166</v>
      </c>
      <c r="C60" s="2">
        <v>52286678</v>
      </c>
      <c r="D60" s="2">
        <v>49679217</v>
      </c>
      <c r="E60" s="2">
        <v>1</v>
      </c>
      <c r="F60" s="2">
        <v>1</v>
      </c>
      <c r="G60" s="2">
        <v>29</v>
      </c>
      <c r="H60" s="2">
        <v>2</v>
      </c>
      <c r="I60" s="2" t="s">
        <v>85</v>
      </c>
      <c r="J60" s="2" t="s">
        <v>374</v>
      </c>
      <c r="K60" s="2" t="s">
        <v>86</v>
      </c>
      <c r="L60" s="2">
        <v>1368</v>
      </c>
      <c r="N60" s="2">
        <v>1011</v>
      </c>
      <c r="O60" s="2" t="s">
        <v>82</v>
      </c>
      <c r="P60" s="2" t="s">
        <v>82</v>
      </c>
      <c r="Q60" s="2">
        <v>1</v>
      </c>
      <c r="W60" s="2">
        <v>0</v>
      </c>
      <c r="X60" s="2">
        <v>2102615478</v>
      </c>
      <c r="Y60" s="2">
        <v>0.02</v>
      </c>
      <c r="AA60" s="2">
        <v>0</v>
      </c>
      <c r="AB60" s="2">
        <v>1070.1199999999999</v>
      </c>
      <c r="AC60" s="2">
        <v>332.66</v>
      </c>
      <c r="AD60" s="2">
        <v>0</v>
      </c>
      <c r="AE60" s="2">
        <v>0</v>
      </c>
      <c r="AF60" s="2">
        <v>1070.1199999999999</v>
      </c>
      <c r="AG60" s="2">
        <v>332.66</v>
      </c>
      <c r="AH60" s="2">
        <v>0</v>
      </c>
      <c r="AI60" s="2">
        <v>1</v>
      </c>
      <c r="AJ60" s="2">
        <v>1</v>
      </c>
      <c r="AK60" s="2">
        <v>1</v>
      </c>
      <c r="AL60" s="2">
        <v>1</v>
      </c>
      <c r="AN60" s="2">
        <v>0</v>
      </c>
      <c r="AO60" s="2">
        <v>1</v>
      </c>
      <c r="AP60" s="2">
        <v>0</v>
      </c>
      <c r="AQ60" s="2">
        <v>0</v>
      </c>
      <c r="AR60" s="2">
        <v>0</v>
      </c>
      <c r="AS60" s="2" t="s">
        <v>30</v>
      </c>
      <c r="AT60" s="2">
        <v>0.02</v>
      </c>
      <c r="AU60" s="2" t="s">
        <v>30</v>
      </c>
      <c r="AV60" s="2">
        <v>0</v>
      </c>
      <c r="AW60" s="2">
        <v>2</v>
      </c>
      <c r="AX60" s="2">
        <v>52286681</v>
      </c>
      <c r="AY60" s="2">
        <v>1</v>
      </c>
      <c r="AZ60" s="2">
        <v>0</v>
      </c>
      <c r="BA60" s="2">
        <v>58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CX60" s="2">
        <f>Y60*'Source (3)'!I189</f>
        <v>0.61775999999999998</v>
      </c>
      <c r="CY60" s="2">
        <f t="shared" si="6"/>
        <v>1070.1199999999999</v>
      </c>
      <c r="CZ60" s="2">
        <f t="shared" si="7"/>
        <v>1070.1199999999999</v>
      </c>
      <c r="DA60" s="2">
        <f t="shared" si="8"/>
        <v>1</v>
      </c>
      <c r="DB60" s="2">
        <f t="shared" si="4"/>
        <v>21.4</v>
      </c>
      <c r="DC60" s="2">
        <f t="shared" si="5"/>
        <v>6.65</v>
      </c>
    </row>
    <row r="61" spans="1:107" x14ac:dyDescent="0.25">
      <c r="A61" s="2">
        <f>ROW('Source (3)'!A189)</f>
        <v>189</v>
      </c>
      <c r="B61" s="2">
        <v>52286166</v>
      </c>
      <c r="C61" s="2">
        <v>52286678</v>
      </c>
      <c r="D61" s="2">
        <v>49679218</v>
      </c>
      <c r="E61" s="2">
        <v>1</v>
      </c>
      <c r="F61" s="2">
        <v>1</v>
      </c>
      <c r="G61" s="2">
        <v>29</v>
      </c>
      <c r="H61" s="2">
        <v>2</v>
      </c>
      <c r="I61" s="2" t="s">
        <v>87</v>
      </c>
      <c r="J61" s="2" t="s">
        <v>375</v>
      </c>
      <c r="K61" s="2" t="s">
        <v>88</v>
      </c>
      <c r="L61" s="2">
        <v>1368</v>
      </c>
      <c r="N61" s="2">
        <v>1011</v>
      </c>
      <c r="O61" s="2" t="s">
        <v>82</v>
      </c>
      <c r="P61" s="2" t="s">
        <v>82</v>
      </c>
      <c r="Q61" s="2">
        <v>1</v>
      </c>
      <c r="W61" s="2">
        <v>0</v>
      </c>
      <c r="X61" s="2">
        <v>-421523076</v>
      </c>
      <c r="Y61" s="2">
        <v>1.7999999999999999E-2</v>
      </c>
      <c r="AA61" s="2">
        <v>0</v>
      </c>
      <c r="AB61" s="2">
        <v>1080.76</v>
      </c>
      <c r="AC61" s="2">
        <v>332.99</v>
      </c>
      <c r="AD61" s="2">
        <v>0</v>
      </c>
      <c r="AE61" s="2">
        <v>0</v>
      </c>
      <c r="AF61" s="2">
        <v>1080.76</v>
      </c>
      <c r="AG61" s="2">
        <v>332.99</v>
      </c>
      <c r="AH61" s="2">
        <v>0</v>
      </c>
      <c r="AI61" s="2">
        <v>1</v>
      </c>
      <c r="AJ61" s="2">
        <v>1</v>
      </c>
      <c r="AK61" s="2">
        <v>1</v>
      </c>
      <c r="AL61" s="2">
        <v>1</v>
      </c>
      <c r="AN61" s="2">
        <v>0</v>
      </c>
      <c r="AO61" s="2">
        <v>1</v>
      </c>
      <c r="AP61" s="2">
        <v>0</v>
      </c>
      <c r="AQ61" s="2">
        <v>0</v>
      </c>
      <c r="AR61" s="2">
        <v>0</v>
      </c>
      <c r="AS61" s="2" t="s">
        <v>30</v>
      </c>
      <c r="AT61" s="2">
        <v>1.7999999999999999E-2</v>
      </c>
      <c r="AU61" s="2" t="s">
        <v>30</v>
      </c>
      <c r="AV61" s="2">
        <v>0</v>
      </c>
      <c r="AW61" s="2">
        <v>2</v>
      </c>
      <c r="AX61" s="2">
        <v>52286682</v>
      </c>
      <c r="AY61" s="2">
        <v>1</v>
      </c>
      <c r="AZ61" s="2">
        <v>0</v>
      </c>
      <c r="BA61" s="2">
        <v>59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CX61" s="2">
        <f>Y61*'Source (3)'!I189</f>
        <v>0.55598400000000003</v>
      </c>
      <c r="CY61" s="2">
        <f t="shared" si="6"/>
        <v>1080.76</v>
      </c>
      <c r="CZ61" s="2">
        <f t="shared" si="7"/>
        <v>1080.76</v>
      </c>
      <c r="DA61" s="2">
        <f t="shared" si="8"/>
        <v>1</v>
      </c>
      <c r="DB61" s="2">
        <f t="shared" si="4"/>
        <v>19.45</v>
      </c>
      <c r="DC61" s="2">
        <f t="shared" si="5"/>
        <v>5.99</v>
      </c>
    </row>
    <row r="62" spans="1:107" x14ac:dyDescent="0.25">
      <c r="A62" s="2">
        <f>ROW('Source (3)'!A190)</f>
        <v>190</v>
      </c>
      <c r="B62" s="2">
        <v>52286166</v>
      </c>
      <c r="C62" s="2">
        <v>52286683</v>
      </c>
      <c r="D62" s="2">
        <v>49679217</v>
      </c>
      <c r="E62" s="2">
        <v>1</v>
      </c>
      <c r="F62" s="2">
        <v>1</v>
      </c>
      <c r="G62" s="2">
        <v>29</v>
      </c>
      <c r="H62" s="2">
        <v>2</v>
      </c>
      <c r="I62" s="2" t="s">
        <v>85</v>
      </c>
      <c r="J62" s="2" t="s">
        <v>374</v>
      </c>
      <c r="K62" s="2" t="s">
        <v>86</v>
      </c>
      <c r="L62" s="2">
        <v>1368</v>
      </c>
      <c r="N62" s="2">
        <v>1011</v>
      </c>
      <c r="O62" s="2" t="s">
        <v>82</v>
      </c>
      <c r="P62" s="2" t="s">
        <v>82</v>
      </c>
      <c r="Q62" s="2">
        <v>1</v>
      </c>
      <c r="W62" s="2">
        <v>0</v>
      </c>
      <c r="X62" s="2">
        <v>2102615478</v>
      </c>
      <c r="Y62" s="2">
        <v>0.52</v>
      </c>
      <c r="AA62" s="2">
        <v>0</v>
      </c>
      <c r="AB62" s="2">
        <v>1070.1199999999999</v>
      </c>
      <c r="AC62" s="2">
        <v>332.66</v>
      </c>
      <c r="AD62" s="2">
        <v>0</v>
      </c>
      <c r="AE62" s="2">
        <v>0</v>
      </c>
      <c r="AF62" s="2">
        <v>1070.1199999999999</v>
      </c>
      <c r="AG62" s="2">
        <v>332.66</v>
      </c>
      <c r="AH62" s="2">
        <v>0</v>
      </c>
      <c r="AI62" s="2">
        <v>1</v>
      </c>
      <c r="AJ62" s="2">
        <v>1</v>
      </c>
      <c r="AK62" s="2">
        <v>1</v>
      </c>
      <c r="AL62" s="2">
        <v>1</v>
      </c>
      <c r="AN62" s="2">
        <v>0</v>
      </c>
      <c r="AO62" s="2">
        <v>1</v>
      </c>
      <c r="AP62" s="2">
        <v>1</v>
      </c>
      <c r="AQ62" s="2">
        <v>0</v>
      </c>
      <c r="AR62" s="2">
        <v>0</v>
      </c>
      <c r="AS62" s="2" t="s">
        <v>30</v>
      </c>
      <c r="AT62" s="2">
        <v>0.01</v>
      </c>
      <c r="AU62" s="2" t="s">
        <v>207</v>
      </c>
      <c r="AV62" s="2">
        <v>0</v>
      </c>
      <c r="AW62" s="2">
        <v>2</v>
      </c>
      <c r="AX62" s="2">
        <v>52286686</v>
      </c>
      <c r="AY62" s="2">
        <v>1</v>
      </c>
      <c r="AZ62" s="2">
        <v>0</v>
      </c>
      <c r="BA62" s="2">
        <v>60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CX62" s="2">
        <f>Y62*'Source (3)'!I190</f>
        <v>17.846399999999999</v>
      </c>
      <c r="CY62" s="2">
        <f t="shared" si="6"/>
        <v>1070.1199999999999</v>
      </c>
      <c r="CZ62" s="2">
        <f t="shared" si="7"/>
        <v>1070.1199999999999</v>
      </c>
      <c r="DA62" s="2">
        <f t="shared" si="8"/>
        <v>1</v>
      </c>
      <c r="DB62" s="2">
        <f>ROUND((ROUND(AT62*CZ62,2)*52),6)</f>
        <v>556.4</v>
      </c>
      <c r="DC62" s="2">
        <f>ROUND((ROUND(AT62*AG62,2)*52),6)</f>
        <v>173.16</v>
      </c>
    </row>
    <row r="63" spans="1:107" x14ac:dyDescent="0.25">
      <c r="A63" s="2">
        <f>ROW('Source (3)'!A190)</f>
        <v>190</v>
      </c>
      <c r="B63" s="2">
        <v>52286166</v>
      </c>
      <c r="C63" s="2">
        <v>52286683</v>
      </c>
      <c r="D63" s="2">
        <v>49679218</v>
      </c>
      <c r="E63" s="2">
        <v>1</v>
      </c>
      <c r="F63" s="2">
        <v>1</v>
      </c>
      <c r="G63" s="2">
        <v>29</v>
      </c>
      <c r="H63" s="2">
        <v>2</v>
      </c>
      <c r="I63" s="2" t="s">
        <v>87</v>
      </c>
      <c r="J63" s="2" t="s">
        <v>375</v>
      </c>
      <c r="K63" s="2" t="s">
        <v>88</v>
      </c>
      <c r="L63" s="2">
        <v>1368</v>
      </c>
      <c r="N63" s="2">
        <v>1011</v>
      </c>
      <c r="O63" s="2" t="s">
        <v>82</v>
      </c>
      <c r="P63" s="2" t="s">
        <v>82</v>
      </c>
      <c r="Q63" s="2">
        <v>1</v>
      </c>
      <c r="W63" s="2">
        <v>0</v>
      </c>
      <c r="X63" s="2">
        <v>-421523076</v>
      </c>
      <c r="Y63" s="2">
        <v>0.41599999999999998</v>
      </c>
      <c r="AA63" s="2">
        <v>0</v>
      </c>
      <c r="AB63" s="2">
        <v>1080.76</v>
      </c>
      <c r="AC63" s="2">
        <v>332.99</v>
      </c>
      <c r="AD63" s="2">
        <v>0</v>
      </c>
      <c r="AE63" s="2">
        <v>0</v>
      </c>
      <c r="AF63" s="2">
        <v>1080.76</v>
      </c>
      <c r="AG63" s="2">
        <v>332.99</v>
      </c>
      <c r="AH63" s="2">
        <v>0</v>
      </c>
      <c r="AI63" s="2">
        <v>1</v>
      </c>
      <c r="AJ63" s="2">
        <v>1</v>
      </c>
      <c r="AK63" s="2">
        <v>1</v>
      </c>
      <c r="AL63" s="2">
        <v>1</v>
      </c>
      <c r="AN63" s="2">
        <v>0</v>
      </c>
      <c r="AO63" s="2">
        <v>1</v>
      </c>
      <c r="AP63" s="2">
        <v>1</v>
      </c>
      <c r="AQ63" s="2">
        <v>0</v>
      </c>
      <c r="AR63" s="2">
        <v>0</v>
      </c>
      <c r="AS63" s="2" t="s">
        <v>30</v>
      </c>
      <c r="AT63" s="2">
        <v>8.0000000000000002E-3</v>
      </c>
      <c r="AU63" s="2" t="s">
        <v>207</v>
      </c>
      <c r="AV63" s="2">
        <v>0</v>
      </c>
      <c r="AW63" s="2">
        <v>2</v>
      </c>
      <c r="AX63" s="2">
        <v>52286687</v>
      </c>
      <c r="AY63" s="2">
        <v>1</v>
      </c>
      <c r="AZ63" s="2">
        <v>0</v>
      </c>
      <c r="BA63" s="2">
        <v>61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CX63" s="2">
        <f>Y63*'Source (3)'!I190</f>
        <v>14.27712</v>
      </c>
      <c r="CY63" s="2">
        <f t="shared" si="6"/>
        <v>1080.76</v>
      </c>
      <c r="CZ63" s="2">
        <f t="shared" si="7"/>
        <v>1080.76</v>
      </c>
      <c r="DA63" s="2">
        <f t="shared" si="8"/>
        <v>1</v>
      </c>
      <c r="DB63" s="2">
        <f>ROUND((ROUND(AT63*CZ63,2)*52),6)</f>
        <v>449.8</v>
      </c>
      <c r="DC63" s="2">
        <f>ROUND((ROUND(AT63*AG63,2)*52),6)</f>
        <v>138.32</v>
      </c>
    </row>
    <row r="64" spans="1:107" x14ac:dyDescent="0.25">
      <c r="A64" s="2">
        <f>ROW('Source (3)'!A191)</f>
        <v>191</v>
      </c>
      <c r="B64" s="2">
        <v>52286166</v>
      </c>
      <c r="C64" s="2">
        <v>52286688</v>
      </c>
      <c r="D64" s="2">
        <v>49677488</v>
      </c>
      <c r="E64" s="2">
        <v>29</v>
      </c>
      <c r="F64" s="2">
        <v>1</v>
      </c>
      <c r="G64" s="2">
        <v>29</v>
      </c>
      <c r="H64" s="2">
        <v>1</v>
      </c>
      <c r="I64" s="2" t="s">
        <v>359</v>
      </c>
      <c r="J64" s="2" t="s">
        <v>30</v>
      </c>
      <c r="K64" s="2" t="s">
        <v>360</v>
      </c>
      <c r="L64" s="2">
        <v>1191</v>
      </c>
      <c r="N64" s="2">
        <v>1013</v>
      </c>
      <c r="O64" s="2" t="s">
        <v>361</v>
      </c>
      <c r="P64" s="2" t="s">
        <v>361</v>
      </c>
      <c r="Q64" s="2">
        <v>1</v>
      </c>
      <c r="W64" s="2">
        <v>0</v>
      </c>
      <c r="X64" s="2">
        <v>476480486</v>
      </c>
      <c r="Y64" s="2">
        <v>1.59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1</v>
      </c>
      <c r="AJ64" s="2">
        <v>1</v>
      </c>
      <c r="AK64" s="2">
        <v>1</v>
      </c>
      <c r="AL64" s="2">
        <v>1</v>
      </c>
      <c r="AN64" s="2">
        <v>0</v>
      </c>
      <c r="AO64" s="2">
        <v>1</v>
      </c>
      <c r="AP64" s="2">
        <v>0</v>
      </c>
      <c r="AQ64" s="2">
        <v>0</v>
      </c>
      <c r="AR64" s="2">
        <v>0</v>
      </c>
      <c r="AS64" s="2" t="s">
        <v>30</v>
      </c>
      <c r="AT64" s="2">
        <v>1.59</v>
      </c>
      <c r="AU64" s="2" t="s">
        <v>30</v>
      </c>
      <c r="AV64" s="2">
        <v>1</v>
      </c>
      <c r="AW64" s="2">
        <v>2</v>
      </c>
      <c r="AX64" s="2">
        <v>52286692</v>
      </c>
      <c r="AY64" s="2">
        <v>1</v>
      </c>
      <c r="AZ64" s="2">
        <v>0</v>
      </c>
      <c r="BA64" s="2">
        <v>62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CX64" s="2">
        <f>Y64*'Source (3)'!I191</f>
        <v>0.50085000000000002</v>
      </c>
      <c r="CY64" s="2">
        <f>AD64</f>
        <v>0</v>
      </c>
      <c r="CZ64" s="2">
        <f>AH64</f>
        <v>0</v>
      </c>
      <c r="DA64" s="2">
        <f>AL64</f>
        <v>1</v>
      </c>
      <c r="DB64" s="2">
        <f t="shared" ref="DB64:DB72" si="9">ROUND(ROUND(AT64*CZ64,2),6)</f>
        <v>0</v>
      </c>
      <c r="DC64" s="2">
        <f t="shared" ref="DC64:DC72" si="10">ROUND(ROUND(AT64*AG64,2),6)</f>
        <v>0</v>
      </c>
    </row>
    <row r="65" spans="1:107" x14ac:dyDescent="0.25">
      <c r="A65" s="2">
        <f>ROW('Source (3)'!A191)</f>
        <v>191</v>
      </c>
      <c r="B65" s="2">
        <v>52286166</v>
      </c>
      <c r="C65" s="2">
        <v>52286688</v>
      </c>
      <c r="D65" s="2">
        <v>49678404</v>
      </c>
      <c r="E65" s="2">
        <v>1</v>
      </c>
      <c r="F65" s="2">
        <v>1</v>
      </c>
      <c r="G65" s="2">
        <v>29</v>
      </c>
      <c r="H65" s="2">
        <v>2</v>
      </c>
      <c r="I65" s="2" t="s">
        <v>144</v>
      </c>
      <c r="J65" s="2" t="s">
        <v>388</v>
      </c>
      <c r="K65" s="2" t="s">
        <v>145</v>
      </c>
      <c r="L65" s="2">
        <v>1368</v>
      </c>
      <c r="N65" s="2">
        <v>1011</v>
      </c>
      <c r="O65" s="2" t="s">
        <v>82</v>
      </c>
      <c r="P65" s="2" t="s">
        <v>82</v>
      </c>
      <c r="Q65" s="2">
        <v>1</v>
      </c>
      <c r="W65" s="2">
        <v>0</v>
      </c>
      <c r="X65" s="2">
        <v>-1971161913</v>
      </c>
      <c r="Y65" s="2">
        <v>4.9800000000000004</v>
      </c>
      <c r="AA65" s="2">
        <v>0</v>
      </c>
      <c r="AB65" s="2">
        <v>1571.99</v>
      </c>
      <c r="AC65" s="2">
        <v>595.20000000000005</v>
      </c>
      <c r="AD65" s="2">
        <v>0</v>
      </c>
      <c r="AE65" s="2">
        <v>0</v>
      </c>
      <c r="AF65" s="2">
        <v>1571.99</v>
      </c>
      <c r="AG65" s="2">
        <v>595.20000000000005</v>
      </c>
      <c r="AH65" s="2">
        <v>0</v>
      </c>
      <c r="AI65" s="2">
        <v>1</v>
      </c>
      <c r="AJ65" s="2">
        <v>1</v>
      </c>
      <c r="AK65" s="2">
        <v>1</v>
      </c>
      <c r="AL65" s="2">
        <v>1</v>
      </c>
      <c r="AN65" s="2">
        <v>0</v>
      </c>
      <c r="AO65" s="2">
        <v>1</v>
      </c>
      <c r="AP65" s="2">
        <v>0</v>
      </c>
      <c r="AQ65" s="2">
        <v>0</v>
      </c>
      <c r="AR65" s="2">
        <v>0</v>
      </c>
      <c r="AS65" s="2" t="s">
        <v>30</v>
      </c>
      <c r="AT65" s="2">
        <v>4.9800000000000004</v>
      </c>
      <c r="AU65" s="2" t="s">
        <v>30</v>
      </c>
      <c r="AV65" s="2">
        <v>0</v>
      </c>
      <c r="AW65" s="2">
        <v>2</v>
      </c>
      <c r="AX65" s="2">
        <v>52286693</v>
      </c>
      <c r="AY65" s="2">
        <v>1</v>
      </c>
      <c r="AZ65" s="2">
        <v>0</v>
      </c>
      <c r="BA65" s="2">
        <v>63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CX65" s="2">
        <f>Y65*'Source (3)'!I191</f>
        <v>1.5687</v>
      </c>
      <c r="CY65" s="2">
        <f>AB65</f>
        <v>1571.99</v>
      </c>
      <c r="CZ65" s="2">
        <f>AF65</f>
        <v>1571.99</v>
      </c>
      <c r="DA65" s="2">
        <f>AJ65</f>
        <v>1</v>
      </c>
      <c r="DB65" s="2">
        <f t="shared" si="9"/>
        <v>7828.51</v>
      </c>
      <c r="DC65" s="2">
        <f t="shared" si="10"/>
        <v>2964.1</v>
      </c>
    </row>
    <row r="66" spans="1:107" x14ac:dyDescent="0.25">
      <c r="A66" s="2">
        <f>ROW('Source (3)'!A191)</f>
        <v>191</v>
      </c>
      <c r="B66" s="2">
        <v>52286166</v>
      </c>
      <c r="C66" s="2">
        <v>52286688</v>
      </c>
      <c r="D66" s="2">
        <v>49678427</v>
      </c>
      <c r="E66" s="2">
        <v>1</v>
      </c>
      <c r="F66" s="2">
        <v>1</v>
      </c>
      <c r="G66" s="2">
        <v>29</v>
      </c>
      <c r="H66" s="2">
        <v>2</v>
      </c>
      <c r="I66" s="2" t="s">
        <v>148</v>
      </c>
      <c r="J66" s="2" t="s">
        <v>389</v>
      </c>
      <c r="K66" s="2" t="s">
        <v>149</v>
      </c>
      <c r="L66" s="2">
        <v>1368</v>
      </c>
      <c r="N66" s="2">
        <v>1011</v>
      </c>
      <c r="O66" s="2" t="s">
        <v>82</v>
      </c>
      <c r="P66" s="2" t="s">
        <v>82</v>
      </c>
      <c r="Q66" s="2">
        <v>1</v>
      </c>
      <c r="W66" s="2">
        <v>0</v>
      </c>
      <c r="X66" s="2">
        <v>-2084942903</v>
      </c>
      <c r="Y66" s="2">
        <v>1.25</v>
      </c>
      <c r="AA66" s="2">
        <v>0</v>
      </c>
      <c r="AB66" s="2">
        <v>1129.8900000000001</v>
      </c>
      <c r="AC66" s="2">
        <v>513.16999999999996</v>
      </c>
      <c r="AD66" s="2">
        <v>0</v>
      </c>
      <c r="AE66" s="2">
        <v>0</v>
      </c>
      <c r="AF66" s="2">
        <v>1129.8900000000001</v>
      </c>
      <c r="AG66" s="2">
        <v>513.16999999999996</v>
      </c>
      <c r="AH66" s="2">
        <v>0</v>
      </c>
      <c r="AI66" s="2">
        <v>1</v>
      </c>
      <c r="AJ66" s="2">
        <v>1</v>
      </c>
      <c r="AK66" s="2">
        <v>1</v>
      </c>
      <c r="AL66" s="2">
        <v>1</v>
      </c>
      <c r="AN66" s="2">
        <v>0</v>
      </c>
      <c r="AO66" s="2">
        <v>1</v>
      </c>
      <c r="AP66" s="2">
        <v>0</v>
      </c>
      <c r="AQ66" s="2">
        <v>0</v>
      </c>
      <c r="AR66" s="2">
        <v>0</v>
      </c>
      <c r="AS66" s="2" t="s">
        <v>30</v>
      </c>
      <c r="AT66" s="2">
        <v>1.25</v>
      </c>
      <c r="AU66" s="2" t="s">
        <v>30</v>
      </c>
      <c r="AV66" s="2">
        <v>0</v>
      </c>
      <c r="AW66" s="2">
        <v>2</v>
      </c>
      <c r="AX66" s="2">
        <v>52286694</v>
      </c>
      <c r="AY66" s="2">
        <v>1</v>
      </c>
      <c r="AZ66" s="2">
        <v>0</v>
      </c>
      <c r="BA66" s="2">
        <v>64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CX66" s="2">
        <f>Y66*'Source (3)'!I191</f>
        <v>0.39374999999999999</v>
      </c>
      <c r="CY66" s="2">
        <f>AB66</f>
        <v>1129.8900000000001</v>
      </c>
      <c r="CZ66" s="2">
        <f>AF66</f>
        <v>1129.8900000000001</v>
      </c>
      <c r="DA66" s="2">
        <f>AJ66</f>
        <v>1</v>
      </c>
      <c r="DB66" s="2">
        <f t="shared" si="9"/>
        <v>1412.36</v>
      </c>
      <c r="DC66" s="2">
        <f t="shared" si="10"/>
        <v>641.46</v>
      </c>
    </row>
    <row r="67" spans="1:107" x14ac:dyDescent="0.25">
      <c r="A67" s="2">
        <f>ROW('Source (3)'!A192)</f>
        <v>192</v>
      </c>
      <c r="B67" s="2">
        <v>52286166</v>
      </c>
      <c r="C67" s="2">
        <v>52286695</v>
      </c>
      <c r="D67" s="2">
        <v>49677488</v>
      </c>
      <c r="E67" s="2">
        <v>29</v>
      </c>
      <c r="F67" s="2">
        <v>1</v>
      </c>
      <c r="G67" s="2">
        <v>29</v>
      </c>
      <c r="H67" s="2">
        <v>1</v>
      </c>
      <c r="I67" s="2" t="s">
        <v>359</v>
      </c>
      <c r="J67" s="2" t="s">
        <v>30</v>
      </c>
      <c r="K67" s="2" t="s">
        <v>360</v>
      </c>
      <c r="L67" s="2">
        <v>1191</v>
      </c>
      <c r="N67" s="2">
        <v>1013</v>
      </c>
      <c r="O67" s="2" t="s">
        <v>361</v>
      </c>
      <c r="P67" s="2" t="s">
        <v>361</v>
      </c>
      <c r="Q67" s="2">
        <v>1</v>
      </c>
      <c r="W67" s="2">
        <v>0</v>
      </c>
      <c r="X67" s="2">
        <v>476480486</v>
      </c>
      <c r="Y67" s="2">
        <v>221.6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1</v>
      </c>
      <c r="AJ67" s="2">
        <v>1</v>
      </c>
      <c r="AK67" s="2">
        <v>1</v>
      </c>
      <c r="AL67" s="2">
        <v>1</v>
      </c>
      <c r="AN67" s="2">
        <v>0</v>
      </c>
      <c r="AO67" s="2">
        <v>1</v>
      </c>
      <c r="AP67" s="2">
        <v>0</v>
      </c>
      <c r="AQ67" s="2">
        <v>0</v>
      </c>
      <c r="AR67" s="2">
        <v>0</v>
      </c>
      <c r="AS67" s="2" t="s">
        <v>30</v>
      </c>
      <c r="AT67" s="2">
        <v>221.6</v>
      </c>
      <c r="AU67" s="2" t="s">
        <v>30</v>
      </c>
      <c r="AV67" s="2">
        <v>1</v>
      </c>
      <c r="AW67" s="2">
        <v>2</v>
      </c>
      <c r="AX67" s="2">
        <v>52286697</v>
      </c>
      <c r="AY67" s="2">
        <v>1</v>
      </c>
      <c r="AZ67" s="2">
        <v>0</v>
      </c>
      <c r="BA67" s="2">
        <v>65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CX67" s="2">
        <f>Y67*'Source (3)'!I192</f>
        <v>7.7560000000000002</v>
      </c>
      <c r="CY67" s="2">
        <f>AD67</f>
        <v>0</v>
      </c>
      <c r="CZ67" s="2">
        <f>AH67</f>
        <v>0</v>
      </c>
      <c r="DA67" s="2">
        <f>AL67</f>
        <v>1</v>
      </c>
      <c r="DB67" s="2">
        <f t="shared" si="9"/>
        <v>0</v>
      </c>
      <c r="DC67" s="2">
        <f t="shared" si="10"/>
        <v>0</v>
      </c>
    </row>
    <row r="68" spans="1:107" x14ac:dyDescent="0.25">
      <c r="A68" s="2">
        <f>ROW('Source (3)'!A193)</f>
        <v>193</v>
      </c>
      <c r="B68" s="2">
        <v>52286166</v>
      </c>
      <c r="C68" s="2">
        <v>52286698</v>
      </c>
      <c r="D68" s="2">
        <v>49677488</v>
      </c>
      <c r="E68" s="2">
        <v>29</v>
      </c>
      <c r="F68" s="2">
        <v>1</v>
      </c>
      <c r="G68" s="2">
        <v>29</v>
      </c>
      <c r="H68" s="2">
        <v>1</v>
      </c>
      <c r="I68" s="2" t="s">
        <v>359</v>
      </c>
      <c r="J68" s="2" t="s">
        <v>30</v>
      </c>
      <c r="K68" s="2" t="s">
        <v>360</v>
      </c>
      <c r="L68" s="2">
        <v>1191</v>
      </c>
      <c r="N68" s="2">
        <v>1013</v>
      </c>
      <c r="O68" s="2" t="s">
        <v>361</v>
      </c>
      <c r="P68" s="2" t="s">
        <v>361</v>
      </c>
      <c r="Q68" s="2">
        <v>1</v>
      </c>
      <c r="W68" s="2">
        <v>0</v>
      </c>
      <c r="X68" s="2">
        <v>476480486</v>
      </c>
      <c r="Y68" s="2">
        <v>1.59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1</v>
      </c>
      <c r="AJ68" s="2">
        <v>1</v>
      </c>
      <c r="AK68" s="2">
        <v>1</v>
      </c>
      <c r="AL68" s="2">
        <v>1</v>
      </c>
      <c r="AN68" s="2">
        <v>0</v>
      </c>
      <c r="AO68" s="2">
        <v>1</v>
      </c>
      <c r="AP68" s="2">
        <v>0</v>
      </c>
      <c r="AQ68" s="2">
        <v>0</v>
      </c>
      <c r="AR68" s="2">
        <v>0</v>
      </c>
      <c r="AS68" s="2" t="s">
        <v>30</v>
      </c>
      <c r="AT68" s="2">
        <v>1.59</v>
      </c>
      <c r="AU68" s="2" t="s">
        <v>30</v>
      </c>
      <c r="AV68" s="2">
        <v>1</v>
      </c>
      <c r="AW68" s="2">
        <v>2</v>
      </c>
      <c r="AX68" s="2">
        <v>52286702</v>
      </c>
      <c r="AY68" s="2">
        <v>1</v>
      </c>
      <c r="AZ68" s="2">
        <v>0</v>
      </c>
      <c r="BA68" s="2">
        <v>66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CX68" s="2">
        <f>Y68*'Source (3)'!I193</f>
        <v>5.0084999999999998E-2</v>
      </c>
      <c r="CY68" s="2">
        <f>AD68</f>
        <v>0</v>
      </c>
      <c r="CZ68" s="2">
        <f>AH68</f>
        <v>0</v>
      </c>
      <c r="DA68" s="2">
        <f>AL68</f>
        <v>1</v>
      </c>
      <c r="DB68" s="2">
        <f t="shared" si="9"/>
        <v>0</v>
      </c>
      <c r="DC68" s="2">
        <f t="shared" si="10"/>
        <v>0</v>
      </c>
    </row>
    <row r="69" spans="1:107" x14ac:dyDescent="0.25">
      <c r="A69" s="2">
        <f>ROW('Source (3)'!A193)</f>
        <v>193</v>
      </c>
      <c r="B69" s="2">
        <v>52286166</v>
      </c>
      <c r="C69" s="2">
        <v>52286698</v>
      </c>
      <c r="D69" s="2">
        <v>49678404</v>
      </c>
      <c r="E69" s="2">
        <v>1</v>
      </c>
      <c r="F69" s="2">
        <v>1</v>
      </c>
      <c r="G69" s="2">
        <v>29</v>
      </c>
      <c r="H69" s="2">
        <v>2</v>
      </c>
      <c r="I69" s="2" t="s">
        <v>144</v>
      </c>
      <c r="J69" s="2" t="s">
        <v>388</v>
      </c>
      <c r="K69" s="2" t="s">
        <v>145</v>
      </c>
      <c r="L69" s="2">
        <v>1368</v>
      </c>
      <c r="N69" s="2">
        <v>1011</v>
      </c>
      <c r="O69" s="2" t="s">
        <v>82</v>
      </c>
      <c r="P69" s="2" t="s">
        <v>82</v>
      </c>
      <c r="Q69" s="2">
        <v>1</v>
      </c>
      <c r="W69" s="2">
        <v>0</v>
      </c>
      <c r="X69" s="2">
        <v>-1971161913</v>
      </c>
      <c r="Y69" s="2">
        <v>4.9800000000000004</v>
      </c>
      <c r="AA69" s="2">
        <v>0</v>
      </c>
      <c r="AB69" s="2">
        <v>1571.99</v>
      </c>
      <c r="AC69" s="2">
        <v>595.20000000000005</v>
      </c>
      <c r="AD69" s="2">
        <v>0</v>
      </c>
      <c r="AE69" s="2">
        <v>0</v>
      </c>
      <c r="AF69" s="2">
        <v>1571.99</v>
      </c>
      <c r="AG69" s="2">
        <v>595.20000000000005</v>
      </c>
      <c r="AH69" s="2">
        <v>0</v>
      </c>
      <c r="AI69" s="2">
        <v>1</v>
      </c>
      <c r="AJ69" s="2">
        <v>1</v>
      </c>
      <c r="AK69" s="2">
        <v>1</v>
      </c>
      <c r="AL69" s="2">
        <v>1</v>
      </c>
      <c r="AN69" s="2">
        <v>0</v>
      </c>
      <c r="AO69" s="2">
        <v>1</v>
      </c>
      <c r="AP69" s="2">
        <v>0</v>
      </c>
      <c r="AQ69" s="2">
        <v>0</v>
      </c>
      <c r="AR69" s="2">
        <v>0</v>
      </c>
      <c r="AS69" s="2" t="s">
        <v>30</v>
      </c>
      <c r="AT69" s="2">
        <v>4.9800000000000004</v>
      </c>
      <c r="AU69" s="2" t="s">
        <v>30</v>
      </c>
      <c r="AV69" s="2">
        <v>0</v>
      </c>
      <c r="AW69" s="2">
        <v>2</v>
      </c>
      <c r="AX69" s="2">
        <v>52286703</v>
      </c>
      <c r="AY69" s="2">
        <v>1</v>
      </c>
      <c r="AZ69" s="2">
        <v>0</v>
      </c>
      <c r="BA69" s="2">
        <v>67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CX69" s="2">
        <f>Y69*'Source (3)'!I193</f>
        <v>0.15687000000000001</v>
      </c>
      <c r="CY69" s="2">
        <f>AB69</f>
        <v>1571.99</v>
      </c>
      <c r="CZ69" s="2">
        <f>AF69</f>
        <v>1571.99</v>
      </c>
      <c r="DA69" s="2">
        <f>AJ69</f>
        <v>1</v>
      </c>
      <c r="DB69" s="2">
        <f t="shared" si="9"/>
        <v>7828.51</v>
      </c>
      <c r="DC69" s="2">
        <f t="shared" si="10"/>
        <v>2964.1</v>
      </c>
    </row>
    <row r="70" spans="1:107" x14ac:dyDescent="0.25">
      <c r="A70" s="2">
        <f>ROW('Source (3)'!A193)</f>
        <v>193</v>
      </c>
      <c r="B70" s="2">
        <v>52286166</v>
      </c>
      <c r="C70" s="2">
        <v>52286698</v>
      </c>
      <c r="D70" s="2">
        <v>49678427</v>
      </c>
      <c r="E70" s="2">
        <v>1</v>
      </c>
      <c r="F70" s="2">
        <v>1</v>
      </c>
      <c r="G70" s="2">
        <v>29</v>
      </c>
      <c r="H70" s="2">
        <v>2</v>
      </c>
      <c r="I70" s="2" t="s">
        <v>148</v>
      </c>
      <c r="J70" s="2" t="s">
        <v>389</v>
      </c>
      <c r="K70" s="2" t="s">
        <v>149</v>
      </c>
      <c r="L70" s="2">
        <v>1368</v>
      </c>
      <c r="N70" s="2">
        <v>1011</v>
      </c>
      <c r="O70" s="2" t="s">
        <v>82</v>
      </c>
      <c r="P70" s="2" t="s">
        <v>82</v>
      </c>
      <c r="Q70" s="2">
        <v>1</v>
      </c>
      <c r="W70" s="2">
        <v>0</v>
      </c>
      <c r="X70" s="2">
        <v>-2084942903</v>
      </c>
      <c r="Y70" s="2">
        <v>1.25</v>
      </c>
      <c r="AA70" s="2">
        <v>0</v>
      </c>
      <c r="AB70" s="2">
        <v>1129.8900000000001</v>
      </c>
      <c r="AC70" s="2">
        <v>513.16999999999996</v>
      </c>
      <c r="AD70" s="2">
        <v>0</v>
      </c>
      <c r="AE70" s="2">
        <v>0</v>
      </c>
      <c r="AF70" s="2">
        <v>1129.8900000000001</v>
      </c>
      <c r="AG70" s="2">
        <v>513.16999999999996</v>
      </c>
      <c r="AH70" s="2">
        <v>0</v>
      </c>
      <c r="AI70" s="2">
        <v>1</v>
      </c>
      <c r="AJ70" s="2">
        <v>1</v>
      </c>
      <c r="AK70" s="2">
        <v>1</v>
      </c>
      <c r="AL70" s="2">
        <v>1</v>
      </c>
      <c r="AN70" s="2">
        <v>0</v>
      </c>
      <c r="AO70" s="2">
        <v>1</v>
      </c>
      <c r="AP70" s="2">
        <v>0</v>
      </c>
      <c r="AQ70" s="2">
        <v>0</v>
      </c>
      <c r="AR70" s="2">
        <v>0</v>
      </c>
      <c r="AS70" s="2" t="s">
        <v>30</v>
      </c>
      <c r="AT70" s="2">
        <v>1.25</v>
      </c>
      <c r="AU70" s="2" t="s">
        <v>30</v>
      </c>
      <c r="AV70" s="2">
        <v>0</v>
      </c>
      <c r="AW70" s="2">
        <v>2</v>
      </c>
      <c r="AX70" s="2">
        <v>52286704</v>
      </c>
      <c r="AY70" s="2">
        <v>1</v>
      </c>
      <c r="AZ70" s="2">
        <v>0</v>
      </c>
      <c r="BA70" s="2">
        <v>68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CX70" s="2">
        <f>Y70*'Source (3)'!I193</f>
        <v>3.9375E-2</v>
      </c>
      <c r="CY70" s="2">
        <f>AB70</f>
        <v>1129.8900000000001</v>
      </c>
      <c r="CZ70" s="2">
        <f>AF70</f>
        <v>1129.8900000000001</v>
      </c>
      <c r="DA70" s="2">
        <f>AJ70</f>
        <v>1</v>
      </c>
      <c r="DB70" s="2">
        <f t="shared" si="9"/>
        <v>1412.36</v>
      </c>
      <c r="DC70" s="2">
        <f t="shared" si="10"/>
        <v>641.46</v>
      </c>
    </row>
    <row r="71" spans="1:107" x14ac:dyDescent="0.25">
      <c r="A71" s="2">
        <f>ROW('Source (3)'!A194)</f>
        <v>194</v>
      </c>
      <c r="B71" s="2">
        <v>52286166</v>
      </c>
      <c r="C71" s="2">
        <v>52286705</v>
      </c>
      <c r="D71" s="2">
        <v>49677488</v>
      </c>
      <c r="E71" s="2">
        <v>29</v>
      </c>
      <c r="F71" s="2">
        <v>1</v>
      </c>
      <c r="G71" s="2">
        <v>29</v>
      </c>
      <c r="H71" s="2">
        <v>1</v>
      </c>
      <c r="I71" s="2" t="s">
        <v>359</v>
      </c>
      <c r="J71" s="2" t="s">
        <v>30</v>
      </c>
      <c r="K71" s="2" t="s">
        <v>360</v>
      </c>
      <c r="L71" s="2">
        <v>1191</v>
      </c>
      <c r="N71" s="2">
        <v>1013</v>
      </c>
      <c r="O71" s="2" t="s">
        <v>361</v>
      </c>
      <c r="P71" s="2" t="s">
        <v>361</v>
      </c>
      <c r="Q71" s="2">
        <v>1</v>
      </c>
      <c r="W71" s="2">
        <v>0</v>
      </c>
      <c r="X71" s="2">
        <v>476480486</v>
      </c>
      <c r="Y71" s="2">
        <v>83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1</v>
      </c>
      <c r="AJ71" s="2">
        <v>1</v>
      </c>
      <c r="AK71" s="2">
        <v>1</v>
      </c>
      <c r="AL71" s="2">
        <v>1</v>
      </c>
      <c r="AN71" s="2">
        <v>0</v>
      </c>
      <c r="AO71" s="2">
        <v>1</v>
      </c>
      <c r="AP71" s="2">
        <v>0</v>
      </c>
      <c r="AQ71" s="2">
        <v>0</v>
      </c>
      <c r="AR71" s="2">
        <v>0</v>
      </c>
      <c r="AS71" s="2" t="s">
        <v>30</v>
      </c>
      <c r="AT71" s="2">
        <v>83</v>
      </c>
      <c r="AU71" s="2" t="s">
        <v>30</v>
      </c>
      <c r="AV71" s="2">
        <v>1</v>
      </c>
      <c r="AW71" s="2">
        <v>2</v>
      </c>
      <c r="AX71" s="2">
        <v>52286707</v>
      </c>
      <c r="AY71" s="2">
        <v>1</v>
      </c>
      <c r="AZ71" s="2">
        <v>0</v>
      </c>
      <c r="BA71" s="2">
        <v>69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CX71" s="2">
        <f>Y71*'Source (3)'!I194</f>
        <v>0.29049999999999998</v>
      </c>
      <c r="CY71" s="2">
        <f>AD71</f>
        <v>0</v>
      </c>
      <c r="CZ71" s="2">
        <f>AH71</f>
        <v>0</v>
      </c>
      <c r="DA71" s="2">
        <f>AL71</f>
        <v>1</v>
      </c>
      <c r="DB71" s="2">
        <f t="shared" si="9"/>
        <v>0</v>
      </c>
      <c r="DC71" s="2">
        <f t="shared" si="10"/>
        <v>0</v>
      </c>
    </row>
    <row r="72" spans="1:107" x14ac:dyDescent="0.25">
      <c r="A72" s="2">
        <f>ROW('Source (3)'!A195)</f>
        <v>195</v>
      </c>
      <c r="B72" s="2">
        <v>52286166</v>
      </c>
      <c r="C72" s="2">
        <v>52286708</v>
      </c>
      <c r="D72" s="2">
        <v>49679218</v>
      </c>
      <c r="E72" s="2">
        <v>1</v>
      </c>
      <c r="F72" s="2">
        <v>1</v>
      </c>
      <c r="G72" s="2">
        <v>29</v>
      </c>
      <c r="H72" s="2">
        <v>2</v>
      </c>
      <c r="I72" s="2" t="s">
        <v>87</v>
      </c>
      <c r="J72" s="2" t="s">
        <v>375</v>
      </c>
      <c r="K72" s="2" t="s">
        <v>88</v>
      </c>
      <c r="L72" s="2">
        <v>1368</v>
      </c>
      <c r="N72" s="2">
        <v>1011</v>
      </c>
      <c r="O72" s="2" t="s">
        <v>82</v>
      </c>
      <c r="P72" s="2" t="s">
        <v>82</v>
      </c>
      <c r="Q72" s="2">
        <v>1</v>
      </c>
      <c r="W72" s="2">
        <v>0</v>
      </c>
      <c r="X72" s="2">
        <v>-421523076</v>
      </c>
      <c r="Y72" s="2">
        <v>3.1E-2</v>
      </c>
      <c r="AA72" s="2">
        <v>0</v>
      </c>
      <c r="AB72" s="2">
        <v>1080.76</v>
      </c>
      <c r="AC72" s="2">
        <v>332.99</v>
      </c>
      <c r="AD72" s="2">
        <v>0</v>
      </c>
      <c r="AE72" s="2">
        <v>0</v>
      </c>
      <c r="AF72" s="2">
        <v>1080.76</v>
      </c>
      <c r="AG72" s="2">
        <v>332.99</v>
      </c>
      <c r="AH72" s="2">
        <v>0</v>
      </c>
      <c r="AI72" s="2">
        <v>1</v>
      </c>
      <c r="AJ72" s="2">
        <v>1</v>
      </c>
      <c r="AK72" s="2">
        <v>1</v>
      </c>
      <c r="AL72" s="2">
        <v>1</v>
      </c>
      <c r="AN72" s="2">
        <v>0</v>
      </c>
      <c r="AO72" s="2">
        <v>1</v>
      </c>
      <c r="AP72" s="2">
        <v>0</v>
      </c>
      <c r="AQ72" s="2">
        <v>0</v>
      </c>
      <c r="AR72" s="2">
        <v>0</v>
      </c>
      <c r="AS72" s="2" t="s">
        <v>30</v>
      </c>
      <c r="AT72" s="2">
        <v>3.1E-2</v>
      </c>
      <c r="AU72" s="2" t="s">
        <v>30</v>
      </c>
      <c r="AV72" s="2">
        <v>0</v>
      </c>
      <c r="AW72" s="2">
        <v>2</v>
      </c>
      <c r="AX72" s="2">
        <v>52286710</v>
      </c>
      <c r="AY72" s="2">
        <v>1</v>
      </c>
      <c r="AZ72" s="2">
        <v>0</v>
      </c>
      <c r="BA72" s="2">
        <v>70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CX72" s="2">
        <f>Y72*'Source (3)'!I195</f>
        <v>1.085</v>
      </c>
      <c r="CY72" s="2">
        <f>AB72</f>
        <v>1080.76</v>
      </c>
      <c r="CZ72" s="2">
        <f>AF72</f>
        <v>1080.76</v>
      </c>
      <c r="DA72" s="2">
        <f>AJ72</f>
        <v>1</v>
      </c>
      <c r="DB72" s="2">
        <f t="shared" si="9"/>
        <v>33.5</v>
      </c>
      <c r="DC72" s="2">
        <f t="shared" si="10"/>
        <v>10.32</v>
      </c>
    </row>
    <row r="73" spans="1:107" x14ac:dyDescent="0.25">
      <c r="A73" s="2">
        <f>ROW('Source (3)'!A196)</f>
        <v>196</v>
      </c>
      <c r="B73" s="2">
        <v>52286166</v>
      </c>
      <c r="C73" s="2">
        <v>52286711</v>
      </c>
      <c r="D73" s="2">
        <v>49679218</v>
      </c>
      <c r="E73" s="2">
        <v>1</v>
      </c>
      <c r="F73" s="2">
        <v>1</v>
      </c>
      <c r="G73" s="2">
        <v>29</v>
      </c>
      <c r="H73" s="2">
        <v>2</v>
      </c>
      <c r="I73" s="2" t="s">
        <v>87</v>
      </c>
      <c r="J73" s="2" t="s">
        <v>375</v>
      </c>
      <c r="K73" s="2" t="s">
        <v>88</v>
      </c>
      <c r="L73" s="2">
        <v>1368</v>
      </c>
      <c r="N73" s="2">
        <v>1011</v>
      </c>
      <c r="O73" s="2" t="s">
        <v>82</v>
      </c>
      <c r="P73" s="2" t="s">
        <v>82</v>
      </c>
      <c r="Q73" s="2">
        <v>1</v>
      </c>
      <c r="W73" s="2">
        <v>0</v>
      </c>
      <c r="X73" s="2">
        <v>-421523076</v>
      </c>
      <c r="Y73" s="2">
        <v>0.52</v>
      </c>
      <c r="AA73" s="2">
        <v>0</v>
      </c>
      <c r="AB73" s="2">
        <v>1080.76</v>
      </c>
      <c r="AC73" s="2">
        <v>332.99</v>
      </c>
      <c r="AD73" s="2">
        <v>0</v>
      </c>
      <c r="AE73" s="2">
        <v>0</v>
      </c>
      <c r="AF73" s="2">
        <v>1080.76</v>
      </c>
      <c r="AG73" s="2">
        <v>332.99</v>
      </c>
      <c r="AH73" s="2">
        <v>0</v>
      </c>
      <c r="AI73" s="2">
        <v>1</v>
      </c>
      <c r="AJ73" s="2">
        <v>1</v>
      </c>
      <c r="AK73" s="2">
        <v>1</v>
      </c>
      <c r="AL73" s="2">
        <v>1</v>
      </c>
      <c r="AN73" s="2">
        <v>0</v>
      </c>
      <c r="AO73" s="2">
        <v>1</v>
      </c>
      <c r="AP73" s="2">
        <v>1</v>
      </c>
      <c r="AQ73" s="2">
        <v>0</v>
      </c>
      <c r="AR73" s="2">
        <v>0</v>
      </c>
      <c r="AS73" s="2" t="s">
        <v>30</v>
      </c>
      <c r="AT73" s="2">
        <v>0.01</v>
      </c>
      <c r="AU73" s="2" t="s">
        <v>207</v>
      </c>
      <c r="AV73" s="2">
        <v>0</v>
      </c>
      <c r="AW73" s="2">
        <v>2</v>
      </c>
      <c r="AX73" s="2">
        <v>52286713</v>
      </c>
      <c r="AY73" s="2">
        <v>1</v>
      </c>
      <c r="AZ73" s="2">
        <v>0</v>
      </c>
      <c r="BA73" s="2">
        <v>71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CX73" s="2">
        <f>Y73*'Source (3)'!I196</f>
        <v>18.2</v>
      </c>
      <c r="CY73" s="2">
        <f>AB73</f>
        <v>1080.76</v>
      </c>
      <c r="CZ73" s="2">
        <f>AF73</f>
        <v>1080.76</v>
      </c>
      <c r="DA73" s="2">
        <f>AJ73</f>
        <v>1</v>
      </c>
      <c r="DB73" s="2">
        <f>ROUND((ROUND(AT73*CZ73,2)*52),6)</f>
        <v>562.12</v>
      </c>
      <c r="DC73" s="2">
        <f>ROUND((ROUND(AT73*AG73,2)*52),6)</f>
        <v>173.16</v>
      </c>
    </row>
    <row r="74" spans="1:107" x14ac:dyDescent="0.25">
      <c r="A74" s="2">
        <f>ROW('Source (3)'!A197)</f>
        <v>197</v>
      </c>
      <c r="B74" s="2">
        <v>52286166</v>
      </c>
      <c r="C74" s="2">
        <v>52286714</v>
      </c>
      <c r="D74" s="2">
        <v>49677488</v>
      </c>
      <c r="E74" s="2">
        <v>29</v>
      </c>
      <c r="F74" s="2">
        <v>1</v>
      </c>
      <c r="G74" s="2">
        <v>29</v>
      </c>
      <c r="H74" s="2">
        <v>1</v>
      </c>
      <c r="I74" s="2" t="s">
        <v>359</v>
      </c>
      <c r="J74" s="2" t="s">
        <v>30</v>
      </c>
      <c r="K74" s="2" t="s">
        <v>360</v>
      </c>
      <c r="L74" s="2">
        <v>1191</v>
      </c>
      <c r="N74" s="2">
        <v>1013</v>
      </c>
      <c r="O74" s="2" t="s">
        <v>361</v>
      </c>
      <c r="P74" s="2" t="s">
        <v>361</v>
      </c>
      <c r="Q74" s="2">
        <v>1</v>
      </c>
      <c r="W74" s="2">
        <v>0</v>
      </c>
      <c r="X74" s="2">
        <v>476480486</v>
      </c>
      <c r="Y74" s="2">
        <v>16.559999999999999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1</v>
      </c>
      <c r="AJ74" s="2">
        <v>1</v>
      </c>
      <c r="AK74" s="2">
        <v>1</v>
      </c>
      <c r="AL74" s="2">
        <v>1</v>
      </c>
      <c r="AN74" s="2">
        <v>0</v>
      </c>
      <c r="AO74" s="2">
        <v>1</v>
      </c>
      <c r="AP74" s="2">
        <v>0</v>
      </c>
      <c r="AQ74" s="2">
        <v>0</v>
      </c>
      <c r="AR74" s="2">
        <v>0</v>
      </c>
      <c r="AS74" s="2" t="s">
        <v>30</v>
      </c>
      <c r="AT74" s="2">
        <v>16.559999999999999</v>
      </c>
      <c r="AU74" s="2" t="s">
        <v>30</v>
      </c>
      <c r="AV74" s="2">
        <v>1</v>
      </c>
      <c r="AW74" s="2">
        <v>2</v>
      </c>
      <c r="AX74" s="2">
        <v>52286723</v>
      </c>
      <c r="AY74" s="2">
        <v>1</v>
      </c>
      <c r="AZ74" s="2">
        <v>0</v>
      </c>
      <c r="BA74" s="2">
        <v>72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CX74" s="2">
        <f>Y74*'Source (3)'!I197</f>
        <v>3.3948</v>
      </c>
      <c r="CY74" s="2">
        <f>AD74</f>
        <v>0</v>
      </c>
      <c r="CZ74" s="2">
        <f>AH74</f>
        <v>0</v>
      </c>
      <c r="DA74" s="2">
        <f>AL74</f>
        <v>1</v>
      </c>
      <c r="DB74" s="2">
        <f t="shared" ref="DB74:DB114" si="11">ROUND(ROUND(AT74*CZ74,2),6)</f>
        <v>0</v>
      </c>
      <c r="DC74" s="2">
        <f t="shared" ref="DC74:DC114" si="12">ROUND(ROUND(AT74*AG74,2),6)</f>
        <v>0</v>
      </c>
    </row>
    <row r="75" spans="1:107" x14ac:dyDescent="0.25">
      <c r="A75" s="2">
        <f>ROW('Source (3)'!A197)</f>
        <v>197</v>
      </c>
      <c r="B75" s="2">
        <v>52286166</v>
      </c>
      <c r="C75" s="2">
        <v>52286714</v>
      </c>
      <c r="D75" s="2">
        <v>49678449</v>
      </c>
      <c r="E75" s="2">
        <v>1</v>
      </c>
      <c r="F75" s="2">
        <v>1</v>
      </c>
      <c r="G75" s="2">
        <v>29</v>
      </c>
      <c r="H75" s="2">
        <v>2</v>
      </c>
      <c r="I75" s="2" t="s">
        <v>89</v>
      </c>
      <c r="J75" s="2" t="s">
        <v>369</v>
      </c>
      <c r="K75" s="2" t="s">
        <v>90</v>
      </c>
      <c r="L75" s="2">
        <v>1368</v>
      </c>
      <c r="N75" s="2">
        <v>1011</v>
      </c>
      <c r="O75" s="2" t="s">
        <v>82</v>
      </c>
      <c r="P75" s="2" t="s">
        <v>82</v>
      </c>
      <c r="Q75" s="2">
        <v>1</v>
      </c>
      <c r="W75" s="2">
        <v>0</v>
      </c>
      <c r="X75" s="2">
        <v>-1395457639</v>
      </c>
      <c r="Y75" s="2">
        <v>2.08</v>
      </c>
      <c r="AA75" s="2">
        <v>0</v>
      </c>
      <c r="AB75" s="2">
        <v>780.77</v>
      </c>
      <c r="AC75" s="2">
        <v>433.88</v>
      </c>
      <c r="AD75" s="2">
        <v>0</v>
      </c>
      <c r="AE75" s="2">
        <v>0</v>
      </c>
      <c r="AF75" s="2">
        <v>780.77</v>
      </c>
      <c r="AG75" s="2">
        <v>433.88</v>
      </c>
      <c r="AH75" s="2">
        <v>0</v>
      </c>
      <c r="AI75" s="2">
        <v>1</v>
      </c>
      <c r="AJ75" s="2">
        <v>1</v>
      </c>
      <c r="AK75" s="2">
        <v>1</v>
      </c>
      <c r="AL75" s="2">
        <v>1</v>
      </c>
      <c r="AN75" s="2">
        <v>0</v>
      </c>
      <c r="AO75" s="2">
        <v>1</v>
      </c>
      <c r="AP75" s="2">
        <v>0</v>
      </c>
      <c r="AQ75" s="2">
        <v>0</v>
      </c>
      <c r="AR75" s="2">
        <v>0</v>
      </c>
      <c r="AS75" s="2" t="s">
        <v>30</v>
      </c>
      <c r="AT75" s="2">
        <v>2.08</v>
      </c>
      <c r="AU75" s="2" t="s">
        <v>30</v>
      </c>
      <c r="AV75" s="2">
        <v>0</v>
      </c>
      <c r="AW75" s="2">
        <v>2</v>
      </c>
      <c r="AX75" s="2">
        <v>52286724</v>
      </c>
      <c r="AY75" s="2">
        <v>1</v>
      </c>
      <c r="AZ75" s="2">
        <v>0</v>
      </c>
      <c r="BA75" s="2">
        <v>73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CX75" s="2">
        <f>Y75*'Source (3)'!I197</f>
        <v>0.4264</v>
      </c>
      <c r="CY75" s="2">
        <f>AB75</f>
        <v>780.77</v>
      </c>
      <c r="CZ75" s="2">
        <f>AF75</f>
        <v>780.77</v>
      </c>
      <c r="DA75" s="2">
        <f>AJ75</f>
        <v>1</v>
      </c>
      <c r="DB75" s="2">
        <f t="shared" si="11"/>
        <v>1624</v>
      </c>
      <c r="DC75" s="2">
        <f t="shared" si="12"/>
        <v>902.47</v>
      </c>
    </row>
    <row r="76" spans="1:107" x14ac:dyDescent="0.25">
      <c r="A76" s="2">
        <f>ROW('Source (3)'!A197)</f>
        <v>197</v>
      </c>
      <c r="B76" s="2">
        <v>52286166</v>
      </c>
      <c r="C76" s="2">
        <v>52286714</v>
      </c>
      <c r="D76" s="2">
        <v>49678606</v>
      </c>
      <c r="E76" s="2">
        <v>1</v>
      </c>
      <c r="F76" s="2">
        <v>1</v>
      </c>
      <c r="G76" s="2">
        <v>29</v>
      </c>
      <c r="H76" s="2">
        <v>2</v>
      </c>
      <c r="I76" s="2" t="s">
        <v>150</v>
      </c>
      <c r="J76" s="2" t="s">
        <v>390</v>
      </c>
      <c r="K76" s="2" t="s">
        <v>151</v>
      </c>
      <c r="L76" s="2">
        <v>1368</v>
      </c>
      <c r="N76" s="2">
        <v>1011</v>
      </c>
      <c r="O76" s="2" t="s">
        <v>82</v>
      </c>
      <c r="P76" s="2" t="s">
        <v>82</v>
      </c>
      <c r="Q76" s="2">
        <v>1</v>
      </c>
      <c r="W76" s="2">
        <v>0</v>
      </c>
      <c r="X76" s="2">
        <v>-2041200803</v>
      </c>
      <c r="Y76" s="2">
        <v>2.08</v>
      </c>
      <c r="AA76" s="2">
        <v>0</v>
      </c>
      <c r="AB76" s="2">
        <v>445.81</v>
      </c>
      <c r="AC76" s="2">
        <v>226.08</v>
      </c>
      <c r="AD76" s="2">
        <v>0</v>
      </c>
      <c r="AE76" s="2">
        <v>0</v>
      </c>
      <c r="AF76" s="2">
        <v>445.81</v>
      </c>
      <c r="AG76" s="2">
        <v>226.08</v>
      </c>
      <c r="AH76" s="2">
        <v>0</v>
      </c>
      <c r="AI76" s="2">
        <v>1</v>
      </c>
      <c r="AJ76" s="2">
        <v>1</v>
      </c>
      <c r="AK76" s="2">
        <v>1</v>
      </c>
      <c r="AL76" s="2">
        <v>1</v>
      </c>
      <c r="AN76" s="2">
        <v>0</v>
      </c>
      <c r="AO76" s="2">
        <v>1</v>
      </c>
      <c r="AP76" s="2">
        <v>0</v>
      </c>
      <c r="AQ76" s="2">
        <v>0</v>
      </c>
      <c r="AR76" s="2">
        <v>0</v>
      </c>
      <c r="AS76" s="2" t="s">
        <v>30</v>
      </c>
      <c r="AT76" s="2">
        <v>2.08</v>
      </c>
      <c r="AU76" s="2" t="s">
        <v>30</v>
      </c>
      <c r="AV76" s="2">
        <v>0</v>
      </c>
      <c r="AW76" s="2">
        <v>2</v>
      </c>
      <c r="AX76" s="2">
        <v>52286725</v>
      </c>
      <c r="AY76" s="2">
        <v>1</v>
      </c>
      <c r="AZ76" s="2">
        <v>0</v>
      </c>
      <c r="BA76" s="2">
        <v>74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CX76" s="2">
        <f>Y76*'Source (3)'!I197</f>
        <v>0.4264</v>
      </c>
      <c r="CY76" s="2">
        <f>AB76</f>
        <v>445.81</v>
      </c>
      <c r="CZ76" s="2">
        <f>AF76</f>
        <v>445.81</v>
      </c>
      <c r="DA76" s="2">
        <f>AJ76</f>
        <v>1</v>
      </c>
      <c r="DB76" s="2">
        <f t="shared" si="11"/>
        <v>927.28</v>
      </c>
      <c r="DC76" s="2">
        <f t="shared" si="12"/>
        <v>470.25</v>
      </c>
    </row>
    <row r="77" spans="1:107" x14ac:dyDescent="0.25">
      <c r="A77" s="2">
        <f>ROW('Source (3)'!A197)</f>
        <v>197</v>
      </c>
      <c r="B77" s="2">
        <v>52286166</v>
      </c>
      <c r="C77" s="2">
        <v>52286714</v>
      </c>
      <c r="D77" s="2">
        <v>49678609</v>
      </c>
      <c r="E77" s="2">
        <v>1</v>
      </c>
      <c r="F77" s="2">
        <v>1</v>
      </c>
      <c r="G77" s="2">
        <v>29</v>
      </c>
      <c r="H77" s="2">
        <v>2</v>
      </c>
      <c r="I77" s="2" t="s">
        <v>152</v>
      </c>
      <c r="J77" s="2" t="s">
        <v>391</v>
      </c>
      <c r="K77" s="2" t="s">
        <v>153</v>
      </c>
      <c r="L77" s="2">
        <v>1368</v>
      </c>
      <c r="N77" s="2">
        <v>1011</v>
      </c>
      <c r="O77" s="2" t="s">
        <v>82</v>
      </c>
      <c r="P77" s="2" t="s">
        <v>82</v>
      </c>
      <c r="Q77" s="2">
        <v>1</v>
      </c>
      <c r="W77" s="2">
        <v>0</v>
      </c>
      <c r="X77" s="2">
        <v>534254421</v>
      </c>
      <c r="Y77" s="2">
        <v>0.81</v>
      </c>
      <c r="AA77" s="2">
        <v>0</v>
      </c>
      <c r="AB77" s="2">
        <v>2043.52</v>
      </c>
      <c r="AC77" s="2">
        <v>481.49</v>
      </c>
      <c r="AD77" s="2">
        <v>0</v>
      </c>
      <c r="AE77" s="2">
        <v>0</v>
      </c>
      <c r="AF77" s="2">
        <v>2043.52</v>
      </c>
      <c r="AG77" s="2">
        <v>481.49</v>
      </c>
      <c r="AH77" s="2">
        <v>0</v>
      </c>
      <c r="AI77" s="2">
        <v>1</v>
      </c>
      <c r="AJ77" s="2">
        <v>1</v>
      </c>
      <c r="AK77" s="2">
        <v>1</v>
      </c>
      <c r="AL77" s="2">
        <v>1</v>
      </c>
      <c r="AN77" s="2">
        <v>0</v>
      </c>
      <c r="AO77" s="2">
        <v>1</v>
      </c>
      <c r="AP77" s="2">
        <v>0</v>
      </c>
      <c r="AQ77" s="2">
        <v>0</v>
      </c>
      <c r="AR77" s="2">
        <v>0</v>
      </c>
      <c r="AS77" s="2" t="s">
        <v>30</v>
      </c>
      <c r="AT77" s="2">
        <v>0.81</v>
      </c>
      <c r="AU77" s="2" t="s">
        <v>30</v>
      </c>
      <c r="AV77" s="2">
        <v>0</v>
      </c>
      <c r="AW77" s="2">
        <v>2</v>
      </c>
      <c r="AX77" s="2">
        <v>52286726</v>
      </c>
      <c r="AY77" s="2">
        <v>1</v>
      </c>
      <c r="AZ77" s="2">
        <v>0</v>
      </c>
      <c r="BA77" s="2">
        <v>75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CX77" s="2">
        <f>Y77*'Source (3)'!I197</f>
        <v>0.16605</v>
      </c>
      <c r="CY77" s="2">
        <f>AB77</f>
        <v>2043.52</v>
      </c>
      <c r="CZ77" s="2">
        <f>AF77</f>
        <v>2043.52</v>
      </c>
      <c r="DA77" s="2">
        <f>AJ77</f>
        <v>1</v>
      </c>
      <c r="DB77" s="2">
        <f t="shared" si="11"/>
        <v>1655.25</v>
      </c>
      <c r="DC77" s="2">
        <f t="shared" si="12"/>
        <v>390.01</v>
      </c>
    </row>
    <row r="78" spans="1:107" x14ac:dyDescent="0.25">
      <c r="A78" s="2">
        <f>ROW('Source (3)'!A197)</f>
        <v>197</v>
      </c>
      <c r="B78" s="2">
        <v>52286166</v>
      </c>
      <c r="C78" s="2">
        <v>52286714</v>
      </c>
      <c r="D78" s="2">
        <v>49678633</v>
      </c>
      <c r="E78" s="2">
        <v>1</v>
      </c>
      <c r="F78" s="2">
        <v>1</v>
      </c>
      <c r="G78" s="2">
        <v>29</v>
      </c>
      <c r="H78" s="2">
        <v>2</v>
      </c>
      <c r="I78" s="2" t="s">
        <v>154</v>
      </c>
      <c r="J78" s="2" t="s">
        <v>392</v>
      </c>
      <c r="K78" s="2" t="s">
        <v>155</v>
      </c>
      <c r="L78" s="2">
        <v>1368</v>
      </c>
      <c r="N78" s="2">
        <v>1011</v>
      </c>
      <c r="O78" s="2" t="s">
        <v>82</v>
      </c>
      <c r="P78" s="2" t="s">
        <v>82</v>
      </c>
      <c r="Q78" s="2">
        <v>1</v>
      </c>
      <c r="W78" s="2">
        <v>0</v>
      </c>
      <c r="X78" s="2">
        <v>1254933040</v>
      </c>
      <c r="Y78" s="2">
        <v>1.94</v>
      </c>
      <c r="AA78" s="2">
        <v>0</v>
      </c>
      <c r="AB78" s="2">
        <v>1478.7</v>
      </c>
      <c r="AC78" s="2">
        <v>673.39</v>
      </c>
      <c r="AD78" s="2">
        <v>0</v>
      </c>
      <c r="AE78" s="2">
        <v>0</v>
      </c>
      <c r="AF78" s="2">
        <v>1478.7</v>
      </c>
      <c r="AG78" s="2">
        <v>673.39</v>
      </c>
      <c r="AH78" s="2">
        <v>0</v>
      </c>
      <c r="AI78" s="2">
        <v>1</v>
      </c>
      <c r="AJ78" s="2">
        <v>1</v>
      </c>
      <c r="AK78" s="2">
        <v>1</v>
      </c>
      <c r="AL78" s="2">
        <v>1</v>
      </c>
      <c r="AN78" s="2">
        <v>0</v>
      </c>
      <c r="AO78" s="2">
        <v>1</v>
      </c>
      <c r="AP78" s="2">
        <v>0</v>
      </c>
      <c r="AQ78" s="2">
        <v>0</v>
      </c>
      <c r="AR78" s="2">
        <v>0</v>
      </c>
      <c r="AS78" s="2" t="s">
        <v>30</v>
      </c>
      <c r="AT78" s="2">
        <v>1.94</v>
      </c>
      <c r="AU78" s="2" t="s">
        <v>30</v>
      </c>
      <c r="AV78" s="2">
        <v>0</v>
      </c>
      <c r="AW78" s="2">
        <v>2</v>
      </c>
      <c r="AX78" s="2">
        <v>52286727</v>
      </c>
      <c r="AY78" s="2">
        <v>1</v>
      </c>
      <c r="AZ78" s="2">
        <v>0</v>
      </c>
      <c r="BA78" s="2">
        <v>76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CX78" s="2">
        <f>Y78*'Source (3)'!I197</f>
        <v>0.3977</v>
      </c>
      <c r="CY78" s="2">
        <f>AB78</f>
        <v>1478.7</v>
      </c>
      <c r="CZ78" s="2">
        <f>AF78</f>
        <v>1478.7</v>
      </c>
      <c r="DA78" s="2">
        <f>AJ78</f>
        <v>1</v>
      </c>
      <c r="DB78" s="2">
        <f t="shared" si="11"/>
        <v>2868.68</v>
      </c>
      <c r="DC78" s="2">
        <f t="shared" si="12"/>
        <v>1306.3800000000001</v>
      </c>
    </row>
    <row r="79" spans="1:107" x14ac:dyDescent="0.25">
      <c r="A79" s="2">
        <f>ROW('Source (3)'!A197)</f>
        <v>197</v>
      </c>
      <c r="B79" s="2">
        <v>52286166</v>
      </c>
      <c r="C79" s="2">
        <v>52286714</v>
      </c>
      <c r="D79" s="2">
        <v>49678599</v>
      </c>
      <c r="E79" s="2">
        <v>1</v>
      </c>
      <c r="F79" s="2">
        <v>1</v>
      </c>
      <c r="G79" s="2">
        <v>29</v>
      </c>
      <c r="H79" s="2">
        <v>2</v>
      </c>
      <c r="I79" s="2" t="s">
        <v>156</v>
      </c>
      <c r="J79" s="2" t="s">
        <v>393</v>
      </c>
      <c r="K79" s="2" t="s">
        <v>157</v>
      </c>
      <c r="L79" s="2">
        <v>1368</v>
      </c>
      <c r="N79" s="2">
        <v>1011</v>
      </c>
      <c r="O79" s="2" t="s">
        <v>82</v>
      </c>
      <c r="P79" s="2" t="s">
        <v>82</v>
      </c>
      <c r="Q79" s="2">
        <v>1</v>
      </c>
      <c r="W79" s="2">
        <v>0</v>
      </c>
      <c r="X79" s="2">
        <v>-907195224</v>
      </c>
      <c r="Y79" s="2">
        <v>0.65</v>
      </c>
      <c r="AA79" s="2">
        <v>0</v>
      </c>
      <c r="AB79" s="2">
        <v>1268.04</v>
      </c>
      <c r="AC79" s="2">
        <v>484.68</v>
      </c>
      <c r="AD79" s="2">
        <v>0</v>
      </c>
      <c r="AE79" s="2">
        <v>0</v>
      </c>
      <c r="AF79" s="2">
        <v>1268.04</v>
      </c>
      <c r="AG79" s="2">
        <v>484.68</v>
      </c>
      <c r="AH79" s="2">
        <v>0</v>
      </c>
      <c r="AI79" s="2">
        <v>1</v>
      </c>
      <c r="AJ79" s="2">
        <v>1</v>
      </c>
      <c r="AK79" s="2">
        <v>1</v>
      </c>
      <c r="AL79" s="2">
        <v>1</v>
      </c>
      <c r="AN79" s="2">
        <v>0</v>
      </c>
      <c r="AO79" s="2">
        <v>1</v>
      </c>
      <c r="AP79" s="2">
        <v>0</v>
      </c>
      <c r="AQ79" s="2">
        <v>0</v>
      </c>
      <c r="AR79" s="2">
        <v>0</v>
      </c>
      <c r="AS79" s="2" t="s">
        <v>30</v>
      </c>
      <c r="AT79" s="2">
        <v>0.65</v>
      </c>
      <c r="AU79" s="2" t="s">
        <v>30</v>
      </c>
      <c r="AV79" s="2">
        <v>0</v>
      </c>
      <c r="AW79" s="2">
        <v>2</v>
      </c>
      <c r="AX79" s="2">
        <v>52286728</v>
      </c>
      <c r="AY79" s="2">
        <v>1</v>
      </c>
      <c r="AZ79" s="2">
        <v>0</v>
      </c>
      <c r="BA79" s="2">
        <v>77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CX79" s="2">
        <f>Y79*'Source (3)'!I197</f>
        <v>0.13325000000000001</v>
      </c>
      <c r="CY79" s="2">
        <f>AB79</f>
        <v>1268.04</v>
      </c>
      <c r="CZ79" s="2">
        <f>AF79</f>
        <v>1268.04</v>
      </c>
      <c r="DA79" s="2">
        <f>AJ79</f>
        <v>1</v>
      </c>
      <c r="DB79" s="2">
        <f t="shared" si="11"/>
        <v>824.23</v>
      </c>
      <c r="DC79" s="2">
        <f t="shared" si="12"/>
        <v>315.04000000000002</v>
      </c>
    </row>
    <row r="80" spans="1:107" x14ac:dyDescent="0.25">
      <c r="A80" s="2">
        <f>ROW('Source (3)'!A197)</f>
        <v>197</v>
      </c>
      <c r="B80" s="2">
        <v>52286166</v>
      </c>
      <c r="C80" s="2">
        <v>52286714</v>
      </c>
      <c r="D80" s="2">
        <v>49680593</v>
      </c>
      <c r="E80" s="2">
        <v>1</v>
      </c>
      <c r="F80" s="2">
        <v>1</v>
      </c>
      <c r="G80" s="2">
        <v>29</v>
      </c>
      <c r="H80" s="2">
        <v>3</v>
      </c>
      <c r="I80" s="2" t="s">
        <v>158</v>
      </c>
      <c r="J80" s="2" t="s">
        <v>394</v>
      </c>
      <c r="K80" s="2" t="s">
        <v>159</v>
      </c>
      <c r="L80" s="2">
        <v>1339</v>
      </c>
      <c r="N80" s="2">
        <v>1007</v>
      </c>
      <c r="O80" s="2" t="s">
        <v>62</v>
      </c>
      <c r="P80" s="2" t="s">
        <v>62</v>
      </c>
      <c r="Q80" s="2">
        <v>1</v>
      </c>
      <c r="W80" s="2">
        <v>0</v>
      </c>
      <c r="X80" s="2">
        <v>132889534</v>
      </c>
      <c r="Y80" s="2">
        <v>110</v>
      </c>
      <c r="AA80" s="2">
        <v>510.02</v>
      </c>
      <c r="AB80" s="2">
        <v>0</v>
      </c>
      <c r="AC80" s="2">
        <v>0</v>
      </c>
      <c r="AD80" s="2">
        <v>0</v>
      </c>
      <c r="AE80" s="2">
        <v>510.02</v>
      </c>
      <c r="AF80" s="2">
        <v>0</v>
      </c>
      <c r="AG80" s="2">
        <v>0</v>
      </c>
      <c r="AH80" s="2">
        <v>0</v>
      </c>
      <c r="AI80" s="2">
        <v>1</v>
      </c>
      <c r="AJ80" s="2">
        <v>1</v>
      </c>
      <c r="AK80" s="2">
        <v>1</v>
      </c>
      <c r="AL80" s="2">
        <v>1</v>
      </c>
      <c r="AN80" s="2">
        <v>0</v>
      </c>
      <c r="AO80" s="2">
        <v>1</v>
      </c>
      <c r="AP80" s="2">
        <v>0</v>
      </c>
      <c r="AQ80" s="2">
        <v>0</v>
      </c>
      <c r="AR80" s="2">
        <v>0</v>
      </c>
      <c r="AS80" s="2" t="s">
        <v>30</v>
      </c>
      <c r="AT80" s="2">
        <v>110</v>
      </c>
      <c r="AU80" s="2" t="s">
        <v>30</v>
      </c>
      <c r="AV80" s="2">
        <v>0</v>
      </c>
      <c r="AW80" s="2">
        <v>2</v>
      </c>
      <c r="AX80" s="2">
        <v>52286729</v>
      </c>
      <c r="AY80" s="2">
        <v>1</v>
      </c>
      <c r="AZ80" s="2">
        <v>0</v>
      </c>
      <c r="BA80" s="2">
        <v>78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CX80" s="2">
        <f>Y80*'Source (3)'!I197</f>
        <v>22.55</v>
      </c>
      <c r="CY80" s="2">
        <f>AA80</f>
        <v>510.02</v>
      </c>
      <c r="CZ80" s="2">
        <f>AE80</f>
        <v>510.02</v>
      </c>
      <c r="DA80" s="2">
        <f>AI80</f>
        <v>1</v>
      </c>
      <c r="DB80" s="2">
        <f t="shared" si="11"/>
        <v>56102.2</v>
      </c>
      <c r="DC80" s="2">
        <f t="shared" si="12"/>
        <v>0</v>
      </c>
    </row>
    <row r="81" spans="1:107" x14ac:dyDescent="0.25">
      <c r="A81" s="2">
        <f>ROW('Source (3)'!A197)</f>
        <v>197</v>
      </c>
      <c r="B81" s="2">
        <v>52286166</v>
      </c>
      <c r="C81" s="2">
        <v>52286714</v>
      </c>
      <c r="D81" s="2">
        <v>49681352</v>
      </c>
      <c r="E81" s="2">
        <v>1</v>
      </c>
      <c r="F81" s="2">
        <v>1</v>
      </c>
      <c r="G81" s="2">
        <v>29</v>
      </c>
      <c r="H81" s="2">
        <v>3</v>
      </c>
      <c r="I81" s="2" t="s">
        <v>111</v>
      </c>
      <c r="J81" s="2" t="s">
        <v>367</v>
      </c>
      <c r="K81" s="2" t="s">
        <v>112</v>
      </c>
      <c r="L81" s="2">
        <v>1339</v>
      </c>
      <c r="N81" s="2">
        <v>1007</v>
      </c>
      <c r="O81" s="2" t="s">
        <v>62</v>
      </c>
      <c r="P81" s="2" t="s">
        <v>62</v>
      </c>
      <c r="Q81" s="2">
        <v>1</v>
      </c>
      <c r="W81" s="2">
        <v>0</v>
      </c>
      <c r="X81" s="2">
        <v>1995837903</v>
      </c>
      <c r="Y81" s="2">
        <v>5</v>
      </c>
      <c r="AA81" s="2">
        <v>36.31</v>
      </c>
      <c r="AB81" s="2">
        <v>0</v>
      </c>
      <c r="AC81" s="2">
        <v>0</v>
      </c>
      <c r="AD81" s="2">
        <v>0</v>
      </c>
      <c r="AE81" s="2">
        <v>36.31</v>
      </c>
      <c r="AF81" s="2">
        <v>0</v>
      </c>
      <c r="AG81" s="2">
        <v>0</v>
      </c>
      <c r="AH81" s="2">
        <v>0</v>
      </c>
      <c r="AI81" s="2">
        <v>1</v>
      </c>
      <c r="AJ81" s="2">
        <v>1</v>
      </c>
      <c r="AK81" s="2">
        <v>1</v>
      </c>
      <c r="AL81" s="2">
        <v>1</v>
      </c>
      <c r="AN81" s="2">
        <v>0</v>
      </c>
      <c r="AO81" s="2">
        <v>1</v>
      </c>
      <c r="AP81" s="2">
        <v>0</v>
      </c>
      <c r="AQ81" s="2">
        <v>0</v>
      </c>
      <c r="AR81" s="2">
        <v>0</v>
      </c>
      <c r="AS81" s="2" t="s">
        <v>30</v>
      </c>
      <c r="AT81" s="2">
        <v>5</v>
      </c>
      <c r="AU81" s="2" t="s">
        <v>30</v>
      </c>
      <c r="AV81" s="2">
        <v>0</v>
      </c>
      <c r="AW81" s="2">
        <v>2</v>
      </c>
      <c r="AX81" s="2">
        <v>52286730</v>
      </c>
      <c r="AY81" s="2">
        <v>1</v>
      </c>
      <c r="AZ81" s="2">
        <v>0</v>
      </c>
      <c r="BA81" s="2">
        <v>79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CX81" s="2">
        <f>Y81*'Source (3)'!I197</f>
        <v>1.0249999999999999</v>
      </c>
      <c r="CY81" s="2">
        <f>AA81</f>
        <v>36.31</v>
      </c>
      <c r="CZ81" s="2">
        <f>AE81</f>
        <v>36.31</v>
      </c>
      <c r="DA81" s="2">
        <f>AI81</f>
        <v>1</v>
      </c>
      <c r="DB81" s="2">
        <f t="shared" si="11"/>
        <v>181.55</v>
      </c>
      <c r="DC81" s="2">
        <f t="shared" si="12"/>
        <v>0</v>
      </c>
    </row>
    <row r="82" spans="1:107" x14ac:dyDescent="0.25">
      <c r="A82" s="2">
        <f>ROW('Source (3)'!A198)</f>
        <v>198</v>
      </c>
      <c r="B82" s="2">
        <v>52286166</v>
      </c>
      <c r="C82" s="2">
        <v>52286731</v>
      </c>
      <c r="D82" s="2">
        <v>49677488</v>
      </c>
      <c r="E82" s="2">
        <v>29</v>
      </c>
      <c r="F82" s="2">
        <v>1</v>
      </c>
      <c r="G82" s="2">
        <v>29</v>
      </c>
      <c r="H82" s="2">
        <v>1</v>
      </c>
      <c r="I82" s="2" t="s">
        <v>359</v>
      </c>
      <c r="J82" s="2" t="s">
        <v>30</v>
      </c>
      <c r="K82" s="2" t="s">
        <v>360</v>
      </c>
      <c r="L82" s="2">
        <v>1191</v>
      </c>
      <c r="N82" s="2">
        <v>1013</v>
      </c>
      <c r="O82" s="2" t="s">
        <v>361</v>
      </c>
      <c r="P82" s="2" t="s">
        <v>361</v>
      </c>
      <c r="Q82" s="2">
        <v>1</v>
      </c>
      <c r="W82" s="2">
        <v>0</v>
      </c>
      <c r="X82" s="2">
        <v>476480486</v>
      </c>
      <c r="Y82" s="2">
        <v>24.84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1</v>
      </c>
      <c r="AJ82" s="2">
        <v>1</v>
      </c>
      <c r="AK82" s="2">
        <v>1</v>
      </c>
      <c r="AL82" s="2">
        <v>1</v>
      </c>
      <c r="AN82" s="2">
        <v>0</v>
      </c>
      <c r="AO82" s="2">
        <v>1</v>
      </c>
      <c r="AP82" s="2">
        <v>0</v>
      </c>
      <c r="AQ82" s="2">
        <v>0</v>
      </c>
      <c r="AR82" s="2">
        <v>0</v>
      </c>
      <c r="AS82" s="2" t="s">
        <v>30</v>
      </c>
      <c r="AT82" s="2">
        <v>24.84</v>
      </c>
      <c r="AU82" s="2" t="s">
        <v>30</v>
      </c>
      <c r="AV82" s="2">
        <v>1</v>
      </c>
      <c r="AW82" s="2">
        <v>2</v>
      </c>
      <c r="AX82" s="2">
        <v>52286742</v>
      </c>
      <c r="AY82" s="2">
        <v>1</v>
      </c>
      <c r="AZ82" s="2">
        <v>0</v>
      </c>
      <c r="BA82" s="2">
        <v>80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CX82" s="2">
        <f>Y82*'Source (3)'!I198</f>
        <v>5.0922000000000001</v>
      </c>
      <c r="CY82" s="2">
        <f>AD82</f>
        <v>0</v>
      </c>
      <c r="CZ82" s="2">
        <f>AH82</f>
        <v>0</v>
      </c>
      <c r="DA82" s="2">
        <f>AL82</f>
        <v>1</v>
      </c>
      <c r="DB82" s="2">
        <f t="shared" si="11"/>
        <v>0</v>
      </c>
      <c r="DC82" s="2">
        <f t="shared" si="12"/>
        <v>0</v>
      </c>
    </row>
    <row r="83" spans="1:107" x14ac:dyDescent="0.25">
      <c r="A83" s="2">
        <f>ROW('Source (3)'!A198)</f>
        <v>198</v>
      </c>
      <c r="B83" s="2">
        <v>52286166</v>
      </c>
      <c r="C83" s="2">
        <v>52286731</v>
      </c>
      <c r="D83" s="2">
        <v>49678426</v>
      </c>
      <c r="E83" s="2">
        <v>1</v>
      </c>
      <c r="F83" s="2">
        <v>1</v>
      </c>
      <c r="G83" s="2">
        <v>29</v>
      </c>
      <c r="H83" s="2">
        <v>2</v>
      </c>
      <c r="I83" s="2" t="s">
        <v>146</v>
      </c>
      <c r="J83" s="2" t="s">
        <v>395</v>
      </c>
      <c r="K83" s="2" t="s">
        <v>147</v>
      </c>
      <c r="L83" s="2">
        <v>1368</v>
      </c>
      <c r="N83" s="2">
        <v>1011</v>
      </c>
      <c r="O83" s="2" t="s">
        <v>82</v>
      </c>
      <c r="P83" s="2" t="s">
        <v>82</v>
      </c>
      <c r="Q83" s="2">
        <v>1</v>
      </c>
      <c r="W83" s="2">
        <v>0</v>
      </c>
      <c r="X83" s="2">
        <v>825234250</v>
      </c>
      <c r="Y83" s="2">
        <v>2.94</v>
      </c>
      <c r="AA83" s="2">
        <v>0</v>
      </c>
      <c r="AB83" s="2">
        <v>1012.69</v>
      </c>
      <c r="AC83" s="2">
        <v>377.41</v>
      </c>
      <c r="AD83" s="2">
        <v>0</v>
      </c>
      <c r="AE83" s="2">
        <v>0</v>
      </c>
      <c r="AF83" s="2">
        <v>1012.69</v>
      </c>
      <c r="AG83" s="2">
        <v>377.41</v>
      </c>
      <c r="AH83" s="2">
        <v>0</v>
      </c>
      <c r="AI83" s="2">
        <v>1</v>
      </c>
      <c r="AJ83" s="2">
        <v>1</v>
      </c>
      <c r="AK83" s="2">
        <v>1</v>
      </c>
      <c r="AL83" s="2">
        <v>1</v>
      </c>
      <c r="AN83" s="2">
        <v>0</v>
      </c>
      <c r="AO83" s="2">
        <v>1</v>
      </c>
      <c r="AP83" s="2">
        <v>0</v>
      </c>
      <c r="AQ83" s="2">
        <v>0</v>
      </c>
      <c r="AR83" s="2">
        <v>0</v>
      </c>
      <c r="AS83" s="2" t="s">
        <v>30</v>
      </c>
      <c r="AT83" s="2">
        <v>2.94</v>
      </c>
      <c r="AU83" s="2" t="s">
        <v>30</v>
      </c>
      <c r="AV83" s="2">
        <v>0</v>
      </c>
      <c r="AW83" s="2">
        <v>2</v>
      </c>
      <c r="AX83" s="2">
        <v>52286743</v>
      </c>
      <c r="AY83" s="2">
        <v>1</v>
      </c>
      <c r="AZ83" s="2">
        <v>0</v>
      </c>
      <c r="BA83" s="2">
        <v>81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CX83" s="2">
        <f>Y83*'Source (3)'!I198</f>
        <v>0.60270000000000001</v>
      </c>
      <c r="CY83" s="2">
        <f t="shared" ref="CY83:CY88" si="13">AB83</f>
        <v>1012.69</v>
      </c>
      <c r="CZ83" s="2">
        <f t="shared" ref="CZ83:CZ88" si="14">AF83</f>
        <v>1012.69</v>
      </c>
      <c r="DA83" s="2">
        <f t="shared" ref="DA83:DA88" si="15">AJ83</f>
        <v>1</v>
      </c>
      <c r="DB83" s="2">
        <f t="shared" si="11"/>
        <v>2977.31</v>
      </c>
      <c r="DC83" s="2">
        <f t="shared" si="12"/>
        <v>1109.5899999999999</v>
      </c>
    </row>
    <row r="84" spans="1:107" x14ac:dyDescent="0.25">
      <c r="A84" s="2">
        <f>ROW('Source (3)'!A198)</f>
        <v>198</v>
      </c>
      <c r="B84" s="2">
        <v>52286166</v>
      </c>
      <c r="C84" s="2">
        <v>52286731</v>
      </c>
      <c r="D84" s="2">
        <v>49678609</v>
      </c>
      <c r="E84" s="2">
        <v>1</v>
      </c>
      <c r="F84" s="2">
        <v>1</v>
      </c>
      <c r="G84" s="2">
        <v>29</v>
      </c>
      <c r="H84" s="2">
        <v>2</v>
      </c>
      <c r="I84" s="2" t="s">
        <v>152</v>
      </c>
      <c r="J84" s="2" t="s">
        <v>391</v>
      </c>
      <c r="K84" s="2" t="s">
        <v>153</v>
      </c>
      <c r="L84" s="2">
        <v>1368</v>
      </c>
      <c r="N84" s="2">
        <v>1011</v>
      </c>
      <c r="O84" s="2" t="s">
        <v>82</v>
      </c>
      <c r="P84" s="2" t="s">
        <v>82</v>
      </c>
      <c r="Q84" s="2">
        <v>1</v>
      </c>
      <c r="W84" s="2">
        <v>0</v>
      </c>
      <c r="X84" s="2">
        <v>534254421</v>
      </c>
      <c r="Y84" s="2">
        <v>1.1399999999999999</v>
      </c>
      <c r="AA84" s="2">
        <v>0</v>
      </c>
      <c r="AB84" s="2">
        <v>2043.52</v>
      </c>
      <c r="AC84" s="2">
        <v>481.49</v>
      </c>
      <c r="AD84" s="2">
        <v>0</v>
      </c>
      <c r="AE84" s="2">
        <v>0</v>
      </c>
      <c r="AF84" s="2">
        <v>2043.52</v>
      </c>
      <c r="AG84" s="2">
        <v>481.49</v>
      </c>
      <c r="AH84" s="2">
        <v>0</v>
      </c>
      <c r="AI84" s="2">
        <v>1</v>
      </c>
      <c r="AJ84" s="2">
        <v>1</v>
      </c>
      <c r="AK84" s="2">
        <v>1</v>
      </c>
      <c r="AL84" s="2">
        <v>1</v>
      </c>
      <c r="AN84" s="2">
        <v>0</v>
      </c>
      <c r="AO84" s="2">
        <v>1</v>
      </c>
      <c r="AP84" s="2">
        <v>0</v>
      </c>
      <c r="AQ84" s="2">
        <v>0</v>
      </c>
      <c r="AR84" s="2">
        <v>0</v>
      </c>
      <c r="AS84" s="2" t="s">
        <v>30</v>
      </c>
      <c r="AT84" s="2">
        <v>1.1399999999999999</v>
      </c>
      <c r="AU84" s="2" t="s">
        <v>30</v>
      </c>
      <c r="AV84" s="2">
        <v>0</v>
      </c>
      <c r="AW84" s="2">
        <v>2</v>
      </c>
      <c r="AX84" s="2">
        <v>52286744</v>
      </c>
      <c r="AY84" s="2">
        <v>1</v>
      </c>
      <c r="AZ84" s="2">
        <v>0</v>
      </c>
      <c r="BA84" s="2">
        <v>82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CX84" s="2">
        <f>Y84*'Source (3)'!I198</f>
        <v>0.23369999999999999</v>
      </c>
      <c r="CY84" s="2">
        <f t="shared" si="13"/>
        <v>2043.52</v>
      </c>
      <c r="CZ84" s="2">
        <f t="shared" si="14"/>
        <v>2043.52</v>
      </c>
      <c r="DA84" s="2">
        <f t="shared" si="15"/>
        <v>1</v>
      </c>
      <c r="DB84" s="2">
        <f t="shared" si="11"/>
        <v>2329.61</v>
      </c>
      <c r="DC84" s="2">
        <f t="shared" si="12"/>
        <v>548.9</v>
      </c>
    </row>
    <row r="85" spans="1:107" x14ac:dyDescent="0.25">
      <c r="A85" s="2">
        <f>ROW('Source (3)'!A198)</f>
        <v>198</v>
      </c>
      <c r="B85" s="2">
        <v>52286166</v>
      </c>
      <c r="C85" s="2">
        <v>52286731</v>
      </c>
      <c r="D85" s="2">
        <v>49678594</v>
      </c>
      <c r="E85" s="2">
        <v>1</v>
      </c>
      <c r="F85" s="2">
        <v>1</v>
      </c>
      <c r="G85" s="2">
        <v>29</v>
      </c>
      <c r="H85" s="2">
        <v>2</v>
      </c>
      <c r="I85" s="2" t="s">
        <v>97</v>
      </c>
      <c r="J85" s="2" t="s">
        <v>371</v>
      </c>
      <c r="K85" s="2" t="s">
        <v>98</v>
      </c>
      <c r="L85" s="2">
        <v>1368</v>
      </c>
      <c r="N85" s="2">
        <v>1011</v>
      </c>
      <c r="O85" s="2" t="s">
        <v>82</v>
      </c>
      <c r="P85" s="2" t="s">
        <v>82</v>
      </c>
      <c r="Q85" s="2">
        <v>1</v>
      </c>
      <c r="W85" s="2">
        <v>0</v>
      </c>
      <c r="X85" s="2">
        <v>-180193475</v>
      </c>
      <c r="Y85" s="2">
        <v>8.9600000000000009</v>
      </c>
      <c r="AA85" s="2">
        <v>0</v>
      </c>
      <c r="AB85" s="2">
        <v>1364.68</v>
      </c>
      <c r="AC85" s="2">
        <v>556.52</v>
      </c>
      <c r="AD85" s="2">
        <v>0</v>
      </c>
      <c r="AE85" s="2">
        <v>0</v>
      </c>
      <c r="AF85" s="2">
        <v>1364.68</v>
      </c>
      <c r="AG85" s="2">
        <v>556.52</v>
      </c>
      <c r="AH85" s="2">
        <v>0</v>
      </c>
      <c r="AI85" s="2">
        <v>1</v>
      </c>
      <c r="AJ85" s="2">
        <v>1</v>
      </c>
      <c r="AK85" s="2">
        <v>1</v>
      </c>
      <c r="AL85" s="2">
        <v>1</v>
      </c>
      <c r="AN85" s="2">
        <v>0</v>
      </c>
      <c r="AO85" s="2">
        <v>1</v>
      </c>
      <c r="AP85" s="2">
        <v>0</v>
      </c>
      <c r="AQ85" s="2">
        <v>0</v>
      </c>
      <c r="AR85" s="2">
        <v>0</v>
      </c>
      <c r="AS85" s="2" t="s">
        <v>30</v>
      </c>
      <c r="AT85" s="2">
        <v>8.9600000000000009</v>
      </c>
      <c r="AU85" s="2" t="s">
        <v>30</v>
      </c>
      <c r="AV85" s="2">
        <v>0</v>
      </c>
      <c r="AW85" s="2">
        <v>2</v>
      </c>
      <c r="AX85" s="2">
        <v>52286745</v>
      </c>
      <c r="AY85" s="2">
        <v>1</v>
      </c>
      <c r="AZ85" s="2">
        <v>0</v>
      </c>
      <c r="BA85" s="2">
        <v>83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CX85" s="2">
        <f>Y85*'Source (3)'!I198</f>
        <v>1.8368</v>
      </c>
      <c r="CY85" s="2">
        <f t="shared" si="13"/>
        <v>1364.68</v>
      </c>
      <c r="CZ85" s="2">
        <f t="shared" si="14"/>
        <v>1364.68</v>
      </c>
      <c r="DA85" s="2">
        <f t="shared" si="15"/>
        <v>1</v>
      </c>
      <c r="DB85" s="2">
        <f t="shared" si="11"/>
        <v>12227.53</v>
      </c>
      <c r="DC85" s="2">
        <f t="shared" si="12"/>
        <v>4986.42</v>
      </c>
    </row>
    <row r="86" spans="1:107" x14ac:dyDescent="0.25">
      <c r="A86" s="2">
        <f>ROW('Source (3)'!A198)</f>
        <v>198</v>
      </c>
      <c r="B86" s="2">
        <v>52286166</v>
      </c>
      <c r="C86" s="2">
        <v>52286731</v>
      </c>
      <c r="D86" s="2">
        <v>49678595</v>
      </c>
      <c r="E86" s="2">
        <v>1</v>
      </c>
      <c r="F86" s="2">
        <v>1</v>
      </c>
      <c r="G86" s="2">
        <v>29</v>
      </c>
      <c r="H86" s="2">
        <v>2</v>
      </c>
      <c r="I86" s="2" t="s">
        <v>99</v>
      </c>
      <c r="J86" s="2" t="s">
        <v>372</v>
      </c>
      <c r="K86" s="2" t="s">
        <v>100</v>
      </c>
      <c r="L86" s="2">
        <v>1368</v>
      </c>
      <c r="N86" s="2">
        <v>1011</v>
      </c>
      <c r="O86" s="2" t="s">
        <v>82</v>
      </c>
      <c r="P86" s="2" t="s">
        <v>82</v>
      </c>
      <c r="Q86" s="2">
        <v>1</v>
      </c>
      <c r="W86" s="2">
        <v>0</v>
      </c>
      <c r="X86" s="2">
        <v>802121905</v>
      </c>
      <c r="Y86" s="2">
        <v>18.25</v>
      </c>
      <c r="AA86" s="2">
        <v>0</v>
      </c>
      <c r="AB86" s="2">
        <v>1888.15</v>
      </c>
      <c r="AC86" s="2">
        <v>756.58</v>
      </c>
      <c r="AD86" s="2">
        <v>0</v>
      </c>
      <c r="AE86" s="2">
        <v>0</v>
      </c>
      <c r="AF86" s="2">
        <v>1888.15</v>
      </c>
      <c r="AG86" s="2">
        <v>756.58</v>
      </c>
      <c r="AH86" s="2">
        <v>0</v>
      </c>
      <c r="AI86" s="2">
        <v>1</v>
      </c>
      <c r="AJ86" s="2">
        <v>1</v>
      </c>
      <c r="AK86" s="2">
        <v>1</v>
      </c>
      <c r="AL86" s="2">
        <v>1</v>
      </c>
      <c r="AN86" s="2">
        <v>0</v>
      </c>
      <c r="AO86" s="2">
        <v>1</v>
      </c>
      <c r="AP86" s="2">
        <v>0</v>
      </c>
      <c r="AQ86" s="2">
        <v>0</v>
      </c>
      <c r="AR86" s="2">
        <v>0</v>
      </c>
      <c r="AS86" s="2" t="s">
        <v>30</v>
      </c>
      <c r="AT86" s="2">
        <v>18.25</v>
      </c>
      <c r="AU86" s="2" t="s">
        <v>30</v>
      </c>
      <c r="AV86" s="2">
        <v>0</v>
      </c>
      <c r="AW86" s="2">
        <v>2</v>
      </c>
      <c r="AX86" s="2">
        <v>52286746</v>
      </c>
      <c r="AY86" s="2">
        <v>1</v>
      </c>
      <c r="AZ86" s="2">
        <v>0</v>
      </c>
      <c r="BA86" s="2">
        <v>84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CX86" s="2">
        <f>Y86*'Source (3)'!I198</f>
        <v>3.74125</v>
      </c>
      <c r="CY86" s="2">
        <f t="shared" si="13"/>
        <v>1888.15</v>
      </c>
      <c r="CZ86" s="2">
        <f t="shared" si="14"/>
        <v>1888.15</v>
      </c>
      <c r="DA86" s="2">
        <f t="shared" si="15"/>
        <v>1</v>
      </c>
      <c r="DB86" s="2">
        <f t="shared" si="11"/>
        <v>34458.74</v>
      </c>
      <c r="DC86" s="2">
        <f t="shared" si="12"/>
        <v>13807.59</v>
      </c>
    </row>
    <row r="87" spans="1:107" x14ac:dyDescent="0.25">
      <c r="A87" s="2">
        <f>ROW('Source (3)'!A198)</f>
        <v>198</v>
      </c>
      <c r="B87" s="2">
        <v>52286166</v>
      </c>
      <c r="C87" s="2">
        <v>52286731</v>
      </c>
      <c r="D87" s="2">
        <v>49678633</v>
      </c>
      <c r="E87" s="2">
        <v>1</v>
      </c>
      <c r="F87" s="2">
        <v>1</v>
      </c>
      <c r="G87" s="2">
        <v>29</v>
      </c>
      <c r="H87" s="2">
        <v>2</v>
      </c>
      <c r="I87" s="2" t="s">
        <v>154</v>
      </c>
      <c r="J87" s="2" t="s">
        <v>392</v>
      </c>
      <c r="K87" s="2" t="s">
        <v>155</v>
      </c>
      <c r="L87" s="2">
        <v>1368</v>
      </c>
      <c r="N87" s="2">
        <v>1011</v>
      </c>
      <c r="O87" s="2" t="s">
        <v>82</v>
      </c>
      <c r="P87" s="2" t="s">
        <v>82</v>
      </c>
      <c r="Q87" s="2">
        <v>1</v>
      </c>
      <c r="W87" s="2">
        <v>0</v>
      </c>
      <c r="X87" s="2">
        <v>1254933040</v>
      </c>
      <c r="Y87" s="2">
        <v>2.2400000000000002</v>
      </c>
      <c r="AA87" s="2">
        <v>0</v>
      </c>
      <c r="AB87" s="2">
        <v>1478.7</v>
      </c>
      <c r="AC87" s="2">
        <v>673.39</v>
      </c>
      <c r="AD87" s="2">
        <v>0</v>
      </c>
      <c r="AE87" s="2">
        <v>0</v>
      </c>
      <c r="AF87" s="2">
        <v>1478.7</v>
      </c>
      <c r="AG87" s="2">
        <v>673.39</v>
      </c>
      <c r="AH87" s="2">
        <v>0</v>
      </c>
      <c r="AI87" s="2">
        <v>1</v>
      </c>
      <c r="AJ87" s="2">
        <v>1</v>
      </c>
      <c r="AK87" s="2">
        <v>1</v>
      </c>
      <c r="AL87" s="2">
        <v>1</v>
      </c>
      <c r="AN87" s="2">
        <v>0</v>
      </c>
      <c r="AO87" s="2">
        <v>1</v>
      </c>
      <c r="AP87" s="2">
        <v>0</v>
      </c>
      <c r="AQ87" s="2">
        <v>0</v>
      </c>
      <c r="AR87" s="2">
        <v>0</v>
      </c>
      <c r="AS87" s="2" t="s">
        <v>30</v>
      </c>
      <c r="AT87" s="2">
        <v>2.2400000000000002</v>
      </c>
      <c r="AU87" s="2" t="s">
        <v>30</v>
      </c>
      <c r="AV87" s="2">
        <v>0</v>
      </c>
      <c r="AW87" s="2">
        <v>2</v>
      </c>
      <c r="AX87" s="2">
        <v>52286747</v>
      </c>
      <c r="AY87" s="2">
        <v>1</v>
      </c>
      <c r="AZ87" s="2">
        <v>0</v>
      </c>
      <c r="BA87" s="2">
        <v>85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CX87" s="2">
        <f>Y87*'Source (3)'!I198</f>
        <v>0.4592</v>
      </c>
      <c r="CY87" s="2">
        <f t="shared" si="13"/>
        <v>1478.7</v>
      </c>
      <c r="CZ87" s="2">
        <f t="shared" si="14"/>
        <v>1478.7</v>
      </c>
      <c r="DA87" s="2">
        <f t="shared" si="15"/>
        <v>1</v>
      </c>
      <c r="DB87" s="2">
        <f t="shared" si="11"/>
        <v>3312.29</v>
      </c>
      <c r="DC87" s="2">
        <f t="shared" si="12"/>
        <v>1508.39</v>
      </c>
    </row>
    <row r="88" spans="1:107" x14ac:dyDescent="0.25">
      <c r="A88" s="2">
        <f>ROW('Source (3)'!A198)</f>
        <v>198</v>
      </c>
      <c r="B88" s="2">
        <v>52286166</v>
      </c>
      <c r="C88" s="2">
        <v>52286731</v>
      </c>
      <c r="D88" s="2">
        <v>49678599</v>
      </c>
      <c r="E88" s="2">
        <v>1</v>
      </c>
      <c r="F88" s="2">
        <v>1</v>
      </c>
      <c r="G88" s="2">
        <v>29</v>
      </c>
      <c r="H88" s="2">
        <v>2</v>
      </c>
      <c r="I88" s="2" t="s">
        <v>156</v>
      </c>
      <c r="J88" s="2" t="s">
        <v>393</v>
      </c>
      <c r="K88" s="2" t="s">
        <v>157</v>
      </c>
      <c r="L88" s="2">
        <v>1368</v>
      </c>
      <c r="N88" s="2">
        <v>1011</v>
      </c>
      <c r="O88" s="2" t="s">
        <v>82</v>
      </c>
      <c r="P88" s="2" t="s">
        <v>82</v>
      </c>
      <c r="Q88" s="2">
        <v>1</v>
      </c>
      <c r="W88" s="2">
        <v>0</v>
      </c>
      <c r="X88" s="2">
        <v>-907195224</v>
      </c>
      <c r="Y88" s="2">
        <v>0.65</v>
      </c>
      <c r="AA88" s="2">
        <v>0</v>
      </c>
      <c r="AB88" s="2">
        <v>1268.04</v>
      </c>
      <c r="AC88" s="2">
        <v>484.68</v>
      </c>
      <c r="AD88" s="2">
        <v>0</v>
      </c>
      <c r="AE88" s="2">
        <v>0</v>
      </c>
      <c r="AF88" s="2">
        <v>1268.04</v>
      </c>
      <c r="AG88" s="2">
        <v>484.68</v>
      </c>
      <c r="AH88" s="2">
        <v>0</v>
      </c>
      <c r="AI88" s="2">
        <v>1</v>
      </c>
      <c r="AJ88" s="2">
        <v>1</v>
      </c>
      <c r="AK88" s="2">
        <v>1</v>
      </c>
      <c r="AL88" s="2">
        <v>1</v>
      </c>
      <c r="AN88" s="2">
        <v>0</v>
      </c>
      <c r="AO88" s="2">
        <v>1</v>
      </c>
      <c r="AP88" s="2">
        <v>0</v>
      </c>
      <c r="AQ88" s="2">
        <v>0</v>
      </c>
      <c r="AR88" s="2">
        <v>0</v>
      </c>
      <c r="AS88" s="2" t="s">
        <v>30</v>
      </c>
      <c r="AT88" s="2">
        <v>0.65</v>
      </c>
      <c r="AU88" s="2" t="s">
        <v>30</v>
      </c>
      <c r="AV88" s="2">
        <v>0</v>
      </c>
      <c r="AW88" s="2">
        <v>2</v>
      </c>
      <c r="AX88" s="2">
        <v>52286748</v>
      </c>
      <c r="AY88" s="2">
        <v>1</v>
      </c>
      <c r="AZ88" s="2">
        <v>0</v>
      </c>
      <c r="BA88" s="2">
        <v>86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CX88" s="2">
        <f>Y88*'Source (3)'!I198</f>
        <v>0.13325000000000001</v>
      </c>
      <c r="CY88" s="2">
        <f t="shared" si="13"/>
        <v>1268.04</v>
      </c>
      <c r="CZ88" s="2">
        <f t="shared" si="14"/>
        <v>1268.04</v>
      </c>
      <c r="DA88" s="2">
        <f t="shared" si="15"/>
        <v>1</v>
      </c>
      <c r="DB88" s="2">
        <f t="shared" si="11"/>
        <v>824.23</v>
      </c>
      <c r="DC88" s="2">
        <f t="shared" si="12"/>
        <v>315.04000000000002</v>
      </c>
    </row>
    <row r="89" spans="1:107" x14ac:dyDescent="0.25">
      <c r="A89" s="2">
        <f>ROW('Source (3)'!A198)</f>
        <v>198</v>
      </c>
      <c r="B89" s="2">
        <v>52286166</v>
      </c>
      <c r="C89" s="2">
        <v>52286731</v>
      </c>
      <c r="D89" s="2">
        <v>49680614</v>
      </c>
      <c r="E89" s="2">
        <v>1</v>
      </c>
      <c r="F89" s="2">
        <v>1</v>
      </c>
      <c r="G89" s="2">
        <v>29</v>
      </c>
      <c r="H89" s="2">
        <v>3</v>
      </c>
      <c r="I89" s="2" t="s">
        <v>107</v>
      </c>
      <c r="J89" s="2" t="s">
        <v>197</v>
      </c>
      <c r="K89" s="2" t="s">
        <v>108</v>
      </c>
      <c r="L89" s="2">
        <v>1339</v>
      </c>
      <c r="N89" s="2">
        <v>1007</v>
      </c>
      <c r="O89" s="2" t="s">
        <v>62</v>
      </c>
      <c r="P89" s="2" t="s">
        <v>62</v>
      </c>
      <c r="Q89" s="2">
        <v>1</v>
      </c>
      <c r="W89" s="2">
        <v>0</v>
      </c>
      <c r="X89" s="2">
        <v>-579596608</v>
      </c>
      <c r="Y89" s="2">
        <v>126</v>
      </c>
      <c r="AA89" s="2">
        <v>1232.5</v>
      </c>
      <c r="AB89" s="2">
        <v>0</v>
      </c>
      <c r="AC89" s="2">
        <v>0</v>
      </c>
      <c r="AD89" s="2">
        <v>0</v>
      </c>
      <c r="AE89" s="2">
        <v>1232.5</v>
      </c>
      <c r="AF89" s="2">
        <v>0</v>
      </c>
      <c r="AG89" s="2">
        <v>0</v>
      </c>
      <c r="AH89" s="2">
        <v>0</v>
      </c>
      <c r="AI89" s="2">
        <v>1</v>
      </c>
      <c r="AJ89" s="2">
        <v>1</v>
      </c>
      <c r="AK89" s="2">
        <v>1</v>
      </c>
      <c r="AL89" s="2">
        <v>1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 t="s">
        <v>30</v>
      </c>
      <c r="AT89" s="2">
        <v>126</v>
      </c>
      <c r="AU89" s="2" t="s">
        <v>30</v>
      </c>
      <c r="AV89" s="2">
        <v>0</v>
      </c>
      <c r="AW89" s="2">
        <v>1</v>
      </c>
      <c r="AX89" s="2">
        <v>-1</v>
      </c>
      <c r="AY89" s="2">
        <v>0</v>
      </c>
      <c r="AZ89" s="2">
        <v>0</v>
      </c>
      <c r="BA89" s="2" t="s">
        <v>30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CX89" s="2">
        <f>Y89*'Source (3)'!I198</f>
        <v>25.83</v>
      </c>
      <c r="CY89" s="2">
        <f>AA89</f>
        <v>1232.5</v>
      </c>
      <c r="CZ89" s="2">
        <f>AE89</f>
        <v>1232.5</v>
      </c>
      <c r="DA89" s="2">
        <f>AI89</f>
        <v>1</v>
      </c>
      <c r="DB89" s="2">
        <f t="shared" si="11"/>
        <v>155295</v>
      </c>
      <c r="DC89" s="2">
        <f t="shared" si="12"/>
        <v>0</v>
      </c>
    </row>
    <row r="90" spans="1:107" x14ac:dyDescent="0.25">
      <c r="A90" s="2">
        <f>ROW('Source (3)'!A198)</f>
        <v>198</v>
      </c>
      <c r="B90" s="2">
        <v>52286166</v>
      </c>
      <c r="C90" s="2">
        <v>52286731</v>
      </c>
      <c r="D90" s="2">
        <v>49680619</v>
      </c>
      <c r="E90" s="2">
        <v>1</v>
      </c>
      <c r="F90" s="2">
        <v>1</v>
      </c>
      <c r="G90" s="2">
        <v>29</v>
      </c>
      <c r="H90" s="2">
        <v>3</v>
      </c>
      <c r="I90" s="2" t="s">
        <v>194</v>
      </c>
      <c r="J90" s="2" t="s">
        <v>196</v>
      </c>
      <c r="K90" s="2" t="s">
        <v>195</v>
      </c>
      <c r="L90" s="2">
        <v>1339</v>
      </c>
      <c r="N90" s="2">
        <v>1007</v>
      </c>
      <c r="O90" s="2" t="s">
        <v>62</v>
      </c>
      <c r="P90" s="2" t="s">
        <v>62</v>
      </c>
      <c r="Q90" s="2">
        <v>1</v>
      </c>
      <c r="W90" s="2">
        <v>1</v>
      </c>
      <c r="X90" s="2">
        <v>-1914292201</v>
      </c>
      <c r="Y90" s="2">
        <v>-126</v>
      </c>
      <c r="AA90" s="2">
        <v>1542.75</v>
      </c>
      <c r="AB90" s="2">
        <v>0</v>
      </c>
      <c r="AC90" s="2">
        <v>0</v>
      </c>
      <c r="AD90" s="2">
        <v>0</v>
      </c>
      <c r="AE90" s="2">
        <v>1542.75</v>
      </c>
      <c r="AF90" s="2">
        <v>0</v>
      </c>
      <c r="AG90" s="2">
        <v>0</v>
      </c>
      <c r="AH90" s="2">
        <v>0</v>
      </c>
      <c r="AI90" s="2">
        <v>1</v>
      </c>
      <c r="AJ90" s="2">
        <v>1</v>
      </c>
      <c r="AK90" s="2">
        <v>1</v>
      </c>
      <c r="AL90" s="2">
        <v>1</v>
      </c>
      <c r="AN90" s="2">
        <v>0</v>
      </c>
      <c r="AO90" s="2">
        <v>1</v>
      </c>
      <c r="AP90" s="2">
        <v>0</v>
      </c>
      <c r="AQ90" s="2">
        <v>0</v>
      </c>
      <c r="AR90" s="2">
        <v>0</v>
      </c>
      <c r="AS90" s="2" t="s">
        <v>30</v>
      </c>
      <c r="AT90" s="2">
        <v>-126</v>
      </c>
      <c r="AU90" s="2" t="s">
        <v>30</v>
      </c>
      <c r="AV90" s="2">
        <v>0</v>
      </c>
      <c r="AW90" s="2">
        <v>2</v>
      </c>
      <c r="AX90" s="2">
        <v>52286749</v>
      </c>
      <c r="AY90" s="2">
        <v>1</v>
      </c>
      <c r="AZ90" s="2">
        <v>6144</v>
      </c>
      <c r="BA90" s="2">
        <v>87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CX90" s="2">
        <f>Y90*'Source (3)'!I198</f>
        <v>-25.83</v>
      </c>
      <c r="CY90" s="2">
        <f>AA90</f>
        <v>1542.75</v>
      </c>
      <c r="CZ90" s="2">
        <f>AE90</f>
        <v>1542.75</v>
      </c>
      <c r="DA90" s="2">
        <f>AI90</f>
        <v>1</v>
      </c>
      <c r="DB90" s="2">
        <f t="shared" si="11"/>
        <v>-194386.5</v>
      </c>
      <c r="DC90" s="2">
        <f t="shared" si="12"/>
        <v>0</v>
      </c>
    </row>
    <row r="91" spans="1:107" x14ac:dyDescent="0.25">
      <c r="A91" s="2">
        <f>ROW('Source (3)'!A198)</f>
        <v>198</v>
      </c>
      <c r="B91" s="2">
        <v>52286166</v>
      </c>
      <c r="C91" s="2">
        <v>52286731</v>
      </c>
      <c r="D91" s="2">
        <v>49681352</v>
      </c>
      <c r="E91" s="2">
        <v>1</v>
      </c>
      <c r="F91" s="2">
        <v>1</v>
      </c>
      <c r="G91" s="2">
        <v>29</v>
      </c>
      <c r="H91" s="2">
        <v>3</v>
      </c>
      <c r="I91" s="2" t="s">
        <v>111</v>
      </c>
      <c r="J91" s="2" t="s">
        <v>367</v>
      </c>
      <c r="K91" s="2" t="s">
        <v>112</v>
      </c>
      <c r="L91" s="2">
        <v>1339</v>
      </c>
      <c r="N91" s="2">
        <v>1007</v>
      </c>
      <c r="O91" s="2" t="s">
        <v>62</v>
      </c>
      <c r="P91" s="2" t="s">
        <v>62</v>
      </c>
      <c r="Q91" s="2">
        <v>1</v>
      </c>
      <c r="W91" s="2">
        <v>0</v>
      </c>
      <c r="X91" s="2">
        <v>1995837903</v>
      </c>
      <c r="Y91" s="2">
        <v>7</v>
      </c>
      <c r="AA91" s="2">
        <v>36.31</v>
      </c>
      <c r="AB91" s="2">
        <v>0</v>
      </c>
      <c r="AC91" s="2">
        <v>0</v>
      </c>
      <c r="AD91" s="2">
        <v>0</v>
      </c>
      <c r="AE91" s="2">
        <v>36.31</v>
      </c>
      <c r="AF91" s="2">
        <v>0</v>
      </c>
      <c r="AG91" s="2">
        <v>0</v>
      </c>
      <c r="AH91" s="2">
        <v>0</v>
      </c>
      <c r="AI91" s="2">
        <v>1</v>
      </c>
      <c r="AJ91" s="2">
        <v>1</v>
      </c>
      <c r="AK91" s="2">
        <v>1</v>
      </c>
      <c r="AL91" s="2">
        <v>1</v>
      </c>
      <c r="AN91" s="2">
        <v>0</v>
      </c>
      <c r="AO91" s="2">
        <v>1</v>
      </c>
      <c r="AP91" s="2">
        <v>0</v>
      </c>
      <c r="AQ91" s="2">
        <v>0</v>
      </c>
      <c r="AR91" s="2">
        <v>0</v>
      </c>
      <c r="AS91" s="2" t="s">
        <v>30</v>
      </c>
      <c r="AT91" s="2">
        <v>7</v>
      </c>
      <c r="AU91" s="2" t="s">
        <v>30</v>
      </c>
      <c r="AV91" s="2">
        <v>0</v>
      </c>
      <c r="AW91" s="2">
        <v>2</v>
      </c>
      <c r="AX91" s="2">
        <v>52286750</v>
      </c>
      <c r="AY91" s="2">
        <v>1</v>
      </c>
      <c r="AZ91" s="2">
        <v>0</v>
      </c>
      <c r="BA91" s="2">
        <v>88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CX91" s="2">
        <f>Y91*'Source (3)'!I198</f>
        <v>1.4350000000000001</v>
      </c>
      <c r="CY91" s="2">
        <f>AA91</f>
        <v>36.31</v>
      </c>
      <c r="CZ91" s="2">
        <f>AE91</f>
        <v>36.31</v>
      </c>
      <c r="DA91" s="2">
        <f>AI91</f>
        <v>1</v>
      </c>
      <c r="DB91" s="2">
        <f t="shared" si="11"/>
        <v>254.17</v>
      </c>
      <c r="DC91" s="2">
        <f t="shared" si="12"/>
        <v>0</v>
      </c>
    </row>
    <row r="92" spans="1:107" x14ac:dyDescent="0.25">
      <c r="A92" s="2">
        <f>ROW('Source (3)'!A201)</f>
        <v>201</v>
      </c>
      <c r="B92" s="2">
        <v>52286166</v>
      </c>
      <c r="C92" s="2">
        <v>52286753</v>
      </c>
      <c r="D92" s="2">
        <v>49677488</v>
      </c>
      <c r="E92" s="2">
        <v>29</v>
      </c>
      <c r="F92" s="2">
        <v>1</v>
      </c>
      <c r="G92" s="2">
        <v>29</v>
      </c>
      <c r="H92" s="2">
        <v>1</v>
      </c>
      <c r="I92" s="2" t="s">
        <v>359</v>
      </c>
      <c r="J92" s="2" t="s">
        <v>30</v>
      </c>
      <c r="K92" s="2" t="s">
        <v>360</v>
      </c>
      <c r="L92" s="2">
        <v>1191</v>
      </c>
      <c r="N92" s="2">
        <v>1013</v>
      </c>
      <c r="O92" s="2" t="s">
        <v>361</v>
      </c>
      <c r="P92" s="2" t="s">
        <v>361</v>
      </c>
      <c r="Q92" s="2">
        <v>1</v>
      </c>
      <c r="W92" s="2">
        <v>0</v>
      </c>
      <c r="X92" s="2">
        <v>476480486</v>
      </c>
      <c r="Y92" s="2">
        <v>10.3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1</v>
      </c>
      <c r="AJ92" s="2">
        <v>1</v>
      </c>
      <c r="AK92" s="2">
        <v>1</v>
      </c>
      <c r="AL92" s="2">
        <v>1</v>
      </c>
      <c r="AN92" s="2">
        <v>0</v>
      </c>
      <c r="AO92" s="2">
        <v>1</v>
      </c>
      <c r="AP92" s="2">
        <v>0</v>
      </c>
      <c r="AQ92" s="2">
        <v>0</v>
      </c>
      <c r="AR92" s="2">
        <v>0</v>
      </c>
      <c r="AS92" s="2" t="s">
        <v>30</v>
      </c>
      <c r="AT92" s="2">
        <v>10.3</v>
      </c>
      <c r="AU92" s="2" t="s">
        <v>30</v>
      </c>
      <c r="AV92" s="2">
        <v>1</v>
      </c>
      <c r="AW92" s="2">
        <v>2</v>
      </c>
      <c r="AX92" s="2">
        <v>52286759</v>
      </c>
      <c r="AY92" s="2">
        <v>1</v>
      </c>
      <c r="AZ92" s="2">
        <v>0</v>
      </c>
      <c r="BA92" s="2">
        <v>89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CX92" s="2">
        <f>Y92*'Source (3)'!I201</f>
        <v>21.114999999999998</v>
      </c>
      <c r="CY92" s="2">
        <f>AD92</f>
        <v>0</v>
      </c>
      <c r="CZ92" s="2">
        <f>AH92</f>
        <v>0</v>
      </c>
      <c r="DA92" s="2">
        <f>AL92</f>
        <v>1</v>
      </c>
      <c r="DB92" s="2">
        <f t="shared" si="11"/>
        <v>0</v>
      </c>
      <c r="DC92" s="2">
        <f t="shared" si="12"/>
        <v>0</v>
      </c>
    </row>
    <row r="93" spans="1:107" x14ac:dyDescent="0.25">
      <c r="A93" s="2">
        <f>ROW('Source (3)'!A201)</f>
        <v>201</v>
      </c>
      <c r="B93" s="2">
        <v>52286166</v>
      </c>
      <c r="C93" s="2">
        <v>52286753</v>
      </c>
      <c r="D93" s="2">
        <v>49678594</v>
      </c>
      <c r="E93" s="2">
        <v>1</v>
      </c>
      <c r="F93" s="2">
        <v>1</v>
      </c>
      <c r="G93" s="2">
        <v>29</v>
      </c>
      <c r="H93" s="2">
        <v>2</v>
      </c>
      <c r="I93" s="2" t="s">
        <v>97</v>
      </c>
      <c r="J93" s="2" t="s">
        <v>371</v>
      </c>
      <c r="K93" s="2" t="s">
        <v>98</v>
      </c>
      <c r="L93" s="2">
        <v>1368</v>
      </c>
      <c r="N93" s="2">
        <v>1011</v>
      </c>
      <c r="O93" s="2" t="s">
        <v>82</v>
      </c>
      <c r="P93" s="2" t="s">
        <v>82</v>
      </c>
      <c r="Q93" s="2">
        <v>1</v>
      </c>
      <c r="W93" s="2">
        <v>0</v>
      </c>
      <c r="X93" s="2">
        <v>-180193475</v>
      </c>
      <c r="Y93" s="2">
        <v>0.89</v>
      </c>
      <c r="AA93" s="2">
        <v>0</v>
      </c>
      <c r="AB93" s="2">
        <v>1364.68</v>
      </c>
      <c r="AC93" s="2">
        <v>556.52</v>
      </c>
      <c r="AD93" s="2">
        <v>0</v>
      </c>
      <c r="AE93" s="2">
        <v>0</v>
      </c>
      <c r="AF93" s="2">
        <v>1364.68</v>
      </c>
      <c r="AG93" s="2">
        <v>556.52</v>
      </c>
      <c r="AH93" s="2">
        <v>0</v>
      </c>
      <c r="AI93" s="2">
        <v>1</v>
      </c>
      <c r="AJ93" s="2">
        <v>1</v>
      </c>
      <c r="AK93" s="2">
        <v>1</v>
      </c>
      <c r="AL93" s="2">
        <v>1</v>
      </c>
      <c r="AN93" s="2">
        <v>0</v>
      </c>
      <c r="AO93" s="2">
        <v>1</v>
      </c>
      <c r="AP93" s="2">
        <v>0</v>
      </c>
      <c r="AQ93" s="2">
        <v>0</v>
      </c>
      <c r="AR93" s="2">
        <v>0</v>
      </c>
      <c r="AS93" s="2" t="s">
        <v>30</v>
      </c>
      <c r="AT93" s="2">
        <v>0.89</v>
      </c>
      <c r="AU93" s="2" t="s">
        <v>30</v>
      </c>
      <c r="AV93" s="2">
        <v>0</v>
      </c>
      <c r="AW93" s="2">
        <v>2</v>
      </c>
      <c r="AX93" s="2">
        <v>52286760</v>
      </c>
      <c r="AY93" s="2">
        <v>1</v>
      </c>
      <c r="AZ93" s="2">
        <v>0</v>
      </c>
      <c r="BA93" s="2">
        <v>90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CX93" s="2">
        <f>Y93*'Source (3)'!I201</f>
        <v>1.8245</v>
      </c>
      <c r="CY93" s="2">
        <f>AB93</f>
        <v>1364.68</v>
      </c>
      <c r="CZ93" s="2">
        <f>AF93</f>
        <v>1364.68</v>
      </c>
      <c r="DA93" s="2">
        <f>AJ93</f>
        <v>1</v>
      </c>
      <c r="DB93" s="2">
        <f t="shared" si="11"/>
        <v>1214.57</v>
      </c>
      <c r="DC93" s="2">
        <f t="shared" si="12"/>
        <v>495.3</v>
      </c>
    </row>
    <row r="94" spans="1:107" x14ac:dyDescent="0.25">
      <c r="A94" s="2">
        <f>ROW('Source (3)'!A201)</f>
        <v>201</v>
      </c>
      <c r="B94" s="2">
        <v>52286166</v>
      </c>
      <c r="C94" s="2">
        <v>52286753</v>
      </c>
      <c r="D94" s="2">
        <v>49679414</v>
      </c>
      <c r="E94" s="2">
        <v>1</v>
      </c>
      <c r="F94" s="2">
        <v>1</v>
      </c>
      <c r="G94" s="2">
        <v>29</v>
      </c>
      <c r="H94" s="2">
        <v>3</v>
      </c>
      <c r="I94" s="2" t="s">
        <v>109</v>
      </c>
      <c r="J94" s="2" t="s">
        <v>376</v>
      </c>
      <c r="K94" s="2" t="s">
        <v>110</v>
      </c>
      <c r="L94" s="2">
        <v>1348</v>
      </c>
      <c r="N94" s="2">
        <v>1009</v>
      </c>
      <c r="O94" s="2" t="s">
        <v>63</v>
      </c>
      <c r="P94" s="2" t="s">
        <v>63</v>
      </c>
      <c r="Q94" s="2">
        <v>1000</v>
      </c>
      <c r="W94" s="2">
        <v>0</v>
      </c>
      <c r="X94" s="2">
        <v>2030676919</v>
      </c>
      <c r="Y94" s="2">
        <v>0.06</v>
      </c>
      <c r="AA94" s="2">
        <v>34834.18</v>
      </c>
      <c r="AB94" s="2">
        <v>0</v>
      </c>
      <c r="AC94" s="2">
        <v>0</v>
      </c>
      <c r="AD94" s="2">
        <v>0</v>
      </c>
      <c r="AE94" s="2">
        <v>34834.18</v>
      </c>
      <c r="AF94" s="2">
        <v>0</v>
      </c>
      <c r="AG94" s="2">
        <v>0</v>
      </c>
      <c r="AH94" s="2">
        <v>0</v>
      </c>
      <c r="AI94" s="2">
        <v>1</v>
      </c>
      <c r="AJ94" s="2">
        <v>1</v>
      </c>
      <c r="AK94" s="2">
        <v>1</v>
      </c>
      <c r="AL94" s="2">
        <v>1</v>
      </c>
      <c r="AN94" s="2">
        <v>0</v>
      </c>
      <c r="AO94" s="2">
        <v>1</v>
      </c>
      <c r="AP94" s="2">
        <v>0</v>
      </c>
      <c r="AQ94" s="2">
        <v>0</v>
      </c>
      <c r="AR94" s="2">
        <v>0</v>
      </c>
      <c r="AS94" s="2" t="s">
        <v>30</v>
      </c>
      <c r="AT94" s="2">
        <v>0.06</v>
      </c>
      <c r="AU94" s="2" t="s">
        <v>30</v>
      </c>
      <c r="AV94" s="2">
        <v>0</v>
      </c>
      <c r="AW94" s="2">
        <v>2</v>
      </c>
      <c r="AX94" s="2">
        <v>52286761</v>
      </c>
      <c r="AY94" s="2">
        <v>1</v>
      </c>
      <c r="AZ94" s="2">
        <v>0</v>
      </c>
      <c r="BA94" s="2">
        <v>91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CX94" s="2">
        <f>Y94*'Source (3)'!I201</f>
        <v>0.123</v>
      </c>
      <c r="CY94" s="2">
        <f>AA94</f>
        <v>34834.18</v>
      </c>
      <c r="CZ94" s="2">
        <f>AE94</f>
        <v>34834.18</v>
      </c>
      <c r="DA94" s="2">
        <f>AI94</f>
        <v>1</v>
      </c>
      <c r="DB94" s="2">
        <f t="shared" si="11"/>
        <v>2090.0500000000002</v>
      </c>
      <c r="DC94" s="2">
        <f t="shared" si="12"/>
        <v>0</v>
      </c>
    </row>
    <row r="95" spans="1:107" x14ac:dyDescent="0.25">
      <c r="A95" s="2">
        <f>ROW('Source (3)'!A201)</f>
        <v>201</v>
      </c>
      <c r="B95" s="2">
        <v>52286166</v>
      </c>
      <c r="C95" s="2">
        <v>52286753</v>
      </c>
      <c r="D95" s="2">
        <v>49682551</v>
      </c>
      <c r="E95" s="2">
        <v>1</v>
      </c>
      <c r="F95" s="2">
        <v>1</v>
      </c>
      <c r="G95" s="2">
        <v>29</v>
      </c>
      <c r="H95" s="2">
        <v>3</v>
      </c>
      <c r="I95" s="2" t="s">
        <v>160</v>
      </c>
      <c r="J95" s="2" t="s">
        <v>213</v>
      </c>
      <c r="K95" s="2" t="s">
        <v>212</v>
      </c>
      <c r="L95" s="2">
        <v>1348</v>
      </c>
      <c r="N95" s="2">
        <v>1009</v>
      </c>
      <c r="O95" s="2" t="s">
        <v>63</v>
      </c>
      <c r="P95" s="2" t="s">
        <v>63</v>
      </c>
      <c r="Q95" s="2">
        <v>1000</v>
      </c>
      <c r="W95" s="2">
        <v>1</v>
      </c>
      <c r="X95" s="2">
        <v>-58237108</v>
      </c>
      <c r="Y95" s="2">
        <v>-7.14</v>
      </c>
      <c r="AA95" s="2">
        <v>2954.24</v>
      </c>
      <c r="AB95" s="2">
        <v>0</v>
      </c>
      <c r="AC95" s="2">
        <v>0</v>
      </c>
      <c r="AD95" s="2">
        <v>0</v>
      </c>
      <c r="AE95" s="2">
        <v>2954.24</v>
      </c>
      <c r="AF95" s="2">
        <v>0</v>
      </c>
      <c r="AG95" s="2">
        <v>0</v>
      </c>
      <c r="AH95" s="2">
        <v>0</v>
      </c>
      <c r="AI95" s="2">
        <v>1</v>
      </c>
      <c r="AJ95" s="2">
        <v>1</v>
      </c>
      <c r="AK95" s="2">
        <v>1</v>
      </c>
      <c r="AL95" s="2">
        <v>1</v>
      </c>
      <c r="AN95" s="2">
        <v>0</v>
      </c>
      <c r="AO95" s="2">
        <v>1</v>
      </c>
      <c r="AP95" s="2">
        <v>0</v>
      </c>
      <c r="AQ95" s="2">
        <v>0</v>
      </c>
      <c r="AR95" s="2">
        <v>0</v>
      </c>
      <c r="AS95" s="2" t="s">
        <v>30</v>
      </c>
      <c r="AT95" s="2">
        <v>-7.14</v>
      </c>
      <c r="AU95" s="2" t="s">
        <v>30</v>
      </c>
      <c r="AV95" s="2">
        <v>0</v>
      </c>
      <c r="AW95" s="2">
        <v>2</v>
      </c>
      <c r="AX95" s="2">
        <v>52286762</v>
      </c>
      <c r="AY95" s="2">
        <v>1</v>
      </c>
      <c r="AZ95" s="2">
        <v>6144</v>
      </c>
      <c r="BA95" s="2">
        <v>92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CX95" s="2">
        <f>Y95*'Source (3)'!I201</f>
        <v>-14.637</v>
      </c>
      <c r="CY95" s="2">
        <f>AA95</f>
        <v>2954.24</v>
      </c>
      <c r="CZ95" s="2">
        <f>AE95</f>
        <v>2954.24</v>
      </c>
      <c r="DA95" s="2">
        <f>AI95</f>
        <v>1</v>
      </c>
      <c r="DB95" s="2">
        <f t="shared" si="11"/>
        <v>-21093.27</v>
      </c>
      <c r="DC95" s="2">
        <f t="shared" si="12"/>
        <v>0</v>
      </c>
    </row>
    <row r="96" spans="1:107" x14ac:dyDescent="0.25">
      <c r="A96" s="2">
        <f>ROW('Source (3)'!A201)</f>
        <v>201</v>
      </c>
      <c r="B96" s="2">
        <v>52286166</v>
      </c>
      <c r="C96" s="2">
        <v>52286753</v>
      </c>
      <c r="D96" s="2">
        <v>49682551</v>
      </c>
      <c r="E96" s="2">
        <v>1</v>
      </c>
      <c r="F96" s="2">
        <v>1</v>
      </c>
      <c r="G96" s="2">
        <v>29</v>
      </c>
      <c r="H96" s="2">
        <v>3</v>
      </c>
      <c r="I96" s="2" t="s">
        <v>160</v>
      </c>
      <c r="J96" s="2" t="s">
        <v>213</v>
      </c>
      <c r="K96" s="2" t="s">
        <v>161</v>
      </c>
      <c r="L96" s="2">
        <v>1348</v>
      </c>
      <c r="N96" s="2">
        <v>1009</v>
      </c>
      <c r="O96" s="2" t="s">
        <v>63</v>
      </c>
      <c r="P96" s="2" t="s">
        <v>63</v>
      </c>
      <c r="Q96" s="2">
        <v>1000</v>
      </c>
      <c r="W96" s="2">
        <v>0</v>
      </c>
      <c r="X96" s="2">
        <v>946953562</v>
      </c>
      <c r="Y96" s="2">
        <v>11.67</v>
      </c>
      <c r="AA96" s="2">
        <v>2954.24</v>
      </c>
      <c r="AB96" s="2">
        <v>0</v>
      </c>
      <c r="AC96" s="2">
        <v>0</v>
      </c>
      <c r="AD96" s="2">
        <v>0</v>
      </c>
      <c r="AE96" s="2">
        <v>2954.24</v>
      </c>
      <c r="AF96" s="2">
        <v>0</v>
      </c>
      <c r="AG96" s="2">
        <v>0</v>
      </c>
      <c r="AH96" s="2">
        <v>0</v>
      </c>
      <c r="AI96" s="2">
        <v>1</v>
      </c>
      <c r="AJ96" s="2">
        <v>1</v>
      </c>
      <c r="AK96" s="2">
        <v>1</v>
      </c>
      <c r="AL96" s="2">
        <v>1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 t="s">
        <v>30</v>
      </c>
      <c r="AT96" s="2">
        <v>11.67</v>
      </c>
      <c r="AU96" s="2" t="s">
        <v>30</v>
      </c>
      <c r="AV96" s="2">
        <v>0</v>
      </c>
      <c r="AW96" s="2">
        <v>1</v>
      </c>
      <c r="AX96" s="2">
        <v>-1</v>
      </c>
      <c r="AY96" s="2">
        <v>0</v>
      </c>
      <c r="AZ96" s="2">
        <v>0</v>
      </c>
      <c r="BA96" s="2" t="s">
        <v>30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CX96" s="2">
        <f>Y96*'Source (3)'!I201</f>
        <v>23.923500000000001</v>
      </c>
      <c r="CY96" s="2">
        <f>AA96</f>
        <v>2954.24</v>
      </c>
      <c r="CZ96" s="2">
        <f>AE96</f>
        <v>2954.24</v>
      </c>
      <c r="DA96" s="2">
        <f>AI96</f>
        <v>1</v>
      </c>
      <c r="DB96" s="2">
        <f t="shared" si="11"/>
        <v>34475.980000000003</v>
      </c>
      <c r="DC96" s="2">
        <f t="shared" si="12"/>
        <v>0</v>
      </c>
    </row>
    <row r="97" spans="1:107" x14ac:dyDescent="0.25">
      <c r="A97" s="2">
        <f>ROW('Source (3)'!A239)</f>
        <v>239</v>
      </c>
      <c r="B97" s="2">
        <v>52286166</v>
      </c>
      <c r="C97" s="2">
        <v>52286765</v>
      </c>
      <c r="D97" s="2">
        <v>49677488</v>
      </c>
      <c r="E97" s="2">
        <v>29</v>
      </c>
      <c r="F97" s="2">
        <v>1</v>
      </c>
      <c r="G97" s="2">
        <v>29</v>
      </c>
      <c r="H97" s="2">
        <v>1</v>
      </c>
      <c r="I97" s="2" t="s">
        <v>359</v>
      </c>
      <c r="J97" s="2" t="s">
        <v>30</v>
      </c>
      <c r="K97" s="2" t="s">
        <v>360</v>
      </c>
      <c r="L97" s="2">
        <v>1191</v>
      </c>
      <c r="N97" s="2">
        <v>1013</v>
      </c>
      <c r="O97" s="2" t="s">
        <v>361</v>
      </c>
      <c r="P97" s="2" t="s">
        <v>361</v>
      </c>
      <c r="Q97" s="2">
        <v>1</v>
      </c>
      <c r="W97" s="2">
        <v>0</v>
      </c>
      <c r="X97" s="2">
        <v>476480486</v>
      </c>
      <c r="Y97" s="2">
        <v>30.8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1</v>
      </c>
      <c r="AJ97" s="2">
        <v>1</v>
      </c>
      <c r="AK97" s="2">
        <v>1</v>
      </c>
      <c r="AL97" s="2">
        <v>1</v>
      </c>
      <c r="AN97" s="2">
        <v>0</v>
      </c>
      <c r="AO97" s="2">
        <v>1</v>
      </c>
      <c r="AP97" s="2">
        <v>0</v>
      </c>
      <c r="AQ97" s="2">
        <v>0</v>
      </c>
      <c r="AR97" s="2">
        <v>0</v>
      </c>
      <c r="AS97" s="2" t="s">
        <v>30</v>
      </c>
      <c r="AT97" s="2">
        <v>30.8</v>
      </c>
      <c r="AU97" s="2" t="s">
        <v>30</v>
      </c>
      <c r="AV97" s="2">
        <v>1</v>
      </c>
      <c r="AW97" s="2">
        <v>2</v>
      </c>
      <c r="AX97" s="2">
        <v>52286770</v>
      </c>
      <c r="AY97" s="2">
        <v>1</v>
      </c>
      <c r="AZ97" s="2">
        <v>0</v>
      </c>
      <c r="BA97" s="2">
        <v>93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CX97" s="2">
        <f>Y97*'Source (3)'!I239</f>
        <v>184.8</v>
      </c>
      <c r="CY97" s="2">
        <f>AD97</f>
        <v>0</v>
      </c>
      <c r="CZ97" s="2">
        <f>AH97</f>
        <v>0</v>
      </c>
      <c r="DA97" s="2">
        <f>AL97</f>
        <v>1</v>
      </c>
      <c r="DB97" s="2">
        <f t="shared" si="11"/>
        <v>0</v>
      </c>
      <c r="DC97" s="2">
        <f t="shared" si="12"/>
        <v>0</v>
      </c>
    </row>
    <row r="98" spans="1:107" x14ac:dyDescent="0.25">
      <c r="A98" s="2">
        <f>ROW('Source (3)'!A239)</f>
        <v>239</v>
      </c>
      <c r="B98" s="2">
        <v>52286166</v>
      </c>
      <c r="C98" s="2">
        <v>52286765</v>
      </c>
      <c r="D98" s="2">
        <v>49679009</v>
      </c>
      <c r="E98" s="2">
        <v>1</v>
      </c>
      <c r="F98" s="2">
        <v>1</v>
      </c>
      <c r="G98" s="2">
        <v>29</v>
      </c>
      <c r="H98" s="2">
        <v>2</v>
      </c>
      <c r="I98" s="2" t="s">
        <v>134</v>
      </c>
      <c r="J98" s="2" t="s">
        <v>384</v>
      </c>
      <c r="K98" s="2" t="s">
        <v>135</v>
      </c>
      <c r="L98" s="2">
        <v>1368</v>
      </c>
      <c r="N98" s="2">
        <v>1011</v>
      </c>
      <c r="O98" s="2" t="s">
        <v>82</v>
      </c>
      <c r="P98" s="2" t="s">
        <v>82</v>
      </c>
      <c r="Q98" s="2">
        <v>1</v>
      </c>
      <c r="W98" s="2">
        <v>0</v>
      </c>
      <c r="X98" s="2">
        <v>1812925716</v>
      </c>
      <c r="Y98" s="2">
        <v>0.06</v>
      </c>
      <c r="AA98" s="2">
        <v>0</v>
      </c>
      <c r="AB98" s="2">
        <v>17.07</v>
      </c>
      <c r="AC98" s="2">
        <v>1.45</v>
      </c>
      <c r="AD98" s="2">
        <v>0</v>
      </c>
      <c r="AE98" s="2">
        <v>0</v>
      </c>
      <c r="AF98" s="2">
        <v>17.07</v>
      </c>
      <c r="AG98" s="2">
        <v>1.45</v>
      </c>
      <c r="AH98" s="2">
        <v>0</v>
      </c>
      <c r="AI98" s="2">
        <v>1</v>
      </c>
      <c r="AJ98" s="2">
        <v>1</v>
      </c>
      <c r="AK98" s="2">
        <v>1</v>
      </c>
      <c r="AL98" s="2">
        <v>1</v>
      </c>
      <c r="AN98" s="2">
        <v>0</v>
      </c>
      <c r="AO98" s="2">
        <v>1</v>
      </c>
      <c r="AP98" s="2">
        <v>0</v>
      </c>
      <c r="AQ98" s="2">
        <v>0</v>
      </c>
      <c r="AR98" s="2">
        <v>0</v>
      </c>
      <c r="AS98" s="2" t="s">
        <v>30</v>
      </c>
      <c r="AT98" s="2">
        <v>0.06</v>
      </c>
      <c r="AU98" s="2" t="s">
        <v>30</v>
      </c>
      <c r="AV98" s="2">
        <v>0</v>
      </c>
      <c r="AW98" s="2">
        <v>2</v>
      </c>
      <c r="AX98" s="2">
        <v>52286771</v>
      </c>
      <c r="AY98" s="2">
        <v>1</v>
      </c>
      <c r="AZ98" s="2">
        <v>0</v>
      </c>
      <c r="BA98" s="2">
        <v>94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CX98" s="2">
        <f>Y98*'Source (3)'!I239</f>
        <v>0.36</v>
      </c>
      <c r="CY98" s="2">
        <f>AB98</f>
        <v>17.07</v>
      </c>
      <c r="CZ98" s="2">
        <f>AF98</f>
        <v>17.07</v>
      </c>
      <c r="DA98" s="2">
        <f>AJ98</f>
        <v>1</v>
      </c>
      <c r="DB98" s="2">
        <f t="shared" si="11"/>
        <v>1.02</v>
      </c>
      <c r="DC98" s="2">
        <f t="shared" si="12"/>
        <v>0.09</v>
      </c>
    </row>
    <row r="99" spans="1:107" x14ac:dyDescent="0.25">
      <c r="A99" s="2">
        <f>ROW('Source (3)'!A239)</f>
        <v>239</v>
      </c>
      <c r="B99" s="2">
        <v>52286166</v>
      </c>
      <c r="C99" s="2">
        <v>52286765</v>
      </c>
      <c r="D99" s="2">
        <v>49678455</v>
      </c>
      <c r="E99" s="2">
        <v>1</v>
      </c>
      <c r="F99" s="2">
        <v>1</v>
      </c>
      <c r="G99" s="2">
        <v>29</v>
      </c>
      <c r="H99" s="2">
        <v>2</v>
      </c>
      <c r="I99" s="2" t="s">
        <v>136</v>
      </c>
      <c r="J99" s="2" t="s">
        <v>385</v>
      </c>
      <c r="K99" s="2" t="s">
        <v>137</v>
      </c>
      <c r="L99" s="2">
        <v>1368</v>
      </c>
      <c r="N99" s="2">
        <v>1011</v>
      </c>
      <c r="O99" s="2" t="s">
        <v>82</v>
      </c>
      <c r="P99" s="2" t="s">
        <v>82</v>
      </c>
      <c r="Q99" s="2">
        <v>1</v>
      </c>
      <c r="W99" s="2">
        <v>0</v>
      </c>
      <c r="X99" s="2">
        <v>1345285351</v>
      </c>
      <c r="Y99" s="2">
        <v>0.06</v>
      </c>
      <c r="AA99" s="2">
        <v>0</v>
      </c>
      <c r="AB99" s="2">
        <v>1060.5899999999999</v>
      </c>
      <c r="AC99" s="2">
        <v>378.83</v>
      </c>
      <c r="AD99" s="2">
        <v>0</v>
      </c>
      <c r="AE99" s="2">
        <v>0</v>
      </c>
      <c r="AF99" s="2">
        <v>1060.5899999999999</v>
      </c>
      <c r="AG99" s="2">
        <v>378.83</v>
      </c>
      <c r="AH99" s="2">
        <v>0</v>
      </c>
      <c r="AI99" s="2">
        <v>1</v>
      </c>
      <c r="AJ99" s="2">
        <v>1</v>
      </c>
      <c r="AK99" s="2">
        <v>1</v>
      </c>
      <c r="AL99" s="2">
        <v>1</v>
      </c>
      <c r="AN99" s="2">
        <v>0</v>
      </c>
      <c r="AO99" s="2">
        <v>1</v>
      </c>
      <c r="AP99" s="2">
        <v>0</v>
      </c>
      <c r="AQ99" s="2">
        <v>0</v>
      </c>
      <c r="AR99" s="2">
        <v>0</v>
      </c>
      <c r="AS99" s="2" t="s">
        <v>30</v>
      </c>
      <c r="AT99" s="2">
        <v>0.06</v>
      </c>
      <c r="AU99" s="2" t="s">
        <v>30</v>
      </c>
      <c r="AV99" s="2">
        <v>0</v>
      </c>
      <c r="AW99" s="2">
        <v>2</v>
      </c>
      <c r="AX99" s="2">
        <v>52286772</v>
      </c>
      <c r="AY99" s="2">
        <v>1</v>
      </c>
      <c r="AZ99" s="2">
        <v>0</v>
      </c>
      <c r="BA99" s="2">
        <v>95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CX99" s="2">
        <f>Y99*'Source (3)'!I239</f>
        <v>0.36</v>
      </c>
      <c r="CY99" s="2">
        <f>AB99</f>
        <v>1060.5899999999999</v>
      </c>
      <c r="CZ99" s="2">
        <f>AF99</f>
        <v>1060.5899999999999</v>
      </c>
      <c r="DA99" s="2">
        <f>AJ99</f>
        <v>1</v>
      </c>
      <c r="DB99" s="2">
        <f t="shared" si="11"/>
        <v>63.64</v>
      </c>
      <c r="DC99" s="2">
        <f t="shared" si="12"/>
        <v>22.73</v>
      </c>
    </row>
    <row r="100" spans="1:107" x14ac:dyDescent="0.25">
      <c r="A100" s="2">
        <f>ROW('Source (3)'!A239)</f>
        <v>239</v>
      </c>
      <c r="B100" s="2">
        <v>52286166</v>
      </c>
      <c r="C100" s="2">
        <v>52286765</v>
      </c>
      <c r="D100" s="2">
        <v>49683083</v>
      </c>
      <c r="E100" s="2">
        <v>1</v>
      </c>
      <c r="F100" s="2">
        <v>1</v>
      </c>
      <c r="G100" s="2">
        <v>29</v>
      </c>
      <c r="H100" s="2">
        <v>3</v>
      </c>
      <c r="I100" s="2" t="s">
        <v>141</v>
      </c>
      <c r="J100" s="2" t="s">
        <v>386</v>
      </c>
      <c r="K100" s="2" t="s">
        <v>142</v>
      </c>
      <c r="L100" s="2">
        <v>1339</v>
      </c>
      <c r="N100" s="2">
        <v>1007</v>
      </c>
      <c r="O100" s="2" t="s">
        <v>62</v>
      </c>
      <c r="P100" s="2" t="s">
        <v>62</v>
      </c>
      <c r="Q100" s="2">
        <v>1</v>
      </c>
      <c r="W100" s="2">
        <v>0</v>
      </c>
      <c r="X100" s="2">
        <v>-934355594</v>
      </c>
      <c r="Y100" s="2">
        <v>15</v>
      </c>
      <c r="AA100" s="2">
        <v>790.5</v>
      </c>
      <c r="AB100" s="2">
        <v>0</v>
      </c>
      <c r="AC100" s="2">
        <v>0</v>
      </c>
      <c r="AD100" s="2">
        <v>0</v>
      </c>
      <c r="AE100" s="2">
        <v>790.5</v>
      </c>
      <c r="AF100" s="2">
        <v>0</v>
      </c>
      <c r="AG100" s="2">
        <v>0</v>
      </c>
      <c r="AH100" s="2">
        <v>0</v>
      </c>
      <c r="AI100" s="2">
        <v>1</v>
      </c>
      <c r="AJ100" s="2">
        <v>1</v>
      </c>
      <c r="AK100" s="2">
        <v>1</v>
      </c>
      <c r="AL100" s="2">
        <v>1</v>
      </c>
      <c r="AN100" s="2">
        <v>0</v>
      </c>
      <c r="AO100" s="2">
        <v>1</v>
      </c>
      <c r="AP100" s="2">
        <v>0</v>
      </c>
      <c r="AQ100" s="2">
        <v>0</v>
      </c>
      <c r="AR100" s="2">
        <v>0</v>
      </c>
      <c r="AS100" s="2" t="s">
        <v>30</v>
      </c>
      <c r="AT100" s="2">
        <v>15</v>
      </c>
      <c r="AU100" s="2" t="s">
        <v>30</v>
      </c>
      <c r="AV100" s="2">
        <v>0</v>
      </c>
      <c r="AW100" s="2">
        <v>2</v>
      </c>
      <c r="AX100" s="2">
        <v>52286773</v>
      </c>
      <c r="AY100" s="2">
        <v>1</v>
      </c>
      <c r="AZ100" s="2">
        <v>0</v>
      </c>
      <c r="BA100" s="2">
        <v>96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CX100" s="2">
        <f>Y100*'Source (3)'!I239</f>
        <v>90</v>
      </c>
      <c r="CY100" s="2">
        <f>AA100</f>
        <v>790.5</v>
      </c>
      <c r="CZ100" s="2">
        <f>AE100</f>
        <v>790.5</v>
      </c>
      <c r="DA100" s="2">
        <f>AI100</f>
        <v>1</v>
      </c>
      <c r="DB100" s="2">
        <f t="shared" si="11"/>
        <v>11857.5</v>
      </c>
      <c r="DC100" s="2">
        <f t="shared" si="12"/>
        <v>0</v>
      </c>
    </row>
    <row r="101" spans="1:107" x14ac:dyDescent="0.25">
      <c r="A101" s="2">
        <f>ROW('Source (3)'!A240)</f>
        <v>240</v>
      </c>
      <c r="B101" s="2">
        <v>52286166</v>
      </c>
      <c r="C101" s="2">
        <v>52286774</v>
      </c>
      <c r="D101" s="2">
        <v>49677488</v>
      </c>
      <c r="E101" s="2">
        <v>29</v>
      </c>
      <c r="F101" s="2">
        <v>1</v>
      </c>
      <c r="G101" s="2">
        <v>29</v>
      </c>
      <c r="H101" s="2">
        <v>1</v>
      </c>
      <c r="I101" s="2" t="s">
        <v>359</v>
      </c>
      <c r="J101" s="2" t="s">
        <v>30</v>
      </c>
      <c r="K101" s="2" t="s">
        <v>360</v>
      </c>
      <c r="L101" s="2">
        <v>1191</v>
      </c>
      <c r="N101" s="2">
        <v>1013</v>
      </c>
      <c r="O101" s="2" t="s">
        <v>361</v>
      </c>
      <c r="P101" s="2" t="s">
        <v>361</v>
      </c>
      <c r="Q101" s="2">
        <v>1</v>
      </c>
      <c r="W101" s="2">
        <v>0</v>
      </c>
      <c r="X101" s="2">
        <v>476480486</v>
      </c>
      <c r="Y101" s="2">
        <v>46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1</v>
      </c>
      <c r="AJ101" s="2">
        <v>1</v>
      </c>
      <c r="AK101" s="2">
        <v>1</v>
      </c>
      <c r="AL101" s="2">
        <v>1</v>
      </c>
      <c r="AN101" s="2">
        <v>0</v>
      </c>
      <c r="AO101" s="2">
        <v>1</v>
      </c>
      <c r="AP101" s="2">
        <v>0</v>
      </c>
      <c r="AQ101" s="2">
        <v>0</v>
      </c>
      <c r="AR101" s="2">
        <v>0</v>
      </c>
      <c r="AS101" s="2" t="s">
        <v>30</v>
      </c>
      <c r="AT101" s="2">
        <v>46</v>
      </c>
      <c r="AU101" s="2" t="s">
        <v>30</v>
      </c>
      <c r="AV101" s="2">
        <v>1</v>
      </c>
      <c r="AW101" s="2">
        <v>2</v>
      </c>
      <c r="AX101" s="2">
        <v>52286777</v>
      </c>
      <c r="AY101" s="2">
        <v>1</v>
      </c>
      <c r="AZ101" s="2">
        <v>0</v>
      </c>
      <c r="BA101" s="2">
        <v>97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CX101" s="2">
        <f>Y101*'Source (3)'!I240</f>
        <v>92</v>
      </c>
      <c r="CY101" s="2">
        <f>AD101</f>
        <v>0</v>
      </c>
      <c r="CZ101" s="2">
        <f>AH101</f>
        <v>0</v>
      </c>
      <c r="DA101" s="2">
        <f>AL101</f>
        <v>1</v>
      </c>
      <c r="DB101" s="2">
        <f t="shared" si="11"/>
        <v>0</v>
      </c>
      <c r="DC101" s="2">
        <f t="shared" si="12"/>
        <v>0</v>
      </c>
    </row>
    <row r="102" spans="1:107" x14ac:dyDescent="0.25">
      <c r="A102" s="2">
        <f>ROW('Source (3)'!A240)</f>
        <v>240</v>
      </c>
      <c r="B102" s="2">
        <v>52286166</v>
      </c>
      <c r="C102" s="2">
        <v>52286774</v>
      </c>
      <c r="D102" s="2">
        <v>49683083</v>
      </c>
      <c r="E102" s="2">
        <v>1</v>
      </c>
      <c r="F102" s="2">
        <v>1</v>
      </c>
      <c r="G102" s="2">
        <v>29</v>
      </c>
      <c r="H102" s="2">
        <v>3</v>
      </c>
      <c r="I102" s="2" t="s">
        <v>141</v>
      </c>
      <c r="J102" s="2" t="s">
        <v>386</v>
      </c>
      <c r="K102" s="2" t="s">
        <v>142</v>
      </c>
      <c r="L102" s="2">
        <v>1339</v>
      </c>
      <c r="N102" s="2">
        <v>1007</v>
      </c>
      <c r="O102" s="2" t="s">
        <v>62</v>
      </c>
      <c r="P102" s="2" t="s">
        <v>62</v>
      </c>
      <c r="Q102" s="2">
        <v>1</v>
      </c>
      <c r="W102" s="2">
        <v>0</v>
      </c>
      <c r="X102" s="2">
        <v>-934355594</v>
      </c>
      <c r="Y102" s="2">
        <v>15</v>
      </c>
      <c r="AA102" s="2">
        <v>790.5</v>
      </c>
      <c r="AB102" s="2">
        <v>0</v>
      </c>
      <c r="AC102" s="2">
        <v>0</v>
      </c>
      <c r="AD102" s="2">
        <v>0</v>
      </c>
      <c r="AE102" s="2">
        <v>790.5</v>
      </c>
      <c r="AF102" s="2">
        <v>0</v>
      </c>
      <c r="AG102" s="2">
        <v>0</v>
      </c>
      <c r="AH102" s="2">
        <v>0</v>
      </c>
      <c r="AI102" s="2">
        <v>1</v>
      </c>
      <c r="AJ102" s="2">
        <v>1</v>
      </c>
      <c r="AK102" s="2">
        <v>1</v>
      </c>
      <c r="AL102" s="2">
        <v>1</v>
      </c>
      <c r="AN102" s="2">
        <v>0</v>
      </c>
      <c r="AO102" s="2">
        <v>1</v>
      </c>
      <c r="AP102" s="2">
        <v>0</v>
      </c>
      <c r="AQ102" s="2">
        <v>0</v>
      </c>
      <c r="AR102" s="2">
        <v>0</v>
      </c>
      <c r="AS102" s="2" t="s">
        <v>30</v>
      </c>
      <c r="AT102" s="2">
        <v>15</v>
      </c>
      <c r="AU102" s="2" t="s">
        <v>30</v>
      </c>
      <c r="AV102" s="2">
        <v>0</v>
      </c>
      <c r="AW102" s="2">
        <v>2</v>
      </c>
      <c r="AX102" s="2">
        <v>52286778</v>
      </c>
      <c r="AY102" s="2">
        <v>1</v>
      </c>
      <c r="AZ102" s="2">
        <v>0</v>
      </c>
      <c r="BA102" s="2">
        <v>98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CX102" s="2">
        <f>Y102*'Source (3)'!I240</f>
        <v>30</v>
      </c>
      <c r="CY102" s="2">
        <f>AA102</f>
        <v>790.5</v>
      </c>
      <c r="CZ102" s="2">
        <f>AE102</f>
        <v>790.5</v>
      </c>
      <c r="DA102" s="2">
        <f>AI102</f>
        <v>1</v>
      </c>
      <c r="DB102" s="2">
        <f t="shared" si="11"/>
        <v>11857.5</v>
      </c>
      <c r="DC102" s="2">
        <f t="shared" si="12"/>
        <v>0</v>
      </c>
    </row>
    <row r="103" spans="1:107" x14ac:dyDescent="0.25">
      <c r="A103" s="2">
        <f>ROW('Source (3)'!A241)</f>
        <v>241</v>
      </c>
      <c r="B103" s="2">
        <v>52286166</v>
      </c>
      <c r="C103" s="2">
        <v>52286779</v>
      </c>
      <c r="D103" s="2">
        <v>49677488</v>
      </c>
      <c r="E103" s="2">
        <v>29</v>
      </c>
      <c r="F103" s="2">
        <v>1</v>
      </c>
      <c r="G103" s="2">
        <v>29</v>
      </c>
      <c r="H103" s="2">
        <v>1</v>
      </c>
      <c r="I103" s="2" t="s">
        <v>359</v>
      </c>
      <c r="J103" s="2" t="s">
        <v>30</v>
      </c>
      <c r="K103" s="2" t="s">
        <v>360</v>
      </c>
      <c r="L103" s="2">
        <v>1191</v>
      </c>
      <c r="N103" s="2">
        <v>1013</v>
      </c>
      <c r="O103" s="2" t="s">
        <v>361</v>
      </c>
      <c r="P103" s="2" t="s">
        <v>361</v>
      </c>
      <c r="Q103" s="2">
        <v>1</v>
      </c>
      <c r="W103" s="2">
        <v>0</v>
      </c>
      <c r="X103" s="2">
        <v>476480486</v>
      </c>
      <c r="Y103" s="2">
        <v>6.29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1</v>
      </c>
      <c r="AJ103" s="2">
        <v>1</v>
      </c>
      <c r="AK103" s="2">
        <v>1</v>
      </c>
      <c r="AL103" s="2">
        <v>1</v>
      </c>
      <c r="AN103" s="2">
        <v>0</v>
      </c>
      <c r="AO103" s="2">
        <v>1</v>
      </c>
      <c r="AP103" s="2">
        <v>0</v>
      </c>
      <c r="AQ103" s="2">
        <v>0</v>
      </c>
      <c r="AR103" s="2">
        <v>0</v>
      </c>
      <c r="AS103" s="2" t="s">
        <v>30</v>
      </c>
      <c r="AT103" s="2">
        <v>6.29</v>
      </c>
      <c r="AU103" s="2" t="s">
        <v>30</v>
      </c>
      <c r="AV103" s="2">
        <v>1</v>
      </c>
      <c r="AW103" s="2">
        <v>2</v>
      </c>
      <c r="AX103" s="2">
        <v>52286782</v>
      </c>
      <c r="AY103" s="2">
        <v>1</v>
      </c>
      <c r="AZ103" s="2">
        <v>0</v>
      </c>
      <c r="BA103" s="2">
        <v>99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CX103" s="2">
        <f>Y103*'Source (3)'!I241</f>
        <v>-50.32</v>
      </c>
      <c r="CY103" s="2">
        <f>AD103</f>
        <v>0</v>
      </c>
      <c r="CZ103" s="2">
        <f>AH103</f>
        <v>0</v>
      </c>
      <c r="DA103" s="2">
        <f>AL103</f>
        <v>1</v>
      </c>
      <c r="DB103" s="2">
        <f t="shared" si="11"/>
        <v>0</v>
      </c>
      <c r="DC103" s="2">
        <f t="shared" si="12"/>
        <v>0</v>
      </c>
    </row>
    <row r="104" spans="1:107" x14ac:dyDescent="0.25">
      <c r="A104" s="2">
        <f>ROW('Source (3)'!A241)</f>
        <v>241</v>
      </c>
      <c r="B104" s="2">
        <v>52286166</v>
      </c>
      <c r="C104" s="2">
        <v>52286779</v>
      </c>
      <c r="D104" s="2">
        <v>49683083</v>
      </c>
      <c r="E104" s="2">
        <v>1</v>
      </c>
      <c r="F104" s="2">
        <v>1</v>
      </c>
      <c r="G104" s="2">
        <v>29</v>
      </c>
      <c r="H104" s="2">
        <v>3</v>
      </c>
      <c r="I104" s="2" t="s">
        <v>141</v>
      </c>
      <c r="J104" s="2" t="s">
        <v>386</v>
      </c>
      <c r="K104" s="2" t="s">
        <v>142</v>
      </c>
      <c r="L104" s="2">
        <v>1339</v>
      </c>
      <c r="N104" s="2">
        <v>1007</v>
      </c>
      <c r="O104" s="2" t="s">
        <v>62</v>
      </c>
      <c r="P104" s="2" t="s">
        <v>62</v>
      </c>
      <c r="Q104" s="2">
        <v>1</v>
      </c>
      <c r="W104" s="2">
        <v>0</v>
      </c>
      <c r="X104" s="2">
        <v>-934355594</v>
      </c>
      <c r="Y104" s="2">
        <v>5</v>
      </c>
      <c r="AA104" s="2">
        <v>790.5</v>
      </c>
      <c r="AB104" s="2">
        <v>0</v>
      </c>
      <c r="AC104" s="2">
        <v>0</v>
      </c>
      <c r="AD104" s="2">
        <v>0</v>
      </c>
      <c r="AE104" s="2">
        <v>790.5</v>
      </c>
      <c r="AF104" s="2">
        <v>0</v>
      </c>
      <c r="AG104" s="2">
        <v>0</v>
      </c>
      <c r="AH104" s="2">
        <v>0</v>
      </c>
      <c r="AI104" s="2">
        <v>1</v>
      </c>
      <c r="AJ104" s="2">
        <v>1</v>
      </c>
      <c r="AK104" s="2">
        <v>1</v>
      </c>
      <c r="AL104" s="2">
        <v>1</v>
      </c>
      <c r="AN104" s="2">
        <v>0</v>
      </c>
      <c r="AO104" s="2">
        <v>1</v>
      </c>
      <c r="AP104" s="2">
        <v>0</v>
      </c>
      <c r="AQ104" s="2">
        <v>0</v>
      </c>
      <c r="AR104" s="2">
        <v>0</v>
      </c>
      <c r="AS104" s="2" t="s">
        <v>30</v>
      </c>
      <c r="AT104" s="2">
        <v>5</v>
      </c>
      <c r="AU104" s="2" t="s">
        <v>30</v>
      </c>
      <c r="AV104" s="2">
        <v>0</v>
      </c>
      <c r="AW104" s="2">
        <v>2</v>
      </c>
      <c r="AX104" s="2">
        <v>52286783</v>
      </c>
      <c r="AY104" s="2">
        <v>1</v>
      </c>
      <c r="AZ104" s="2">
        <v>0</v>
      </c>
      <c r="BA104" s="2">
        <v>100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CX104" s="2">
        <f>Y104*'Source (3)'!I241</f>
        <v>-40</v>
      </c>
      <c r="CY104" s="2">
        <f>AA104</f>
        <v>790.5</v>
      </c>
      <c r="CZ104" s="2">
        <f>AE104</f>
        <v>790.5</v>
      </c>
      <c r="DA104" s="2">
        <f>AI104</f>
        <v>1</v>
      </c>
      <c r="DB104" s="2">
        <f t="shared" si="11"/>
        <v>3952.5</v>
      </c>
      <c r="DC104" s="2">
        <f t="shared" si="12"/>
        <v>0</v>
      </c>
    </row>
    <row r="105" spans="1:107" x14ac:dyDescent="0.25">
      <c r="A105" s="2">
        <f>ROW('Source (3)'!A242)</f>
        <v>242</v>
      </c>
      <c r="B105" s="2">
        <v>52286166</v>
      </c>
      <c r="C105" s="2">
        <v>52286784</v>
      </c>
      <c r="D105" s="2">
        <v>49677488</v>
      </c>
      <c r="E105" s="2">
        <v>29</v>
      </c>
      <c r="F105" s="2">
        <v>1</v>
      </c>
      <c r="G105" s="2">
        <v>29</v>
      </c>
      <c r="H105" s="2">
        <v>1</v>
      </c>
      <c r="I105" s="2" t="s">
        <v>359</v>
      </c>
      <c r="J105" s="2" t="s">
        <v>30</v>
      </c>
      <c r="K105" s="2" t="s">
        <v>360</v>
      </c>
      <c r="L105" s="2">
        <v>1191</v>
      </c>
      <c r="N105" s="2">
        <v>1013</v>
      </c>
      <c r="O105" s="2" t="s">
        <v>361</v>
      </c>
      <c r="P105" s="2" t="s">
        <v>361</v>
      </c>
      <c r="Q105" s="2">
        <v>1</v>
      </c>
      <c r="W105" s="2">
        <v>0</v>
      </c>
      <c r="X105" s="2">
        <v>476480486</v>
      </c>
      <c r="Y105" s="2">
        <v>6.04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1</v>
      </c>
      <c r="AJ105" s="2">
        <v>1</v>
      </c>
      <c r="AK105" s="2">
        <v>1</v>
      </c>
      <c r="AL105" s="2">
        <v>1</v>
      </c>
      <c r="AN105" s="2">
        <v>0</v>
      </c>
      <c r="AO105" s="2">
        <v>1</v>
      </c>
      <c r="AP105" s="2">
        <v>0</v>
      </c>
      <c r="AQ105" s="2">
        <v>0</v>
      </c>
      <c r="AR105" s="2">
        <v>0</v>
      </c>
      <c r="AS105" s="2" t="s">
        <v>30</v>
      </c>
      <c r="AT105" s="2">
        <v>6.04</v>
      </c>
      <c r="AU105" s="2" t="s">
        <v>30</v>
      </c>
      <c r="AV105" s="2">
        <v>1</v>
      </c>
      <c r="AW105" s="2">
        <v>2</v>
      </c>
      <c r="AX105" s="2">
        <v>52286788</v>
      </c>
      <c r="AY105" s="2">
        <v>1</v>
      </c>
      <c r="AZ105" s="2">
        <v>0</v>
      </c>
      <c r="BA105" s="2">
        <v>101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CX105" s="2">
        <f>Y105*'Source (3)'!I242</f>
        <v>48.32</v>
      </c>
      <c r="CY105" s="2">
        <f>AD105</f>
        <v>0</v>
      </c>
      <c r="CZ105" s="2">
        <f>AH105</f>
        <v>0</v>
      </c>
      <c r="DA105" s="2">
        <f>AL105</f>
        <v>1</v>
      </c>
      <c r="DB105" s="2">
        <f t="shared" si="11"/>
        <v>0</v>
      </c>
      <c r="DC105" s="2">
        <f t="shared" si="12"/>
        <v>0</v>
      </c>
    </row>
    <row r="106" spans="1:107" x14ac:dyDescent="0.25">
      <c r="A106" s="2">
        <f>ROW('Source (3)'!A242)</f>
        <v>242</v>
      </c>
      <c r="B106" s="2">
        <v>52286166</v>
      </c>
      <c r="C106" s="2">
        <v>52286784</v>
      </c>
      <c r="D106" s="2">
        <v>49681352</v>
      </c>
      <c r="E106" s="2">
        <v>1</v>
      </c>
      <c r="F106" s="2">
        <v>1</v>
      </c>
      <c r="G106" s="2">
        <v>29</v>
      </c>
      <c r="H106" s="2">
        <v>3</v>
      </c>
      <c r="I106" s="2" t="s">
        <v>111</v>
      </c>
      <c r="J106" s="2" t="s">
        <v>367</v>
      </c>
      <c r="K106" s="2" t="s">
        <v>112</v>
      </c>
      <c r="L106" s="2">
        <v>1339</v>
      </c>
      <c r="N106" s="2">
        <v>1007</v>
      </c>
      <c r="O106" s="2" t="s">
        <v>62</v>
      </c>
      <c r="P106" s="2" t="s">
        <v>62</v>
      </c>
      <c r="Q106" s="2">
        <v>1</v>
      </c>
      <c r="W106" s="2">
        <v>0</v>
      </c>
      <c r="X106" s="2">
        <v>1995837903</v>
      </c>
      <c r="Y106" s="2">
        <v>10</v>
      </c>
      <c r="AA106" s="2">
        <v>36.31</v>
      </c>
      <c r="AB106" s="2">
        <v>0</v>
      </c>
      <c r="AC106" s="2">
        <v>0</v>
      </c>
      <c r="AD106" s="2">
        <v>0</v>
      </c>
      <c r="AE106" s="2">
        <v>36.31</v>
      </c>
      <c r="AF106" s="2">
        <v>0</v>
      </c>
      <c r="AG106" s="2">
        <v>0</v>
      </c>
      <c r="AH106" s="2">
        <v>0</v>
      </c>
      <c r="AI106" s="2">
        <v>1</v>
      </c>
      <c r="AJ106" s="2">
        <v>1</v>
      </c>
      <c r="AK106" s="2">
        <v>1</v>
      </c>
      <c r="AL106" s="2">
        <v>1</v>
      </c>
      <c r="AN106" s="2">
        <v>0</v>
      </c>
      <c r="AO106" s="2">
        <v>1</v>
      </c>
      <c r="AP106" s="2">
        <v>0</v>
      </c>
      <c r="AQ106" s="2">
        <v>0</v>
      </c>
      <c r="AR106" s="2">
        <v>0</v>
      </c>
      <c r="AS106" s="2" t="s">
        <v>30</v>
      </c>
      <c r="AT106" s="2">
        <v>10</v>
      </c>
      <c r="AU106" s="2" t="s">
        <v>30</v>
      </c>
      <c r="AV106" s="2">
        <v>0</v>
      </c>
      <c r="AW106" s="2">
        <v>2</v>
      </c>
      <c r="AX106" s="2">
        <v>52286789</v>
      </c>
      <c r="AY106" s="2">
        <v>1</v>
      </c>
      <c r="AZ106" s="2">
        <v>0</v>
      </c>
      <c r="BA106" s="2">
        <v>102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CX106" s="2">
        <f>Y106*'Source (3)'!I242</f>
        <v>80</v>
      </c>
      <c r="CY106" s="2">
        <f>AA106</f>
        <v>36.31</v>
      </c>
      <c r="CZ106" s="2">
        <f>AE106</f>
        <v>36.31</v>
      </c>
      <c r="DA106" s="2">
        <f>AI106</f>
        <v>1</v>
      </c>
      <c r="DB106" s="2">
        <f t="shared" si="11"/>
        <v>363.1</v>
      </c>
      <c r="DC106" s="2">
        <f t="shared" si="12"/>
        <v>0</v>
      </c>
    </row>
    <row r="107" spans="1:107" x14ac:dyDescent="0.25">
      <c r="A107" s="2">
        <f>ROW('Source (3)'!A242)</f>
        <v>242</v>
      </c>
      <c r="B107" s="2">
        <v>52286166</v>
      </c>
      <c r="C107" s="2">
        <v>52286784</v>
      </c>
      <c r="D107" s="2">
        <v>49683088</v>
      </c>
      <c r="E107" s="2">
        <v>1</v>
      </c>
      <c r="F107" s="2">
        <v>1</v>
      </c>
      <c r="G107" s="2">
        <v>29</v>
      </c>
      <c r="H107" s="2">
        <v>3</v>
      </c>
      <c r="I107" s="2" t="s">
        <v>138</v>
      </c>
      <c r="J107" s="2" t="s">
        <v>387</v>
      </c>
      <c r="K107" s="2" t="s">
        <v>139</v>
      </c>
      <c r="L107" s="2">
        <v>1346</v>
      </c>
      <c r="N107" s="2">
        <v>1009</v>
      </c>
      <c r="O107" s="2" t="s">
        <v>140</v>
      </c>
      <c r="P107" s="2" t="s">
        <v>140</v>
      </c>
      <c r="Q107" s="2">
        <v>1</v>
      </c>
      <c r="W107" s="2">
        <v>0</v>
      </c>
      <c r="X107" s="2">
        <v>166899861</v>
      </c>
      <c r="Y107" s="2">
        <v>4</v>
      </c>
      <c r="AA107" s="2">
        <v>331.36</v>
      </c>
      <c r="AB107" s="2">
        <v>0</v>
      </c>
      <c r="AC107" s="2">
        <v>0</v>
      </c>
      <c r="AD107" s="2">
        <v>0</v>
      </c>
      <c r="AE107" s="2">
        <v>331.36</v>
      </c>
      <c r="AF107" s="2">
        <v>0</v>
      </c>
      <c r="AG107" s="2">
        <v>0</v>
      </c>
      <c r="AH107" s="2">
        <v>0</v>
      </c>
      <c r="AI107" s="2">
        <v>1</v>
      </c>
      <c r="AJ107" s="2">
        <v>1</v>
      </c>
      <c r="AK107" s="2">
        <v>1</v>
      </c>
      <c r="AL107" s="2">
        <v>1</v>
      </c>
      <c r="AN107" s="2">
        <v>0</v>
      </c>
      <c r="AO107" s="2">
        <v>1</v>
      </c>
      <c r="AP107" s="2">
        <v>0</v>
      </c>
      <c r="AQ107" s="2">
        <v>0</v>
      </c>
      <c r="AR107" s="2">
        <v>0</v>
      </c>
      <c r="AS107" s="2" t="s">
        <v>30</v>
      </c>
      <c r="AT107" s="2">
        <v>4</v>
      </c>
      <c r="AU107" s="2" t="s">
        <v>30</v>
      </c>
      <c r="AV107" s="2">
        <v>0</v>
      </c>
      <c r="AW107" s="2">
        <v>2</v>
      </c>
      <c r="AX107" s="2">
        <v>52286790</v>
      </c>
      <c r="AY107" s="2">
        <v>1</v>
      </c>
      <c r="AZ107" s="2">
        <v>0</v>
      </c>
      <c r="BA107" s="2">
        <v>103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CX107" s="2">
        <f>Y107*'Source (3)'!I242</f>
        <v>32</v>
      </c>
      <c r="CY107" s="2">
        <f>AA107</f>
        <v>331.36</v>
      </c>
      <c r="CZ107" s="2">
        <f>AE107</f>
        <v>331.36</v>
      </c>
      <c r="DA107" s="2">
        <f>AI107</f>
        <v>1</v>
      </c>
      <c r="DB107" s="2">
        <f t="shared" si="11"/>
        <v>1325.44</v>
      </c>
      <c r="DC107" s="2">
        <f t="shared" si="12"/>
        <v>0</v>
      </c>
    </row>
    <row r="108" spans="1:107" x14ac:dyDescent="0.25">
      <c r="A108" s="2">
        <f>ROW('Source (3)'!A278)</f>
        <v>278</v>
      </c>
      <c r="B108" s="2">
        <v>52286166</v>
      </c>
      <c r="C108" s="2">
        <v>52287332</v>
      </c>
      <c r="D108" s="2">
        <v>49677488</v>
      </c>
      <c r="E108" s="2">
        <v>29</v>
      </c>
      <c r="F108" s="2">
        <v>1</v>
      </c>
      <c r="G108" s="2">
        <v>29</v>
      </c>
      <c r="H108" s="2">
        <v>1</v>
      </c>
      <c r="I108" s="2" t="s">
        <v>359</v>
      </c>
      <c r="J108" s="2" t="s">
        <v>30</v>
      </c>
      <c r="K108" s="2" t="s">
        <v>360</v>
      </c>
      <c r="L108" s="2">
        <v>1191</v>
      </c>
      <c r="N108" s="2">
        <v>1013</v>
      </c>
      <c r="O108" s="2" t="s">
        <v>361</v>
      </c>
      <c r="P108" s="2" t="s">
        <v>361</v>
      </c>
      <c r="Q108" s="2">
        <v>1</v>
      </c>
      <c r="W108" s="2">
        <v>0</v>
      </c>
      <c r="X108" s="2">
        <v>476480486</v>
      </c>
      <c r="Y108" s="2">
        <v>8.5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1</v>
      </c>
      <c r="AJ108" s="2">
        <v>1</v>
      </c>
      <c r="AK108" s="2">
        <v>1</v>
      </c>
      <c r="AL108" s="2">
        <v>1</v>
      </c>
      <c r="AN108" s="2">
        <v>0</v>
      </c>
      <c r="AO108" s="2">
        <v>1</v>
      </c>
      <c r="AP108" s="2">
        <v>0</v>
      </c>
      <c r="AQ108" s="2">
        <v>0</v>
      </c>
      <c r="AR108" s="2">
        <v>0</v>
      </c>
      <c r="AS108" s="2" t="s">
        <v>30</v>
      </c>
      <c r="AT108" s="2">
        <v>8.5</v>
      </c>
      <c r="AU108" s="2" t="s">
        <v>30</v>
      </c>
      <c r="AV108" s="2">
        <v>1</v>
      </c>
      <c r="AW108" s="2">
        <v>2</v>
      </c>
      <c r="AX108" s="2">
        <v>52287336</v>
      </c>
      <c r="AY108" s="2">
        <v>1</v>
      </c>
      <c r="AZ108" s="2">
        <v>0</v>
      </c>
      <c r="BA108" s="2">
        <v>104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CX108" s="2">
        <f>Y108*'Source (3)'!I278</f>
        <v>0</v>
      </c>
      <c r="CY108" s="2">
        <f>AD108</f>
        <v>0</v>
      </c>
      <c r="CZ108" s="2">
        <f>AH108</f>
        <v>0</v>
      </c>
      <c r="DA108" s="2">
        <f>AL108</f>
        <v>1</v>
      </c>
      <c r="DB108" s="2">
        <f t="shared" si="11"/>
        <v>0</v>
      </c>
      <c r="DC108" s="2">
        <f t="shared" si="12"/>
        <v>0</v>
      </c>
    </row>
    <row r="109" spans="1:107" x14ac:dyDescent="0.25">
      <c r="A109" s="2">
        <f>ROW('Source (3)'!A278)</f>
        <v>278</v>
      </c>
      <c r="B109" s="2">
        <v>52286166</v>
      </c>
      <c r="C109" s="2">
        <v>52287332</v>
      </c>
      <c r="D109" s="2">
        <v>49679251</v>
      </c>
      <c r="E109" s="2">
        <v>1</v>
      </c>
      <c r="F109" s="2">
        <v>1</v>
      </c>
      <c r="G109" s="2">
        <v>29</v>
      </c>
      <c r="H109" s="2">
        <v>2</v>
      </c>
      <c r="I109" s="2" t="s">
        <v>410</v>
      </c>
      <c r="J109" s="2" t="s">
        <v>469</v>
      </c>
      <c r="K109" s="2" t="s">
        <v>411</v>
      </c>
      <c r="L109" s="2">
        <v>1368</v>
      </c>
      <c r="N109" s="2">
        <v>1011</v>
      </c>
      <c r="O109" s="2" t="s">
        <v>82</v>
      </c>
      <c r="P109" s="2" t="s">
        <v>82</v>
      </c>
      <c r="Q109" s="2">
        <v>1</v>
      </c>
      <c r="W109" s="2">
        <v>0</v>
      </c>
      <c r="X109" s="2">
        <v>-1976539019</v>
      </c>
      <c r="Y109" s="2">
        <v>8.5</v>
      </c>
      <c r="AA109" s="2">
        <v>0</v>
      </c>
      <c r="AB109" s="2">
        <v>3.14</v>
      </c>
      <c r="AC109" s="2">
        <v>0.01</v>
      </c>
      <c r="AD109" s="2">
        <v>0</v>
      </c>
      <c r="AE109" s="2">
        <v>0</v>
      </c>
      <c r="AF109" s="2">
        <v>3.14</v>
      </c>
      <c r="AG109" s="2">
        <v>0.01</v>
      </c>
      <c r="AH109" s="2">
        <v>0</v>
      </c>
      <c r="AI109" s="2">
        <v>1</v>
      </c>
      <c r="AJ109" s="2">
        <v>1</v>
      </c>
      <c r="AK109" s="2">
        <v>1</v>
      </c>
      <c r="AL109" s="2">
        <v>1</v>
      </c>
      <c r="AN109" s="2">
        <v>0</v>
      </c>
      <c r="AO109" s="2">
        <v>1</v>
      </c>
      <c r="AP109" s="2">
        <v>0</v>
      </c>
      <c r="AQ109" s="2">
        <v>0</v>
      </c>
      <c r="AR109" s="2">
        <v>0</v>
      </c>
      <c r="AS109" s="2" t="s">
        <v>30</v>
      </c>
      <c r="AT109" s="2">
        <v>8.5</v>
      </c>
      <c r="AU109" s="2" t="s">
        <v>30</v>
      </c>
      <c r="AV109" s="2">
        <v>0</v>
      </c>
      <c r="AW109" s="2">
        <v>2</v>
      </c>
      <c r="AX109" s="2">
        <v>52287337</v>
      </c>
      <c r="AY109" s="2">
        <v>1</v>
      </c>
      <c r="AZ109" s="2">
        <v>0</v>
      </c>
      <c r="BA109" s="2">
        <v>105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CX109" s="2">
        <f>Y109*'Source (3)'!I278</f>
        <v>0</v>
      </c>
      <c r="CY109" s="2">
        <f>AB109</f>
        <v>3.14</v>
      </c>
      <c r="CZ109" s="2">
        <f>AF109</f>
        <v>3.14</v>
      </c>
      <c r="DA109" s="2">
        <f>AJ109</f>
        <v>1</v>
      </c>
      <c r="DB109" s="2">
        <f t="shared" si="11"/>
        <v>26.69</v>
      </c>
      <c r="DC109" s="2">
        <f t="shared" si="12"/>
        <v>0.09</v>
      </c>
    </row>
    <row r="110" spans="1:107" x14ac:dyDescent="0.25">
      <c r="A110" s="2">
        <f>ROW('Source (3)'!A278)</f>
        <v>278</v>
      </c>
      <c r="B110" s="2">
        <v>52286166</v>
      </c>
      <c r="C110" s="2">
        <v>52287332</v>
      </c>
      <c r="D110" s="2">
        <v>49683646</v>
      </c>
      <c r="E110" s="2">
        <v>1</v>
      </c>
      <c r="F110" s="2">
        <v>1</v>
      </c>
      <c r="G110" s="2">
        <v>29</v>
      </c>
      <c r="H110" s="2">
        <v>3</v>
      </c>
      <c r="I110" s="2" t="s">
        <v>412</v>
      </c>
      <c r="J110" s="2" t="s">
        <v>470</v>
      </c>
      <c r="K110" s="2" t="s">
        <v>413</v>
      </c>
      <c r="L110" s="2">
        <v>1354</v>
      </c>
      <c r="N110" s="2">
        <v>1010</v>
      </c>
      <c r="O110" s="2" t="s">
        <v>67</v>
      </c>
      <c r="P110" s="2" t="s">
        <v>67</v>
      </c>
      <c r="Q110" s="2">
        <v>1</v>
      </c>
      <c r="W110" s="2">
        <v>0</v>
      </c>
      <c r="X110" s="2">
        <v>-236898998</v>
      </c>
      <c r="Y110" s="2">
        <v>10</v>
      </c>
      <c r="AA110" s="2">
        <v>1059.3499999999999</v>
      </c>
      <c r="AB110" s="2">
        <v>0</v>
      </c>
      <c r="AC110" s="2">
        <v>0</v>
      </c>
      <c r="AD110" s="2">
        <v>0</v>
      </c>
      <c r="AE110" s="2">
        <v>1059.3499999999999</v>
      </c>
      <c r="AF110" s="2">
        <v>0</v>
      </c>
      <c r="AG110" s="2">
        <v>0</v>
      </c>
      <c r="AH110" s="2">
        <v>0</v>
      </c>
      <c r="AI110" s="2">
        <v>1</v>
      </c>
      <c r="AJ110" s="2">
        <v>1</v>
      </c>
      <c r="AK110" s="2">
        <v>1</v>
      </c>
      <c r="AL110" s="2">
        <v>1</v>
      </c>
      <c r="AN110" s="2">
        <v>0</v>
      </c>
      <c r="AO110" s="2">
        <v>1</v>
      </c>
      <c r="AP110" s="2">
        <v>0</v>
      </c>
      <c r="AQ110" s="2">
        <v>0</v>
      </c>
      <c r="AR110" s="2">
        <v>0</v>
      </c>
      <c r="AS110" s="2" t="s">
        <v>30</v>
      </c>
      <c r="AT110" s="2">
        <v>10</v>
      </c>
      <c r="AU110" s="2" t="s">
        <v>30</v>
      </c>
      <c r="AV110" s="2">
        <v>0</v>
      </c>
      <c r="AW110" s="2">
        <v>2</v>
      </c>
      <c r="AX110" s="2">
        <v>52287338</v>
      </c>
      <c r="AY110" s="2">
        <v>1</v>
      </c>
      <c r="AZ110" s="2">
        <v>0</v>
      </c>
      <c r="BA110" s="2">
        <v>106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CX110" s="2">
        <f>Y110*'Source (3)'!I278</f>
        <v>0</v>
      </c>
      <c r="CY110" s="2">
        <f>AA110</f>
        <v>1059.3499999999999</v>
      </c>
      <c r="CZ110" s="2">
        <f>AE110</f>
        <v>1059.3499999999999</v>
      </c>
      <c r="DA110" s="2">
        <f>AI110</f>
        <v>1</v>
      </c>
      <c r="DB110" s="2">
        <f t="shared" si="11"/>
        <v>10593.5</v>
      </c>
      <c r="DC110" s="2">
        <f t="shared" si="12"/>
        <v>0</v>
      </c>
    </row>
    <row r="111" spans="1:107" x14ac:dyDescent="0.25">
      <c r="A111" s="2">
        <f>ROW('Source (3)'!A279)</f>
        <v>279</v>
      </c>
      <c r="B111" s="2">
        <v>52286166</v>
      </c>
      <c r="C111" s="2">
        <v>52287373</v>
      </c>
      <c r="D111" s="2">
        <v>49677488</v>
      </c>
      <c r="E111" s="2">
        <v>29</v>
      </c>
      <c r="F111" s="2">
        <v>1</v>
      </c>
      <c r="G111" s="2">
        <v>29</v>
      </c>
      <c r="H111" s="2">
        <v>1</v>
      </c>
      <c r="I111" s="2" t="s">
        <v>359</v>
      </c>
      <c r="J111" s="2" t="s">
        <v>30</v>
      </c>
      <c r="K111" s="2" t="s">
        <v>360</v>
      </c>
      <c r="L111" s="2">
        <v>1191</v>
      </c>
      <c r="N111" s="2">
        <v>1013</v>
      </c>
      <c r="O111" s="2" t="s">
        <v>361</v>
      </c>
      <c r="P111" s="2" t="s">
        <v>361</v>
      </c>
      <c r="Q111" s="2">
        <v>1</v>
      </c>
      <c r="W111" s="2">
        <v>0</v>
      </c>
      <c r="X111" s="2">
        <v>476480486</v>
      </c>
      <c r="Y111" s="2">
        <v>15.41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1</v>
      </c>
      <c r="AJ111" s="2">
        <v>1</v>
      </c>
      <c r="AK111" s="2">
        <v>1</v>
      </c>
      <c r="AL111" s="2">
        <v>1</v>
      </c>
      <c r="AN111" s="2">
        <v>0</v>
      </c>
      <c r="AO111" s="2">
        <v>1</v>
      </c>
      <c r="AP111" s="2">
        <v>0</v>
      </c>
      <c r="AQ111" s="2">
        <v>0</v>
      </c>
      <c r="AR111" s="2">
        <v>0</v>
      </c>
      <c r="AS111" s="2" t="s">
        <v>30</v>
      </c>
      <c r="AT111" s="2">
        <v>15.41</v>
      </c>
      <c r="AU111" s="2" t="s">
        <v>30</v>
      </c>
      <c r="AV111" s="2">
        <v>1</v>
      </c>
      <c r="AW111" s="2">
        <v>2</v>
      </c>
      <c r="AX111" s="2">
        <v>52287378</v>
      </c>
      <c r="AY111" s="2">
        <v>1</v>
      </c>
      <c r="AZ111" s="2">
        <v>0</v>
      </c>
      <c r="BA111" s="2">
        <v>107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CX111" s="2">
        <f>Y111*'Source (3)'!I279</f>
        <v>0</v>
      </c>
      <c r="CY111" s="2">
        <f>AD111</f>
        <v>0</v>
      </c>
      <c r="CZ111" s="2">
        <f>AH111</f>
        <v>0</v>
      </c>
      <c r="DA111" s="2">
        <f>AL111</f>
        <v>1</v>
      </c>
      <c r="DB111" s="2">
        <f t="shared" si="11"/>
        <v>0</v>
      </c>
      <c r="DC111" s="2">
        <f t="shared" si="12"/>
        <v>0</v>
      </c>
    </row>
    <row r="112" spans="1:107" x14ac:dyDescent="0.25">
      <c r="A112" s="2">
        <f>ROW('Source (3)'!A279)</f>
        <v>279</v>
      </c>
      <c r="B112" s="2">
        <v>52286166</v>
      </c>
      <c r="C112" s="2">
        <v>52287373</v>
      </c>
      <c r="D112" s="2">
        <v>49683719</v>
      </c>
      <c r="E112" s="2">
        <v>1</v>
      </c>
      <c r="F112" s="2">
        <v>1</v>
      </c>
      <c r="G112" s="2">
        <v>29</v>
      </c>
      <c r="H112" s="2">
        <v>3</v>
      </c>
      <c r="I112" s="2" t="s">
        <v>459</v>
      </c>
      <c r="J112" s="2" t="s">
        <v>461</v>
      </c>
      <c r="K112" s="2" t="s">
        <v>460</v>
      </c>
      <c r="L112" s="2">
        <v>1355</v>
      </c>
      <c r="N112" s="2">
        <v>1010</v>
      </c>
      <c r="O112" s="2" t="s">
        <v>66</v>
      </c>
      <c r="P112" s="2" t="s">
        <v>66</v>
      </c>
      <c r="Q112" s="2">
        <v>100</v>
      </c>
      <c r="W112" s="2">
        <v>1</v>
      </c>
      <c r="X112" s="2">
        <v>1593177023</v>
      </c>
      <c r="Y112" s="2">
        <v>-0.5</v>
      </c>
      <c r="AA112" s="2">
        <v>156380.45000000001</v>
      </c>
      <c r="AB112" s="2">
        <v>0</v>
      </c>
      <c r="AC112" s="2">
        <v>0</v>
      </c>
      <c r="AD112" s="2">
        <v>0</v>
      </c>
      <c r="AE112" s="2">
        <v>156380.45000000001</v>
      </c>
      <c r="AF112" s="2">
        <v>0</v>
      </c>
      <c r="AG112" s="2">
        <v>0</v>
      </c>
      <c r="AH112" s="2">
        <v>0</v>
      </c>
      <c r="AI112" s="2">
        <v>1</v>
      </c>
      <c r="AJ112" s="2">
        <v>1</v>
      </c>
      <c r="AK112" s="2">
        <v>1</v>
      </c>
      <c r="AL112" s="2">
        <v>1</v>
      </c>
      <c r="AN112" s="2">
        <v>0</v>
      </c>
      <c r="AO112" s="2">
        <v>1</v>
      </c>
      <c r="AP112" s="2">
        <v>0</v>
      </c>
      <c r="AQ112" s="2">
        <v>0</v>
      </c>
      <c r="AR112" s="2">
        <v>0</v>
      </c>
      <c r="AS112" s="2" t="s">
        <v>30</v>
      </c>
      <c r="AT112" s="2">
        <v>-0.5</v>
      </c>
      <c r="AU112" s="2" t="s">
        <v>30</v>
      </c>
      <c r="AV112" s="2">
        <v>0</v>
      </c>
      <c r="AW112" s="2">
        <v>2</v>
      </c>
      <c r="AX112" s="2">
        <v>52287379</v>
      </c>
      <c r="AY112" s="2">
        <v>1</v>
      </c>
      <c r="AZ112" s="2">
        <v>6144</v>
      </c>
      <c r="BA112" s="2">
        <v>108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CX112" s="2">
        <f>Y112*'Source (3)'!I279</f>
        <v>0</v>
      </c>
      <c r="CY112" s="2">
        <f>AA112</f>
        <v>156380.45000000001</v>
      </c>
      <c r="CZ112" s="2">
        <f>AE112</f>
        <v>156380.45000000001</v>
      </c>
      <c r="DA112" s="2">
        <f>AI112</f>
        <v>1</v>
      </c>
      <c r="DB112" s="2">
        <f t="shared" si="11"/>
        <v>-78190.23</v>
      </c>
      <c r="DC112" s="2">
        <f t="shared" si="12"/>
        <v>0</v>
      </c>
    </row>
    <row r="113" spans="1:107" x14ac:dyDescent="0.25">
      <c r="A113" s="2">
        <f>ROW('Source (3)'!A279)</f>
        <v>279</v>
      </c>
      <c r="B113" s="2">
        <v>52286166</v>
      </c>
      <c r="C113" s="2">
        <v>52287373</v>
      </c>
      <c r="D113" s="2">
        <v>49683718</v>
      </c>
      <c r="E113" s="2">
        <v>1</v>
      </c>
      <c r="F113" s="2">
        <v>1</v>
      </c>
      <c r="G113" s="2">
        <v>29</v>
      </c>
      <c r="H113" s="2">
        <v>3</v>
      </c>
      <c r="I113" s="2" t="s">
        <v>463</v>
      </c>
      <c r="J113" s="2" t="s">
        <v>465</v>
      </c>
      <c r="K113" s="2" t="s">
        <v>464</v>
      </c>
      <c r="L113" s="2">
        <v>1355</v>
      </c>
      <c r="N113" s="2">
        <v>1010</v>
      </c>
      <c r="O113" s="2" t="s">
        <v>66</v>
      </c>
      <c r="P113" s="2" t="s">
        <v>66</v>
      </c>
      <c r="Q113" s="2">
        <v>100</v>
      </c>
      <c r="W113" s="2">
        <v>1</v>
      </c>
      <c r="X113" s="2">
        <v>1629044256</v>
      </c>
      <c r="Y113" s="2">
        <v>-0.5</v>
      </c>
      <c r="AA113" s="2">
        <v>142651.44</v>
      </c>
      <c r="AB113" s="2">
        <v>0</v>
      </c>
      <c r="AC113" s="2">
        <v>0</v>
      </c>
      <c r="AD113" s="2">
        <v>0</v>
      </c>
      <c r="AE113" s="2">
        <v>142651.44</v>
      </c>
      <c r="AF113" s="2">
        <v>0</v>
      </c>
      <c r="AG113" s="2">
        <v>0</v>
      </c>
      <c r="AH113" s="2">
        <v>0</v>
      </c>
      <c r="AI113" s="2">
        <v>1</v>
      </c>
      <c r="AJ113" s="2">
        <v>1</v>
      </c>
      <c r="AK113" s="2">
        <v>1</v>
      </c>
      <c r="AL113" s="2">
        <v>1</v>
      </c>
      <c r="AN113" s="2">
        <v>0</v>
      </c>
      <c r="AO113" s="2">
        <v>1</v>
      </c>
      <c r="AP113" s="2">
        <v>0</v>
      </c>
      <c r="AQ113" s="2">
        <v>0</v>
      </c>
      <c r="AR113" s="2">
        <v>0</v>
      </c>
      <c r="AS113" s="2" t="s">
        <v>30</v>
      </c>
      <c r="AT113" s="2">
        <v>-0.5</v>
      </c>
      <c r="AU113" s="2" t="s">
        <v>30</v>
      </c>
      <c r="AV113" s="2">
        <v>0</v>
      </c>
      <c r="AW113" s="2">
        <v>2</v>
      </c>
      <c r="AX113" s="2">
        <v>52287380</v>
      </c>
      <c r="AY113" s="2">
        <v>1</v>
      </c>
      <c r="AZ113" s="2">
        <v>6144</v>
      </c>
      <c r="BA113" s="2">
        <v>109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CX113" s="2">
        <f>Y113*'Source (3)'!I279</f>
        <v>0</v>
      </c>
      <c r="CY113" s="2">
        <f>AA113</f>
        <v>142651.44</v>
      </c>
      <c r="CZ113" s="2">
        <f>AE113</f>
        <v>142651.44</v>
      </c>
      <c r="DA113" s="2">
        <f>AI113</f>
        <v>1</v>
      </c>
      <c r="DB113" s="2">
        <f t="shared" si="11"/>
        <v>-71325.72</v>
      </c>
      <c r="DC113" s="2">
        <f t="shared" si="12"/>
        <v>0</v>
      </c>
    </row>
    <row r="114" spans="1:107" x14ac:dyDescent="0.25">
      <c r="A114" s="2">
        <f>ROW('Source (3)'!A279)</f>
        <v>279</v>
      </c>
      <c r="B114" s="2">
        <v>52286166</v>
      </c>
      <c r="C114" s="2">
        <v>52287373</v>
      </c>
      <c r="D114" s="2">
        <v>0</v>
      </c>
      <c r="E114" s="2">
        <v>29</v>
      </c>
      <c r="F114" s="2">
        <v>1</v>
      </c>
      <c r="G114" s="2">
        <v>29</v>
      </c>
      <c r="H114" s="2">
        <v>3</v>
      </c>
      <c r="I114" s="2" t="s">
        <v>414</v>
      </c>
      <c r="J114" s="2" t="s">
        <v>30</v>
      </c>
      <c r="K114" s="2" t="s">
        <v>415</v>
      </c>
      <c r="L114" s="2">
        <v>1354</v>
      </c>
      <c r="N114" s="2">
        <v>1010</v>
      </c>
      <c r="O114" s="2" t="s">
        <v>67</v>
      </c>
      <c r="P114" s="2" t="s">
        <v>67</v>
      </c>
      <c r="Q114" s="2">
        <v>1</v>
      </c>
      <c r="W114" s="2">
        <v>0</v>
      </c>
      <c r="X114" s="2">
        <v>-1521540751</v>
      </c>
      <c r="Y114" s="2">
        <v>100</v>
      </c>
      <c r="AA114" s="2">
        <v>1291.67</v>
      </c>
      <c r="AB114" s="2">
        <v>0</v>
      </c>
      <c r="AC114" s="2">
        <v>0</v>
      </c>
      <c r="AD114" s="2">
        <v>0</v>
      </c>
      <c r="AE114" s="2">
        <v>1291.67</v>
      </c>
      <c r="AF114" s="2">
        <v>0</v>
      </c>
      <c r="AG114" s="2">
        <v>0</v>
      </c>
      <c r="AH114" s="2">
        <v>0</v>
      </c>
      <c r="AI114" s="2">
        <v>1</v>
      </c>
      <c r="AJ114" s="2">
        <v>1</v>
      </c>
      <c r="AK114" s="2">
        <v>1</v>
      </c>
      <c r="AL114" s="2">
        <v>1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 t="s">
        <v>30</v>
      </c>
      <c r="AT114" s="2">
        <v>100</v>
      </c>
      <c r="AU114" s="2" t="s">
        <v>30</v>
      </c>
      <c r="AV114" s="2">
        <v>0</v>
      </c>
      <c r="AW114" s="2">
        <v>1</v>
      </c>
      <c r="AX114" s="2">
        <v>-1</v>
      </c>
      <c r="AY114" s="2">
        <v>0</v>
      </c>
      <c r="AZ114" s="2">
        <v>0</v>
      </c>
      <c r="BA114" s="2" t="s">
        <v>30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CX114" s="2">
        <f>Y114*'Source (3)'!I279</f>
        <v>0</v>
      </c>
      <c r="CY114" s="2">
        <f>AA114</f>
        <v>1291.67</v>
      </c>
      <c r="CZ114" s="2">
        <f>AE114</f>
        <v>1291.67</v>
      </c>
      <c r="DA114" s="2">
        <f>AI114</f>
        <v>1</v>
      </c>
      <c r="DB114" s="2">
        <f t="shared" si="11"/>
        <v>129167</v>
      </c>
      <c r="DC114" s="2">
        <f t="shared" si="12"/>
        <v>0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8BFEF-86B5-4E18-A8FB-D830F670792A}">
  <dimension ref="A1:AR109"/>
  <sheetViews>
    <sheetView workbookViewId="0">
      <selection activeCell="J298" sqref="J298"/>
    </sheetView>
  </sheetViews>
  <sheetFormatPr defaultColWidth="9.1796875" defaultRowHeight="12.5" x14ac:dyDescent="0.25"/>
  <cols>
    <col min="1" max="256" width="9.1796875" style="2" customWidth="1"/>
    <col min="257" max="16384" width="9.1796875" style="2"/>
  </cols>
  <sheetData>
    <row r="1" spans="1:44" x14ac:dyDescent="0.25">
      <c r="A1" s="2">
        <f>ROW('Source (3)'!A28)</f>
        <v>28</v>
      </c>
      <c r="B1" s="2">
        <v>52286526</v>
      </c>
      <c r="C1" s="2">
        <v>52286517</v>
      </c>
      <c r="D1" s="2">
        <v>49677488</v>
      </c>
      <c r="E1" s="2">
        <v>29</v>
      </c>
      <c r="F1" s="2">
        <v>1</v>
      </c>
      <c r="G1" s="2">
        <v>29</v>
      </c>
      <c r="H1" s="2">
        <v>1</v>
      </c>
      <c r="I1" s="2" t="s">
        <v>359</v>
      </c>
      <c r="J1" s="2" t="s">
        <v>30</v>
      </c>
      <c r="K1" s="2" t="s">
        <v>360</v>
      </c>
      <c r="L1" s="2">
        <v>1191</v>
      </c>
      <c r="N1" s="2">
        <v>1013</v>
      </c>
      <c r="O1" s="2" t="s">
        <v>361</v>
      </c>
      <c r="P1" s="2" t="s">
        <v>361</v>
      </c>
      <c r="Q1" s="2">
        <v>1</v>
      </c>
      <c r="X1" s="2">
        <v>0.79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1</v>
      </c>
      <c r="AE1" s="2">
        <v>1</v>
      </c>
      <c r="AF1" s="2" t="s">
        <v>30</v>
      </c>
      <c r="AG1" s="2">
        <v>0.79</v>
      </c>
      <c r="AH1" s="2">
        <v>2</v>
      </c>
      <c r="AI1" s="2">
        <v>52286518</v>
      </c>
      <c r="AJ1" s="2">
        <v>1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</row>
    <row r="2" spans="1:44" x14ac:dyDescent="0.25">
      <c r="A2" s="2">
        <f>ROW('Source (3)'!A28)</f>
        <v>28</v>
      </c>
      <c r="B2" s="2">
        <v>52286528</v>
      </c>
      <c r="C2" s="2">
        <v>52286517</v>
      </c>
      <c r="D2" s="2">
        <v>49678760</v>
      </c>
      <c r="E2" s="2">
        <v>1</v>
      </c>
      <c r="F2" s="2">
        <v>1</v>
      </c>
      <c r="G2" s="2">
        <v>29</v>
      </c>
      <c r="H2" s="2">
        <v>2</v>
      </c>
      <c r="I2" s="2" t="s">
        <v>80</v>
      </c>
      <c r="J2" s="2" t="s">
        <v>362</v>
      </c>
      <c r="K2" s="2" t="s">
        <v>81</v>
      </c>
      <c r="L2" s="2">
        <v>1368</v>
      </c>
      <c r="N2" s="2">
        <v>1011</v>
      </c>
      <c r="O2" s="2" t="s">
        <v>82</v>
      </c>
      <c r="P2" s="2" t="s">
        <v>82</v>
      </c>
      <c r="Q2" s="2">
        <v>1</v>
      </c>
      <c r="X2" s="2">
        <v>0.13</v>
      </c>
      <c r="Y2" s="2">
        <v>0</v>
      </c>
      <c r="Z2" s="2">
        <v>1208.6099999999999</v>
      </c>
      <c r="AA2" s="2">
        <v>484.58</v>
      </c>
      <c r="AB2" s="2">
        <v>0</v>
      </c>
      <c r="AC2" s="2">
        <v>0</v>
      </c>
      <c r="AD2" s="2">
        <v>1</v>
      </c>
      <c r="AE2" s="2">
        <v>0</v>
      </c>
      <c r="AF2" s="2" t="s">
        <v>30</v>
      </c>
      <c r="AG2" s="2">
        <v>0.13</v>
      </c>
      <c r="AH2" s="2">
        <v>2</v>
      </c>
      <c r="AI2" s="2">
        <v>52286520</v>
      </c>
      <c r="AJ2" s="2">
        <v>2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</row>
    <row r="3" spans="1:44" x14ac:dyDescent="0.25">
      <c r="A3" s="2">
        <f>ROW('Source (3)'!A28)</f>
        <v>28</v>
      </c>
      <c r="B3" s="2">
        <v>52286527</v>
      </c>
      <c r="C3" s="2">
        <v>52286517</v>
      </c>
      <c r="D3" s="2">
        <v>49678446</v>
      </c>
      <c r="E3" s="2">
        <v>1</v>
      </c>
      <c r="F3" s="2">
        <v>1</v>
      </c>
      <c r="G3" s="2">
        <v>29</v>
      </c>
      <c r="H3" s="2">
        <v>2</v>
      </c>
      <c r="I3" s="2" t="s">
        <v>83</v>
      </c>
      <c r="J3" s="2" t="s">
        <v>363</v>
      </c>
      <c r="K3" s="2" t="s">
        <v>84</v>
      </c>
      <c r="L3" s="2">
        <v>1368</v>
      </c>
      <c r="N3" s="2">
        <v>1011</v>
      </c>
      <c r="O3" s="2" t="s">
        <v>82</v>
      </c>
      <c r="P3" s="2" t="s">
        <v>82</v>
      </c>
      <c r="Q3" s="2">
        <v>1</v>
      </c>
      <c r="X3" s="2">
        <v>0.13</v>
      </c>
      <c r="Y3" s="2">
        <v>0</v>
      </c>
      <c r="Z3" s="2">
        <v>987.45</v>
      </c>
      <c r="AA3" s="2">
        <v>437.55</v>
      </c>
      <c r="AB3" s="2">
        <v>0</v>
      </c>
      <c r="AC3" s="2">
        <v>0</v>
      </c>
      <c r="AD3" s="2">
        <v>1</v>
      </c>
      <c r="AE3" s="2">
        <v>0</v>
      </c>
      <c r="AF3" s="2" t="s">
        <v>30</v>
      </c>
      <c r="AG3" s="2">
        <v>0.13</v>
      </c>
      <c r="AH3" s="2">
        <v>2</v>
      </c>
      <c r="AI3" s="2">
        <v>52286519</v>
      </c>
      <c r="AJ3" s="2">
        <v>3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</row>
    <row r="4" spans="1:44" x14ac:dyDescent="0.25">
      <c r="A4" s="2">
        <f>ROW('Source (3)'!A28)</f>
        <v>28</v>
      </c>
      <c r="B4" s="2">
        <v>52286529</v>
      </c>
      <c r="C4" s="2">
        <v>52286517</v>
      </c>
      <c r="D4" s="2">
        <v>49679291</v>
      </c>
      <c r="E4" s="2">
        <v>1</v>
      </c>
      <c r="F4" s="2">
        <v>1</v>
      </c>
      <c r="G4" s="2">
        <v>29</v>
      </c>
      <c r="H4" s="2">
        <v>2</v>
      </c>
      <c r="I4" s="2" t="s">
        <v>91</v>
      </c>
      <c r="J4" s="2" t="s">
        <v>364</v>
      </c>
      <c r="K4" s="2" t="s">
        <v>92</v>
      </c>
      <c r="L4" s="2">
        <v>1368</v>
      </c>
      <c r="N4" s="2">
        <v>1011</v>
      </c>
      <c r="O4" s="2" t="s">
        <v>82</v>
      </c>
      <c r="P4" s="2" t="s">
        <v>82</v>
      </c>
      <c r="Q4" s="2">
        <v>1</v>
      </c>
      <c r="X4" s="2">
        <v>0.26</v>
      </c>
      <c r="Y4" s="2">
        <v>0</v>
      </c>
      <c r="Z4" s="2">
        <v>6.02</v>
      </c>
      <c r="AA4" s="2">
        <v>0.02</v>
      </c>
      <c r="AB4" s="2">
        <v>0</v>
      </c>
      <c r="AC4" s="2">
        <v>0</v>
      </c>
      <c r="AD4" s="2">
        <v>1</v>
      </c>
      <c r="AE4" s="2">
        <v>0</v>
      </c>
      <c r="AF4" s="2" t="s">
        <v>30</v>
      </c>
      <c r="AG4" s="2">
        <v>0.26</v>
      </c>
      <c r="AH4" s="2">
        <v>2</v>
      </c>
      <c r="AI4" s="2">
        <v>52286521</v>
      </c>
      <c r="AJ4" s="2">
        <v>4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</row>
    <row r="5" spans="1:44" x14ac:dyDescent="0.25">
      <c r="A5" s="2">
        <f>ROW('Source (3)'!A28)</f>
        <v>28</v>
      </c>
      <c r="B5" s="2">
        <v>52286530</v>
      </c>
      <c r="C5" s="2">
        <v>52286517</v>
      </c>
      <c r="D5" s="2">
        <v>49678662</v>
      </c>
      <c r="E5" s="2">
        <v>1</v>
      </c>
      <c r="F5" s="2">
        <v>1</v>
      </c>
      <c r="G5" s="2">
        <v>29</v>
      </c>
      <c r="H5" s="2">
        <v>2</v>
      </c>
      <c r="I5" s="2" t="s">
        <v>93</v>
      </c>
      <c r="J5" s="2" t="s">
        <v>365</v>
      </c>
      <c r="K5" s="2" t="s">
        <v>94</v>
      </c>
      <c r="L5" s="2">
        <v>1368</v>
      </c>
      <c r="N5" s="2">
        <v>1011</v>
      </c>
      <c r="O5" s="2" t="s">
        <v>82</v>
      </c>
      <c r="P5" s="2" t="s">
        <v>82</v>
      </c>
      <c r="Q5" s="2">
        <v>1</v>
      </c>
      <c r="X5" s="2">
        <v>0.25</v>
      </c>
      <c r="Y5" s="2">
        <v>0</v>
      </c>
      <c r="Z5" s="2">
        <v>7834.05</v>
      </c>
      <c r="AA5" s="2">
        <v>1037.76</v>
      </c>
      <c r="AB5" s="2">
        <v>0</v>
      </c>
      <c r="AC5" s="2">
        <v>0</v>
      </c>
      <c r="AD5" s="2">
        <v>1</v>
      </c>
      <c r="AE5" s="2">
        <v>0</v>
      </c>
      <c r="AF5" s="2" t="s">
        <v>30</v>
      </c>
      <c r="AG5" s="2">
        <v>0.25</v>
      </c>
      <c r="AH5" s="2">
        <v>2</v>
      </c>
      <c r="AI5" s="2">
        <v>52286522</v>
      </c>
      <c r="AJ5" s="2">
        <v>5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</row>
    <row r="6" spans="1:44" x14ac:dyDescent="0.25">
      <c r="A6" s="2">
        <f>ROW('Source (3)'!A28)</f>
        <v>28</v>
      </c>
      <c r="B6" s="2">
        <v>52286531</v>
      </c>
      <c r="C6" s="2">
        <v>52286517</v>
      </c>
      <c r="D6" s="2">
        <v>49678657</v>
      </c>
      <c r="E6" s="2">
        <v>1</v>
      </c>
      <c r="F6" s="2">
        <v>1</v>
      </c>
      <c r="G6" s="2">
        <v>29</v>
      </c>
      <c r="H6" s="2">
        <v>2</v>
      </c>
      <c r="I6" s="2" t="s">
        <v>103</v>
      </c>
      <c r="J6" s="2" t="s">
        <v>366</v>
      </c>
      <c r="K6" s="2" t="s">
        <v>104</v>
      </c>
      <c r="L6" s="2">
        <v>1368</v>
      </c>
      <c r="N6" s="2">
        <v>1011</v>
      </c>
      <c r="O6" s="2" t="s">
        <v>82</v>
      </c>
      <c r="P6" s="2" t="s">
        <v>82</v>
      </c>
      <c r="Q6" s="2">
        <v>1</v>
      </c>
      <c r="X6" s="2">
        <v>0.25</v>
      </c>
      <c r="Y6" s="2">
        <v>0</v>
      </c>
      <c r="Z6" s="2">
        <v>1383.17</v>
      </c>
      <c r="AA6" s="2">
        <v>522.72</v>
      </c>
      <c r="AB6" s="2">
        <v>0</v>
      </c>
      <c r="AC6" s="2">
        <v>0</v>
      </c>
      <c r="AD6" s="2">
        <v>1</v>
      </c>
      <c r="AE6" s="2">
        <v>0</v>
      </c>
      <c r="AF6" s="2" t="s">
        <v>30</v>
      </c>
      <c r="AG6" s="2">
        <v>0.25</v>
      </c>
      <c r="AH6" s="2">
        <v>2</v>
      </c>
      <c r="AI6" s="2">
        <v>52286523</v>
      </c>
      <c r="AJ6" s="2">
        <v>6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</row>
    <row r="7" spans="1:44" x14ac:dyDescent="0.25">
      <c r="A7" s="2">
        <f>ROW('Source (3)'!A28)</f>
        <v>28</v>
      </c>
      <c r="B7" s="2">
        <v>52286532</v>
      </c>
      <c r="C7" s="2">
        <v>52286517</v>
      </c>
      <c r="D7" s="2">
        <v>49681352</v>
      </c>
      <c r="E7" s="2">
        <v>1</v>
      </c>
      <c r="F7" s="2">
        <v>1</v>
      </c>
      <c r="G7" s="2">
        <v>29</v>
      </c>
      <c r="H7" s="2">
        <v>3</v>
      </c>
      <c r="I7" s="2" t="s">
        <v>111</v>
      </c>
      <c r="J7" s="2" t="s">
        <v>367</v>
      </c>
      <c r="K7" s="2" t="s">
        <v>112</v>
      </c>
      <c r="L7" s="2">
        <v>1339</v>
      </c>
      <c r="N7" s="2">
        <v>1007</v>
      </c>
      <c r="O7" s="2" t="s">
        <v>62</v>
      </c>
      <c r="P7" s="2" t="s">
        <v>62</v>
      </c>
      <c r="Q7" s="2">
        <v>1</v>
      </c>
      <c r="X7" s="2">
        <v>0.26700000000000002</v>
      </c>
      <c r="Y7" s="2">
        <v>36.31</v>
      </c>
      <c r="Z7" s="2">
        <v>0</v>
      </c>
      <c r="AA7" s="2">
        <v>0</v>
      </c>
      <c r="AB7" s="2">
        <v>0</v>
      </c>
      <c r="AC7" s="2">
        <v>0</v>
      </c>
      <c r="AD7" s="2">
        <v>1</v>
      </c>
      <c r="AE7" s="2">
        <v>0</v>
      </c>
      <c r="AF7" s="2" t="s">
        <v>30</v>
      </c>
      <c r="AG7" s="2">
        <v>0.26700000000000002</v>
      </c>
      <c r="AH7" s="2">
        <v>2</v>
      </c>
      <c r="AI7" s="2">
        <v>52286524</v>
      </c>
      <c r="AJ7" s="2">
        <v>7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</row>
    <row r="8" spans="1:44" x14ac:dyDescent="0.25">
      <c r="A8" s="2">
        <f>ROW('Source (3)'!A28)</f>
        <v>28</v>
      </c>
      <c r="B8" s="2">
        <v>52286533</v>
      </c>
      <c r="C8" s="2">
        <v>52286517</v>
      </c>
      <c r="D8" s="2">
        <v>49682077</v>
      </c>
      <c r="E8" s="2">
        <v>1</v>
      </c>
      <c r="F8" s="2">
        <v>1</v>
      </c>
      <c r="G8" s="2">
        <v>29</v>
      </c>
      <c r="H8" s="2">
        <v>3</v>
      </c>
      <c r="I8" s="2" t="s">
        <v>113</v>
      </c>
      <c r="J8" s="2" t="s">
        <v>368</v>
      </c>
      <c r="K8" s="2" t="s">
        <v>114</v>
      </c>
      <c r="L8" s="2">
        <v>1354</v>
      </c>
      <c r="N8" s="2">
        <v>1010</v>
      </c>
      <c r="O8" s="2" t="s">
        <v>67</v>
      </c>
      <c r="P8" s="2" t="s">
        <v>67</v>
      </c>
      <c r="Q8" s="2">
        <v>1</v>
      </c>
      <c r="X8" s="2">
        <v>2.5</v>
      </c>
      <c r="Y8" s="2">
        <v>256.22000000000003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0</v>
      </c>
      <c r="AF8" s="2" t="s">
        <v>30</v>
      </c>
      <c r="AG8" s="2">
        <v>2.5</v>
      </c>
      <c r="AH8" s="2">
        <v>2</v>
      </c>
      <c r="AI8" s="2">
        <v>52286525</v>
      </c>
      <c r="AJ8" s="2">
        <v>8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</row>
    <row r="9" spans="1:44" x14ac:dyDescent="0.25">
      <c r="A9" s="2">
        <f>ROW('Source (3)'!A29)</f>
        <v>29</v>
      </c>
      <c r="B9" s="2">
        <v>52286540</v>
      </c>
      <c r="C9" s="2">
        <v>52286534</v>
      </c>
      <c r="D9" s="2">
        <v>49677488</v>
      </c>
      <c r="E9" s="2">
        <v>29</v>
      </c>
      <c r="F9" s="2">
        <v>1</v>
      </c>
      <c r="G9" s="2">
        <v>29</v>
      </c>
      <c r="H9" s="2">
        <v>1</v>
      </c>
      <c r="I9" s="2" t="s">
        <v>359</v>
      </c>
      <c r="J9" s="2" t="s">
        <v>30</v>
      </c>
      <c r="K9" s="2" t="s">
        <v>360</v>
      </c>
      <c r="L9" s="2">
        <v>1191</v>
      </c>
      <c r="N9" s="2">
        <v>1013</v>
      </c>
      <c r="O9" s="2" t="s">
        <v>361</v>
      </c>
      <c r="P9" s="2" t="s">
        <v>361</v>
      </c>
      <c r="Q9" s="2">
        <v>1</v>
      </c>
      <c r="X9" s="2">
        <v>0.04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1</v>
      </c>
      <c r="AE9" s="2">
        <v>1</v>
      </c>
      <c r="AF9" s="2" t="s">
        <v>30</v>
      </c>
      <c r="AG9" s="2">
        <v>0.04</v>
      </c>
      <c r="AH9" s="2">
        <v>2</v>
      </c>
      <c r="AI9" s="2">
        <v>52286535</v>
      </c>
      <c r="AJ9" s="2">
        <v>9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</row>
    <row r="10" spans="1:44" x14ac:dyDescent="0.25">
      <c r="A10" s="2">
        <f>ROW('Source (3)'!A29)</f>
        <v>29</v>
      </c>
      <c r="B10" s="2">
        <v>52286541</v>
      </c>
      <c r="C10" s="2">
        <v>52286534</v>
      </c>
      <c r="D10" s="2">
        <v>49678662</v>
      </c>
      <c r="E10" s="2">
        <v>1</v>
      </c>
      <c r="F10" s="2">
        <v>1</v>
      </c>
      <c r="G10" s="2">
        <v>29</v>
      </c>
      <c r="H10" s="2">
        <v>2</v>
      </c>
      <c r="I10" s="2" t="s">
        <v>93</v>
      </c>
      <c r="J10" s="2" t="s">
        <v>365</v>
      </c>
      <c r="K10" s="2" t="s">
        <v>94</v>
      </c>
      <c r="L10" s="2">
        <v>1368</v>
      </c>
      <c r="N10" s="2">
        <v>1011</v>
      </c>
      <c r="O10" s="2" t="s">
        <v>82</v>
      </c>
      <c r="P10" s="2" t="s">
        <v>82</v>
      </c>
      <c r="Q10" s="2">
        <v>1</v>
      </c>
      <c r="X10" s="2">
        <v>0.04</v>
      </c>
      <c r="Y10" s="2">
        <v>0</v>
      </c>
      <c r="Z10" s="2">
        <v>7834.05</v>
      </c>
      <c r="AA10" s="2">
        <v>1037.76</v>
      </c>
      <c r="AB10" s="2">
        <v>0</v>
      </c>
      <c r="AC10" s="2">
        <v>0</v>
      </c>
      <c r="AD10" s="2">
        <v>1</v>
      </c>
      <c r="AE10" s="2">
        <v>0</v>
      </c>
      <c r="AF10" s="2" t="s">
        <v>30</v>
      </c>
      <c r="AG10" s="2">
        <v>0.04</v>
      </c>
      <c r="AH10" s="2">
        <v>2</v>
      </c>
      <c r="AI10" s="2">
        <v>52286536</v>
      </c>
      <c r="AJ10" s="2">
        <v>10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</row>
    <row r="11" spans="1:44" x14ac:dyDescent="0.25">
      <c r="A11" s="2">
        <f>ROW('Source (3)'!A29)</f>
        <v>29</v>
      </c>
      <c r="B11" s="2">
        <v>52286542</v>
      </c>
      <c r="C11" s="2">
        <v>52286534</v>
      </c>
      <c r="D11" s="2">
        <v>49678657</v>
      </c>
      <c r="E11" s="2">
        <v>1</v>
      </c>
      <c r="F11" s="2">
        <v>1</v>
      </c>
      <c r="G11" s="2">
        <v>29</v>
      </c>
      <c r="H11" s="2">
        <v>2</v>
      </c>
      <c r="I11" s="2" t="s">
        <v>103</v>
      </c>
      <c r="J11" s="2" t="s">
        <v>366</v>
      </c>
      <c r="K11" s="2" t="s">
        <v>104</v>
      </c>
      <c r="L11" s="2">
        <v>1368</v>
      </c>
      <c r="N11" s="2">
        <v>1011</v>
      </c>
      <c r="O11" s="2" t="s">
        <v>82</v>
      </c>
      <c r="P11" s="2" t="s">
        <v>82</v>
      </c>
      <c r="Q11" s="2">
        <v>1</v>
      </c>
      <c r="X11" s="2">
        <v>0.04</v>
      </c>
      <c r="Y11" s="2">
        <v>0</v>
      </c>
      <c r="Z11" s="2">
        <v>1383.17</v>
      </c>
      <c r="AA11" s="2">
        <v>522.72</v>
      </c>
      <c r="AB11" s="2">
        <v>0</v>
      </c>
      <c r="AC11" s="2">
        <v>0</v>
      </c>
      <c r="AD11" s="2">
        <v>1</v>
      </c>
      <c r="AE11" s="2">
        <v>0</v>
      </c>
      <c r="AF11" s="2" t="s">
        <v>30</v>
      </c>
      <c r="AG11" s="2">
        <v>0.04</v>
      </c>
      <c r="AH11" s="2">
        <v>2</v>
      </c>
      <c r="AI11" s="2">
        <v>52286537</v>
      </c>
      <c r="AJ11" s="2">
        <v>11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</row>
    <row r="12" spans="1:44" x14ac:dyDescent="0.25">
      <c r="A12" s="2">
        <f>ROW('Source (3)'!A29)</f>
        <v>29</v>
      </c>
      <c r="B12" s="2">
        <v>52286543</v>
      </c>
      <c r="C12" s="2">
        <v>52286534</v>
      </c>
      <c r="D12" s="2">
        <v>49681352</v>
      </c>
      <c r="E12" s="2">
        <v>1</v>
      </c>
      <c r="F12" s="2">
        <v>1</v>
      </c>
      <c r="G12" s="2">
        <v>29</v>
      </c>
      <c r="H12" s="2">
        <v>3</v>
      </c>
      <c r="I12" s="2" t="s">
        <v>111</v>
      </c>
      <c r="J12" s="2" t="s">
        <v>367</v>
      </c>
      <c r="K12" s="2" t="s">
        <v>112</v>
      </c>
      <c r="L12" s="2">
        <v>1339</v>
      </c>
      <c r="N12" s="2">
        <v>1007</v>
      </c>
      <c r="O12" s="2" t="s">
        <v>62</v>
      </c>
      <c r="P12" s="2" t="s">
        <v>62</v>
      </c>
      <c r="Q12" s="2">
        <v>1</v>
      </c>
      <c r="X12" s="2">
        <v>4.4999999999999998E-2</v>
      </c>
      <c r="Y12" s="2">
        <v>36.31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  <c r="AE12" s="2">
        <v>0</v>
      </c>
      <c r="AF12" s="2" t="s">
        <v>30</v>
      </c>
      <c r="AG12" s="2">
        <v>4.4999999999999998E-2</v>
      </c>
      <c r="AH12" s="2">
        <v>2</v>
      </c>
      <c r="AI12" s="2">
        <v>52286538</v>
      </c>
      <c r="AJ12" s="2">
        <v>12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</row>
    <row r="13" spans="1:44" x14ac:dyDescent="0.25">
      <c r="A13" s="2">
        <f>ROW('Source (3)'!A29)</f>
        <v>29</v>
      </c>
      <c r="B13" s="2">
        <v>52286544</v>
      </c>
      <c r="C13" s="2">
        <v>52286534</v>
      </c>
      <c r="D13" s="2">
        <v>49682077</v>
      </c>
      <c r="E13" s="2">
        <v>1</v>
      </c>
      <c r="F13" s="2">
        <v>1</v>
      </c>
      <c r="G13" s="2">
        <v>29</v>
      </c>
      <c r="H13" s="2">
        <v>3</v>
      </c>
      <c r="I13" s="2" t="s">
        <v>113</v>
      </c>
      <c r="J13" s="2" t="s">
        <v>368</v>
      </c>
      <c r="K13" s="2" t="s">
        <v>114</v>
      </c>
      <c r="L13" s="2">
        <v>1354</v>
      </c>
      <c r="N13" s="2">
        <v>1010</v>
      </c>
      <c r="O13" s="2" t="s">
        <v>67</v>
      </c>
      <c r="P13" s="2" t="s">
        <v>67</v>
      </c>
      <c r="Q13" s="2">
        <v>1</v>
      </c>
      <c r="X13" s="2">
        <v>0.41</v>
      </c>
      <c r="Y13" s="2">
        <v>256.22000000000003</v>
      </c>
      <c r="Z13" s="2">
        <v>0</v>
      </c>
      <c r="AA13" s="2">
        <v>0</v>
      </c>
      <c r="AB13" s="2">
        <v>0</v>
      </c>
      <c r="AC13" s="2">
        <v>0</v>
      </c>
      <c r="AD13" s="2">
        <v>1</v>
      </c>
      <c r="AE13" s="2">
        <v>0</v>
      </c>
      <c r="AF13" s="2" t="s">
        <v>30</v>
      </c>
      <c r="AG13" s="2">
        <v>0.41</v>
      </c>
      <c r="AH13" s="2">
        <v>2</v>
      </c>
      <c r="AI13" s="2">
        <v>52286539</v>
      </c>
      <c r="AJ13" s="2">
        <v>13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</row>
    <row r="14" spans="1:44" x14ac:dyDescent="0.25">
      <c r="A14" s="2">
        <f>ROW('Source (3)'!A30)</f>
        <v>30</v>
      </c>
      <c r="B14" s="2">
        <v>52286556</v>
      </c>
      <c r="C14" s="2">
        <v>52286545</v>
      </c>
      <c r="D14" s="2">
        <v>49677488</v>
      </c>
      <c r="E14" s="2">
        <v>29</v>
      </c>
      <c r="F14" s="2">
        <v>1</v>
      </c>
      <c r="G14" s="2">
        <v>29</v>
      </c>
      <c r="H14" s="2">
        <v>1</v>
      </c>
      <c r="I14" s="2" t="s">
        <v>359</v>
      </c>
      <c r="J14" s="2" t="s">
        <v>30</v>
      </c>
      <c r="K14" s="2" t="s">
        <v>360</v>
      </c>
      <c r="L14" s="2">
        <v>1191</v>
      </c>
      <c r="N14" s="2">
        <v>1013</v>
      </c>
      <c r="O14" s="2" t="s">
        <v>361</v>
      </c>
      <c r="P14" s="2" t="s">
        <v>361</v>
      </c>
      <c r="Q14" s="2">
        <v>1</v>
      </c>
      <c r="X14" s="2">
        <v>87.29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</v>
      </c>
      <c r="AE14" s="2">
        <v>1</v>
      </c>
      <c r="AF14" s="2" t="s">
        <v>30</v>
      </c>
      <c r="AG14" s="2">
        <v>87.29</v>
      </c>
      <c r="AH14" s="2">
        <v>2</v>
      </c>
      <c r="AI14" s="2">
        <v>52286546</v>
      </c>
      <c r="AJ14" s="2">
        <v>14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</row>
    <row r="15" spans="1:44" x14ac:dyDescent="0.25">
      <c r="A15" s="2">
        <f>ROW('Source (3)'!A30)</f>
        <v>30</v>
      </c>
      <c r="B15" s="2">
        <v>52286557</v>
      </c>
      <c r="C15" s="2">
        <v>52286545</v>
      </c>
      <c r="D15" s="2">
        <v>49678449</v>
      </c>
      <c r="E15" s="2">
        <v>1</v>
      </c>
      <c r="F15" s="2">
        <v>1</v>
      </c>
      <c r="G15" s="2">
        <v>29</v>
      </c>
      <c r="H15" s="2">
        <v>2</v>
      </c>
      <c r="I15" s="2" t="s">
        <v>89</v>
      </c>
      <c r="J15" s="2" t="s">
        <v>369</v>
      </c>
      <c r="K15" s="2" t="s">
        <v>90</v>
      </c>
      <c r="L15" s="2">
        <v>1368</v>
      </c>
      <c r="N15" s="2">
        <v>1011</v>
      </c>
      <c r="O15" s="2" t="s">
        <v>82</v>
      </c>
      <c r="P15" s="2" t="s">
        <v>82</v>
      </c>
      <c r="Q15" s="2">
        <v>1</v>
      </c>
      <c r="X15" s="2">
        <v>1.59</v>
      </c>
      <c r="Y15" s="2">
        <v>0</v>
      </c>
      <c r="Z15" s="2">
        <v>780.77</v>
      </c>
      <c r="AA15" s="2">
        <v>433.88</v>
      </c>
      <c r="AB15" s="2">
        <v>0</v>
      </c>
      <c r="AC15" s="2">
        <v>0</v>
      </c>
      <c r="AD15" s="2">
        <v>1</v>
      </c>
      <c r="AE15" s="2">
        <v>0</v>
      </c>
      <c r="AF15" s="2" t="s">
        <v>30</v>
      </c>
      <c r="AG15" s="2">
        <v>1.59</v>
      </c>
      <c r="AH15" s="2">
        <v>2</v>
      </c>
      <c r="AI15" s="2">
        <v>52286547</v>
      </c>
      <c r="AJ15" s="2">
        <v>15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</row>
    <row r="16" spans="1:44" x14ac:dyDescent="0.25">
      <c r="A16" s="2">
        <f>ROW('Source (3)'!A30)</f>
        <v>30</v>
      </c>
      <c r="B16" s="2">
        <v>52286558</v>
      </c>
      <c r="C16" s="2">
        <v>52286545</v>
      </c>
      <c r="D16" s="2">
        <v>49678608</v>
      </c>
      <c r="E16" s="2">
        <v>1</v>
      </c>
      <c r="F16" s="2">
        <v>1</v>
      </c>
      <c r="G16" s="2">
        <v>29</v>
      </c>
      <c r="H16" s="2">
        <v>2</v>
      </c>
      <c r="I16" s="2" t="s">
        <v>95</v>
      </c>
      <c r="J16" s="2" t="s">
        <v>370</v>
      </c>
      <c r="K16" s="2" t="s">
        <v>96</v>
      </c>
      <c r="L16" s="2">
        <v>1368</v>
      </c>
      <c r="N16" s="2">
        <v>1011</v>
      </c>
      <c r="O16" s="2" t="s">
        <v>82</v>
      </c>
      <c r="P16" s="2" t="s">
        <v>82</v>
      </c>
      <c r="Q16" s="2">
        <v>1</v>
      </c>
      <c r="X16" s="2">
        <v>5.15</v>
      </c>
      <c r="Y16" s="2">
        <v>0</v>
      </c>
      <c r="Z16" s="2">
        <v>1331.87</v>
      </c>
      <c r="AA16" s="2">
        <v>518.54999999999995</v>
      </c>
      <c r="AB16" s="2">
        <v>0</v>
      </c>
      <c r="AC16" s="2">
        <v>0</v>
      </c>
      <c r="AD16" s="2">
        <v>1</v>
      </c>
      <c r="AE16" s="2">
        <v>0</v>
      </c>
      <c r="AF16" s="2" t="s">
        <v>30</v>
      </c>
      <c r="AG16" s="2">
        <v>5.15</v>
      </c>
      <c r="AH16" s="2">
        <v>2</v>
      </c>
      <c r="AI16" s="2">
        <v>52286548</v>
      </c>
      <c r="AJ16" s="2">
        <v>16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</row>
    <row r="17" spans="1:44" x14ac:dyDescent="0.25">
      <c r="A17" s="2">
        <f>ROW('Source (3)'!A30)</f>
        <v>30</v>
      </c>
      <c r="B17" s="2">
        <v>52286559</v>
      </c>
      <c r="C17" s="2">
        <v>52286545</v>
      </c>
      <c r="D17" s="2">
        <v>49678594</v>
      </c>
      <c r="E17" s="2">
        <v>1</v>
      </c>
      <c r="F17" s="2">
        <v>1</v>
      </c>
      <c r="G17" s="2">
        <v>29</v>
      </c>
      <c r="H17" s="2">
        <v>2</v>
      </c>
      <c r="I17" s="2" t="s">
        <v>97</v>
      </c>
      <c r="J17" s="2" t="s">
        <v>371</v>
      </c>
      <c r="K17" s="2" t="s">
        <v>98</v>
      </c>
      <c r="L17" s="2">
        <v>1368</v>
      </c>
      <c r="N17" s="2">
        <v>1011</v>
      </c>
      <c r="O17" s="2" t="s">
        <v>82</v>
      </c>
      <c r="P17" s="2" t="s">
        <v>82</v>
      </c>
      <c r="Q17" s="2">
        <v>1</v>
      </c>
      <c r="X17" s="2">
        <v>11.26</v>
      </c>
      <c r="Y17" s="2">
        <v>0</v>
      </c>
      <c r="Z17" s="2">
        <v>1364.68</v>
      </c>
      <c r="AA17" s="2">
        <v>556.52</v>
      </c>
      <c r="AB17" s="2">
        <v>0</v>
      </c>
      <c r="AC17" s="2">
        <v>0</v>
      </c>
      <c r="AD17" s="2">
        <v>1</v>
      </c>
      <c r="AE17" s="2">
        <v>0</v>
      </c>
      <c r="AF17" s="2" t="s">
        <v>30</v>
      </c>
      <c r="AG17" s="2">
        <v>11.26</v>
      </c>
      <c r="AH17" s="2">
        <v>2</v>
      </c>
      <c r="AI17" s="2">
        <v>52286549</v>
      </c>
      <c r="AJ17" s="2">
        <v>17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</row>
    <row r="18" spans="1:44" x14ac:dyDescent="0.25">
      <c r="A18" s="2">
        <f>ROW('Source (3)'!A30)</f>
        <v>30</v>
      </c>
      <c r="B18" s="2">
        <v>52286560</v>
      </c>
      <c r="C18" s="2">
        <v>52286545</v>
      </c>
      <c r="D18" s="2">
        <v>49678595</v>
      </c>
      <c r="E18" s="2">
        <v>1</v>
      </c>
      <c r="F18" s="2">
        <v>1</v>
      </c>
      <c r="G18" s="2">
        <v>29</v>
      </c>
      <c r="H18" s="2">
        <v>2</v>
      </c>
      <c r="I18" s="2" t="s">
        <v>99</v>
      </c>
      <c r="J18" s="2" t="s">
        <v>372</v>
      </c>
      <c r="K18" s="2" t="s">
        <v>100</v>
      </c>
      <c r="L18" s="2">
        <v>1368</v>
      </c>
      <c r="N18" s="2">
        <v>1011</v>
      </c>
      <c r="O18" s="2" t="s">
        <v>82</v>
      </c>
      <c r="P18" s="2" t="s">
        <v>82</v>
      </c>
      <c r="Q18" s="2">
        <v>1</v>
      </c>
      <c r="X18" s="2">
        <v>32.19</v>
      </c>
      <c r="Y18" s="2">
        <v>0</v>
      </c>
      <c r="Z18" s="2">
        <v>1888.15</v>
      </c>
      <c r="AA18" s="2">
        <v>756.58</v>
      </c>
      <c r="AB18" s="2">
        <v>0</v>
      </c>
      <c r="AC18" s="2">
        <v>0</v>
      </c>
      <c r="AD18" s="2">
        <v>1</v>
      </c>
      <c r="AE18" s="2">
        <v>0</v>
      </c>
      <c r="AF18" s="2" t="s">
        <v>30</v>
      </c>
      <c r="AG18" s="2">
        <v>32.19</v>
      </c>
      <c r="AH18" s="2">
        <v>2</v>
      </c>
      <c r="AI18" s="2">
        <v>52286550</v>
      </c>
      <c r="AJ18" s="2">
        <v>18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</row>
    <row r="19" spans="1:44" x14ac:dyDescent="0.25">
      <c r="A19" s="2">
        <f>ROW('Source (3)'!A30)</f>
        <v>30</v>
      </c>
      <c r="B19" s="2">
        <v>52286561</v>
      </c>
      <c r="C19" s="2">
        <v>52286545</v>
      </c>
      <c r="D19" s="2">
        <v>49678632</v>
      </c>
      <c r="E19" s="2">
        <v>1</v>
      </c>
      <c r="F19" s="2">
        <v>1</v>
      </c>
      <c r="G19" s="2">
        <v>29</v>
      </c>
      <c r="H19" s="2">
        <v>2</v>
      </c>
      <c r="I19" s="2" t="s">
        <v>101</v>
      </c>
      <c r="J19" s="2" t="s">
        <v>373</v>
      </c>
      <c r="K19" s="2" t="s">
        <v>102</v>
      </c>
      <c r="L19" s="2">
        <v>1368</v>
      </c>
      <c r="N19" s="2">
        <v>1011</v>
      </c>
      <c r="O19" s="2" t="s">
        <v>82</v>
      </c>
      <c r="P19" s="2" t="s">
        <v>82</v>
      </c>
      <c r="Q19" s="2">
        <v>1</v>
      </c>
      <c r="X19" s="2">
        <v>5.81</v>
      </c>
      <c r="Y19" s="2">
        <v>0</v>
      </c>
      <c r="Z19" s="2">
        <v>1586.43</v>
      </c>
      <c r="AA19" s="2">
        <v>752.49</v>
      </c>
      <c r="AB19" s="2">
        <v>0</v>
      </c>
      <c r="AC19" s="2">
        <v>0</v>
      </c>
      <c r="AD19" s="2">
        <v>1</v>
      </c>
      <c r="AE19" s="2">
        <v>0</v>
      </c>
      <c r="AF19" s="2" t="s">
        <v>30</v>
      </c>
      <c r="AG19" s="2">
        <v>5.81</v>
      </c>
      <c r="AH19" s="2">
        <v>2</v>
      </c>
      <c r="AI19" s="2">
        <v>52286551</v>
      </c>
      <c r="AJ19" s="2">
        <v>19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</row>
    <row r="20" spans="1:44" x14ac:dyDescent="0.25">
      <c r="A20" s="2">
        <f>ROW('Source (3)'!A30)</f>
        <v>30</v>
      </c>
      <c r="B20" s="2">
        <v>52286562</v>
      </c>
      <c r="C20" s="2">
        <v>52286545</v>
      </c>
      <c r="D20" s="2">
        <v>49680618</v>
      </c>
      <c r="E20" s="2">
        <v>1</v>
      </c>
      <c r="F20" s="2">
        <v>1</v>
      </c>
      <c r="G20" s="2">
        <v>29</v>
      </c>
      <c r="H20" s="2">
        <v>3</v>
      </c>
      <c r="I20" s="2" t="s">
        <v>191</v>
      </c>
      <c r="J20" s="2" t="s">
        <v>193</v>
      </c>
      <c r="K20" s="2" t="s">
        <v>192</v>
      </c>
      <c r="L20" s="2">
        <v>1339</v>
      </c>
      <c r="N20" s="2">
        <v>1007</v>
      </c>
      <c r="O20" s="2" t="s">
        <v>62</v>
      </c>
      <c r="P20" s="2" t="s">
        <v>62</v>
      </c>
      <c r="Q20" s="2">
        <v>1</v>
      </c>
      <c r="X20" s="2">
        <v>11.5</v>
      </c>
      <c r="Y20" s="2">
        <v>1610.75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 t="s">
        <v>30</v>
      </c>
      <c r="AG20" s="2">
        <v>11.5</v>
      </c>
      <c r="AH20" s="2">
        <v>2</v>
      </c>
      <c r="AI20" s="2">
        <v>52286552</v>
      </c>
      <c r="AJ20" s="2">
        <v>21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</row>
    <row r="21" spans="1:44" x14ac:dyDescent="0.25">
      <c r="A21" s="2">
        <f>ROW('Source (3)'!A30)</f>
        <v>30</v>
      </c>
      <c r="B21" s="2">
        <v>52286563</v>
      </c>
      <c r="C21" s="2">
        <v>52286545</v>
      </c>
      <c r="D21" s="2">
        <v>49680619</v>
      </c>
      <c r="E21" s="2">
        <v>1</v>
      </c>
      <c r="F21" s="2">
        <v>1</v>
      </c>
      <c r="G21" s="2">
        <v>29</v>
      </c>
      <c r="H21" s="2">
        <v>3</v>
      </c>
      <c r="I21" s="2" t="s">
        <v>194</v>
      </c>
      <c r="J21" s="2" t="s">
        <v>196</v>
      </c>
      <c r="K21" s="2" t="s">
        <v>195</v>
      </c>
      <c r="L21" s="2">
        <v>1339</v>
      </c>
      <c r="N21" s="2">
        <v>1007</v>
      </c>
      <c r="O21" s="2" t="s">
        <v>62</v>
      </c>
      <c r="P21" s="2" t="s">
        <v>62</v>
      </c>
      <c r="Q21" s="2">
        <v>1</v>
      </c>
      <c r="X21" s="2">
        <v>55</v>
      </c>
      <c r="Y21" s="2">
        <v>1542.75</v>
      </c>
      <c r="Z21" s="2">
        <v>0</v>
      </c>
      <c r="AA21" s="2">
        <v>0</v>
      </c>
      <c r="AB21" s="2">
        <v>0</v>
      </c>
      <c r="AC21" s="2">
        <v>0</v>
      </c>
      <c r="AD21" s="2">
        <v>1</v>
      </c>
      <c r="AE21" s="2">
        <v>0</v>
      </c>
      <c r="AF21" s="2" t="s">
        <v>30</v>
      </c>
      <c r="AG21" s="2">
        <v>55</v>
      </c>
      <c r="AH21" s="2">
        <v>2</v>
      </c>
      <c r="AI21" s="2">
        <v>52286553</v>
      </c>
      <c r="AJ21" s="2">
        <v>22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</row>
    <row r="22" spans="1:44" x14ac:dyDescent="0.25">
      <c r="A22" s="2">
        <f>ROW('Source (3)'!A30)</f>
        <v>30</v>
      </c>
      <c r="B22" s="2">
        <v>52286564</v>
      </c>
      <c r="C22" s="2">
        <v>52286545</v>
      </c>
      <c r="D22" s="2">
        <v>49681352</v>
      </c>
      <c r="E22" s="2">
        <v>1</v>
      </c>
      <c r="F22" s="2">
        <v>1</v>
      </c>
      <c r="G22" s="2">
        <v>29</v>
      </c>
      <c r="H22" s="2">
        <v>3</v>
      </c>
      <c r="I22" s="2" t="s">
        <v>111</v>
      </c>
      <c r="J22" s="2" t="s">
        <v>367</v>
      </c>
      <c r="K22" s="2" t="s">
        <v>112</v>
      </c>
      <c r="L22" s="2">
        <v>1339</v>
      </c>
      <c r="N22" s="2">
        <v>1007</v>
      </c>
      <c r="O22" s="2" t="s">
        <v>62</v>
      </c>
      <c r="P22" s="2" t="s">
        <v>62</v>
      </c>
      <c r="Q22" s="2">
        <v>1</v>
      </c>
      <c r="X22" s="2">
        <v>25</v>
      </c>
      <c r="Y22" s="2">
        <v>36.31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  <c r="AE22" s="2">
        <v>0</v>
      </c>
      <c r="AF22" s="2" t="s">
        <v>30</v>
      </c>
      <c r="AG22" s="2">
        <v>25</v>
      </c>
      <c r="AH22" s="2">
        <v>2</v>
      </c>
      <c r="AI22" s="2">
        <v>52286554</v>
      </c>
      <c r="AJ22" s="2">
        <v>23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</row>
    <row r="23" spans="1:44" x14ac:dyDescent="0.25">
      <c r="A23" s="2">
        <f>ROW('Source (3)'!A34)</f>
        <v>34</v>
      </c>
      <c r="B23" s="2">
        <v>52286571</v>
      </c>
      <c r="C23" s="2">
        <v>52286568</v>
      </c>
      <c r="D23" s="2">
        <v>49679217</v>
      </c>
      <c r="E23" s="2">
        <v>1</v>
      </c>
      <c r="F23" s="2">
        <v>1</v>
      </c>
      <c r="G23" s="2">
        <v>29</v>
      </c>
      <c r="H23" s="2">
        <v>2</v>
      </c>
      <c r="I23" s="2" t="s">
        <v>85</v>
      </c>
      <c r="J23" s="2" t="s">
        <v>374</v>
      </c>
      <c r="K23" s="2" t="s">
        <v>86</v>
      </c>
      <c r="L23" s="2">
        <v>1368</v>
      </c>
      <c r="N23" s="2">
        <v>1011</v>
      </c>
      <c r="O23" s="2" t="s">
        <v>82</v>
      </c>
      <c r="P23" s="2" t="s">
        <v>82</v>
      </c>
      <c r="Q23" s="2">
        <v>1</v>
      </c>
      <c r="X23" s="2">
        <v>0.02</v>
      </c>
      <c r="Y23" s="2">
        <v>0</v>
      </c>
      <c r="Z23" s="2">
        <v>1070.1199999999999</v>
      </c>
      <c r="AA23" s="2">
        <v>332.66</v>
      </c>
      <c r="AB23" s="2">
        <v>0</v>
      </c>
      <c r="AC23" s="2">
        <v>0</v>
      </c>
      <c r="AD23" s="2">
        <v>1</v>
      </c>
      <c r="AE23" s="2">
        <v>0</v>
      </c>
      <c r="AF23" s="2" t="s">
        <v>30</v>
      </c>
      <c r="AG23" s="2">
        <v>0.02</v>
      </c>
      <c r="AH23" s="2">
        <v>2</v>
      </c>
      <c r="AI23" s="2">
        <v>52286569</v>
      </c>
      <c r="AJ23" s="2">
        <v>24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</row>
    <row r="24" spans="1:44" x14ac:dyDescent="0.25">
      <c r="A24" s="2">
        <f>ROW('Source (3)'!A34)</f>
        <v>34</v>
      </c>
      <c r="B24" s="2">
        <v>52286572</v>
      </c>
      <c r="C24" s="2">
        <v>52286568</v>
      </c>
      <c r="D24" s="2">
        <v>49679218</v>
      </c>
      <c r="E24" s="2">
        <v>1</v>
      </c>
      <c r="F24" s="2">
        <v>1</v>
      </c>
      <c r="G24" s="2">
        <v>29</v>
      </c>
      <c r="H24" s="2">
        <v>2</v>
      </c>
      <c r="I24" s="2" t="s">
        <v>87</v>
      </c>
      <c r="J24" s="2" t="s">
        <v>375</v>
      </c>
      <c r="K24" s="2" t="s">
        <v>88</v>
      </c>
      <c r="L24" s="2">
        <v>1368</v>
      </c>
      <c r="N24" s="2">
        <v>1011</v>
      </c>
      <c r="O24" s="2" t="s">
        <v>82</v>
      </c>
      <c r="P24" s="2" t="s">
        <v>82</v>
      </c>
      <c r="Q24" s="2">
        <v>1</v>
      </c>
      <c r="X24" s="2">
        <v>1.7999999999999999E-2</v>
      </c>
      <c r="Y24" s="2">
        <v>0</v>
      </c>
      <c r="Z24" s="2">
        <v>1080.76</v>
      </c>
      <c r="AA24" s="2">
        <v>332.99</v>
      </c>
      <c r="AB24" s="2">
        <v>0</v>
      </c>
      <c r="AC24" s="2">
        <v>0</v>
      </c>
      <c r="AD24" s="2">
        <v>1</v>
      </c>
      <c r="AE24" s="2">
        <v>0</v>
      </c>
      <c r="AF24" s="2" t="s">
        <v>30</v>
      </c>
      <c r="AG24" s="2">
        <v>1.7999999999999999E-2</v>
      </c>
      <c r="AH24" s="2">
        <v>2</v>
      </c>
      <c r="AI24" s="2">
        <v>52286570</v>
      </c>
      <c r="AJ24" s="2">
        <v>25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</row>
    <row r="25" spans="1:44" x14ac:dyDescent="0.25">
      <c r="A25" s="2">
        <f>ROW('Source (3)'!A35)</f>
        <v>35</v>
      </c>
      <c r="B25" s="2">
        <v>52286576</v>
      </c>
      <c r="C25" s="2">
        <v>52286573</v>
      </c>
      <c r="D25" s="2">
        <v>49679217</v>
      </c>
      <c r="E25" s="2">
        <v>1</v>
      </c>
      <c r="F25" s="2">
        <v>1</v>
      </c>
      <c r="G25" s="2">
        <v>29</v>
      </c>
      <c r="H25" s="2">
        <v>2</v>
      </c>
      <c r="I25" s="2" t="s">
        <v>85</v>
      </c>
      <c r="J25" s="2" t="s">
        <v>374</v>
      </c>
      <c r="K25" s="2" t="s">
        <v>86</v>
      </c>
      <c r="L25" s="2">
        <v>1368</v>
      </c>
      <c r="N25" s="2">
        <v>1011</v>
      </c>
      <c r="O25" s="2" t="s">
        <v>82</v>
      </c>
      <c r="P25" s="2" t="s">
        <v>82</v>
      </c>
      <c r="Q25" s="2">
        <v>1</v>
      </c>
      <c r="X25" s="2">
        <v>0.01</v>
      </c>
      <c r="Y25" s="2">
        <v>0</v>
      </c>
      <c r="Z25" s="2">
        <v>1070.1199999999999</v>
      </c>
      <c r="AA25" s="2">
        <v>332.66</v>
      </c>
      <c r="AB25" s="2">
        <v>0</v>
      </c>
      <c r="AC25" s="2">
        <v>0</v>
      </c>
      <c r="AD25" s="2">
        <v>1</v>
      </c>
      <c r="AE25" s="2">
        <v>0</v>
      </c>
      <c r="AF25" s="2" t="s">
        <v>207</v>
      </c>
      <c r="AG25" s="2">
        <v>0.52</v>
      </c>
      <c r="AH25" s="2">
        <v>2</v>
      </c>
      <c r="AI25" s="2">
        <v>52286574</v>
      </c>
      <c r="AJ25" s="2">
        <v>26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</row>
    <row r="26" spans="1:44" x14ac:dyDescent="0.25">
      <c r="A26" s="2">
        <f>ROW('Source (3)'!A35)</f>
        <v>35</v>
      </c>
      <c r="B26" s="2">
        <v>52286577</v>
      </c>
      <c r="C26" s="2">
        <v>52286573</v>
      </c>
      <c r="D26" s="2">
        <v>49679218</v>
      </c>
      <c r="E26" s="2">
        <v>1</v>
      </c>
      <c r="F26" s="2">
        <v>1</v>
      </c>
      <c r="G26" s="2">
        <v>29</v>
      </c>
      <c r="H26" s="2">
        <v>2</v>
      </c>
      <c r="I26" s="2" t="s">
        <v>87</v>
      </c>
      <c r="J26" s="2" t="s">
        <v>375</v>
      </c>
      <c r="K26" s="2" t="s">
        <v>88</v>
      </c>
      <c r="L26" s="2">
        <v>1368</v>
      </c>
      <c r="N26" s="2">
        <v>1011</v>
      </c>
      <c r="O26" s="2" t="s">
        <v>82</v>
      </c>
      <c r="P26" s="2" t="s">
        <v>82</v>
      </c>
      <c r="Q26" s="2">
        <v>1</v>
      </c>
      <c r="X26" s="2">
        <v>8.0000000000000002E-3</v>
      </c>
      <c r="Y26" s="2">
        <v>0</v>
      </c>
      <c r="Z26" s="2">
        <v>1080.76</v>
      </c>
      <c r="AA26" s="2">
        <v>332.99</v>
      </c>
      <c r="AB26" s="2">
        <v>0</v>
      </c>
      <c r="AC26" s="2">
        <v>0</v>
      </c>
      <c r="AD26" s="2">
        <v>1</v>
      </c>
      <c r="AE26" s="2">
        <v>0</v>
      </c>
      <c r="AF26" s="2" t="s">
        <v>207</v>
      </c>
      <c r="AG26" s="2">
        <v>0.41599999999999998</v>
      </c>
      <c r="AH26" s="2">
        <v>2</v>
      </c>
      <c r="AI26" s="2">
        <v>52286575</v>
      </c>
      <c r="AJ26" s="2">
        <v>27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</row>
    <row r="27" spans="1:44" x14ac:dyDescent="0.25">
      <c r="A27" s="2">
        <f>ROW('Source (3)'!A36)</f>
        <v>36</v>
      </c>
      <c r="B27" s="2">
        <v>52286584</v>
      </c>
      <c r="C27" s="2">
        <v>52286578</v>
      </c>
      <c r="D27" s="2">
        <v>49677488</v>
      </c>
      <c r="E27" s="2">
        <v>29</v>
      </c>
      <c r="F27" s="2">
        <v>1</v>
      </c>
      <c r="G27" s="2">
        <v>29</v>
      </c>
      <c r="H27" s="2">
        <v>1</v>
      </c>
      <c r="I27" s="2" t="s">
        <v>359</v>
      </c>
      <c r="J27" s="2" t="s">
        <v>30</v>
      </c>
      <c r="K27" s="2" t="s">
        <v>360</v>
      </c>
      <c r="L27" s="2">
        <v>1191</v>
      </c>
      <c r="N27" s="2">
        <v>1013</v>
      </c>
      <c r="O27" s="2" t="s">
        <v>361</v>
      </c>
      <c r="P27" s="2" t="s">
        <v>361</v>
      </c>
      <c r="Q27" s="2">
        <v>1</v>
      </c>
      <c r="X27" s="2">
        <v>10.3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1</v>
      </c>
      <c r="AE27" s="2">
        <v>1</v>
      </c>
      <c r="AF27" s="2" t="s">
        <v>30</v>
      </c>
      <c r="AG27" s="2">
        <v>10.3</v>
      </c>
      <c r="AH27" s="2">
        <v>2</v>
      </c>
      <c r="AI27" s="2">
        <v>52286579</v>
      </c>
      <c r="AJ27" s="2">
        <v>28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</row>
    <row r="28" spans="1:44" x14ac:dyDescent="0.25">
      <c r="A28" s="2">
        <f>ROW('Source (3)'!A36)</f>
        <v>36</v>
      </c>
      <c r="B28" s="2">
        <v>52286585</v>
      </c>
      <c r="C28" s="2">
        <v>52286578</v>
      </c>
      <c r="D28" s="2">
        <v>49678594</v>
      </c>
      <c r="E28" s="2">
        <v>1</v>
      </c>
      <c r="F28" s="2">
        <v>1</v>
      </c>
      <c r="G28" s="2">
        <v>29</v>
      </c>
      <c r="H28" s="2">
        <v>2</v>
      </c>
      <c r="I28" s="2" t="s">
        <v>97</v>
      </c>
      <c r="J28" s="2" t="s">
        <v>371</v>
      </c>
      <c r="K28" s="2" t="s">
        <v>98</v>
      </c>
      <c r="L28" s="2">
        <v>1368</v>
      </c>
      <c r="N28" s="2">
        <v>1011</v>
      </c>
      <c r="O28" s="2" t="s">
        <v>82</v>
      </c>
      <c r="P28" s="2" t="s">
        <v>82</v>
      </c>
      <c r="Q28" s="2">
        <v>1</v>
      </c>
      <c r="X28" s="2">
        <v>0.89</v>
      </c>
      <c r="Y28" s="2">
        <v>0</v>
      </c>
      <c r="Z28" s="2">
        <v>1364.68</v>
      </c>
      <c r="AA28" s="2">
        <v>556.52</v>
      </c>
      <c r="AB28" s="2">
        <v>0</v>
      </c>
      <c r="AC28" s="2">
        <v>0</v>
      </c>
      <c r="AD28" s="2">
        <v>1</v>
      </c>
      <c r="AE28" s="2">
        <v>0</v>
      </c>
      <c r="AF28" s="2" t="s">
        <v>30</v>
      </c>
      <c r="AG28" s="2">
        <v>0.89</v>
      </c>
      <c r="AH28" s="2">
        <v>2</v>
      </c>
      <c r="AI28" s="2">
        <v>52286580</v>
      </c>
      <c r="AJ28" s="2">
        <v>29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</row>
    <row r="29" spans="1:44" x14ac:dyDescent="0.25">
      <c r="A29" s="2">
        <f>ROW('Source (3)'!A36)</f>
        <v>36</v>
      </c>
      <c r="B29" s="2">
        <v>52286586</v>
      </c>
      <c r="C29" s="2">
        <v>52286578</v>
      </c>
      <c r="D29" s="2">
        <v>49679414</v>
      </c>
      <c r="E29" s="2">
        <v>1</v>
      </c>
      <c r="F29" s="2">
        <v>1</v>
      </c>
      <c r="G29" s="2">
        <v>29</v>
      </c>
      <c r="H29" s="2">
        <v>3</v>
      </c>
      <c r="I29" s="2" t="s">
        <v>109</v>
      </c>
      <c r="J29" s="2" t="s">
        <v>376</v>
      </c>
      <c r="K29" s="2" t="s">
        <v>110</v>
      </c>
      <c r="L29" s="2">
        <v>1348</v>
      </c>
      <c r="N29" s="2">
        <v>1009</v>
      </c>
      <c r="O29" s="2" t="s">
        <v>63</v>
      </c>
      <c r="P29" s="2" t="s">
        <v>63</v>
      </c>
      <c r="Q29" s="2">
        <v>1000</v>
      </c>
      <c r="X29" s="2">
        <v>0.06</v>
      </c>
      <c r="Y29" s="2">
        <v>34834.18</v>
      </c>
      <c r="Z29" s="2">
        <v>0</v>
      </c>
      <c r="AA29" s="2">
        <v>0</v>
      </c>
      <c r="AB29" s="2">
        <v>0</v>
      </c>
      <c r="AC29" s="2">
        <v>0</v>
      </c>
      <c r="AD29" s="2">
        <v>1</v>
      </c>
      <c r="AE29" s="2">
        <v>0</v>
      </c>
      <c r="AF29" s="2" t="s">
        <v>30</v>
      </c>
      <c r="AG29" s="2">
        <v>0.06</v>
      </c>
      <c r="AH29" s="2">
        <v>2</v>
      </c>
      <c r="AI29" s="2">
        <v>52286581</v>
      </c>
      <c r="AJ29" s="2">
        <v>30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</row>
    <row r="30" spans="1:44" x14ac:dyDescent="0.25">
      <c r="A30" s="2">
        <f>ROW('Source (3)'!A36)</f>
        <v>36</v>
      </c>
      <c r="B30" s="2">
        <v>52286587</v>
      </c>
      <c r="C30" s="2">
        <v>52286578</v>
      </c>
      <c r="D30" s="2">
        <v>49682551</v>
      </c>
      <c r="E30" s="2">
        <v>1</v>
      </c>
      <c r="F30" s="2">
        <v>1</v>
      </c>
      <c r="G30" s="2">
        <v>29</v>
      </c>
      <c r="H30" s="2">
        <v>3</v>
      </c>
      <c r="I30" s="2" t="s">
        <v>160</v>
      </c>
      <c r="J30" s="2" t="s">
        <v>213</v>
      </c>
      <c r="K30" s="2" t="s">
        <v>212</v>
      </c>
      <c r="L30" s="2">
        <v>1348</v>
      </c>
      <c r="N30" s="2">
        <v>1009</v>
      </c>
      <c r="O30" s="2" t="s">
        <v>63</v>
      </c>
      <c r="P30" s="2" t="s">
        <v>63</v>
      </c>
      <c r="Q30" s="2">
        <v>1000</v>
      </c>
      <c r="X30" s="2">
        <v>7.14</v>
      </c>
      <c r="Y30" s="2">
        <v>2954.24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  <c r="AF30" s="2" t="s">
        <v>30</v>
      </c>
      <c r="AG30" s="2">
        <v>7.14</v>
      </c>
      <c r="AH30" s="2">
        <v>2</v>
      </c>
      <c r="AI30" s="2">
        <v>52286582</v>
      </c>
      <c r="AJ30" s="2">
        <v>31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</row>
    <row r="31" spans="1:44" x14ac:dyDescent="0.25">
      <c r="A31" s="2">
        <f>ROW('Source (3)'!A84)</f>
        <v>84</v>
      </c>
      <c r="B31" s="2">
        <v>52286609</v>
      </c>
      <c r="C31" s="2">
        <v>52286590</v>
      </c>
      <c r="D31" s="2">
        <v>49677488</v>
      </c>
      <c r="E31" s="2">
        <v>29</v>
      </c>
      <c r="F31" s="2">
        <v>1</v>
      </c>
      <c r="G31" s="2">
        <v>29</v>
      </c>
      <c r="H31" s="2">
        <v>1</v>
      </c>
      <c r="I31" s="2" t="s">
        <v>359</v>
      </c>
      <c r="J31" s="2" t="s">
        <v>30</v>
      </c>
      <c r="K31" s="2" t="s">
        <v>360</v>
      </c>
      <c r="L31" s="2">
        <v>1191</v>
      </c>
      <c r="N31" s="2">
        <v>1013</v>
      </c>
      <c r="O31" s="2" t="s">
        <v>361</v>
      </c>
      <c r="P31" s="2" t="s">
        <v>361</v>
      </c>
      <c r="Q31" s="2">
        <v>1</v>
      </c>
      <c r="X31" s="2">
        <v>0.66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</v>
      </c>
      <c r="AE31" s="2">
        <v>1</v>
      </c>
      <c r="AF31" s="2" t="s">
        <v>30</v>
      </c>
      <c r="AG31" s="2">
        <v>0.66</v>
      </c>
      <c r="AH31" s="2">
        <v>2</v>
      </c>
      <c r="AI31" s="2">
        <v>52286591</v>
      </c>
      <c r="AJ31" s="2">
        <v>33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</row>
    <row r="32" spans="1:44" x14ac:dyDescent="0.25">
      <c r="A32" s="2">
        <f>ROW('Source (3)'!A84)</f>
        <v>84</v>
      </c>
      <c r="B32" s="2">
        <v>52286610</v>
      </c>
      <c r="C32" s="2">
        <v>52286590</v>
      </c>
      <c r="D32" s="2">
        <v>49678762</v>
      </c>
      <c r="E32" s="2">
        <v>1</v>
      </c>
      <c r="F32" s="2">
        <v>1</v>
      </c>
      <c r="G32" s="2">
        <v>29</v>
      </c>
      <c r="H32" s="2">
        <v>2</v>
      </c>
      <c r="I32" s="2" t="s">
        <v>116</v>
      </c>
      <c r="J32" s="2" t="s">
        <v>377</v>
      </c>
      <c r="K32" s="2" t="s">
        <v>117</v>
      </c>
      <c r="L32" s="2">
        <v>1368</v>
      </c>
      <c r="N32" s="2">
        <v>1011</v>
      </c>
      <c r="O32" s="2" t="s">
        <v>82</v>
      </c>
      <c r="P32" s="2" t="s">
        <v>82</v>
      </c>
      <c r="Q32" s="2">
        <v>1</v>
      </c>
      <c r="X32" s="2">
        <v>0.13200000000000001</v>
      </c>
      <c r="Y32" s="2">
        <v>0</v>
      </c>
      <c r="Z32" s="2">
        <v>493.52</v>
      </c>
      <c r="AA32" s="2">
        <v>377.79</v>
      </c>
      <c r="AB32" s="2">
        <v>0</v>
      </c>
      <c r="AC32" s="2">
        <v>0</v>
      </c>
      <c r="AD32" s="2">
        <v>1</v>
      </c>
      <c r="AE32" s="2">
        <v>0</v>
      </c>
      <c r="AF32" s="2" t="s">
        <v>30</v>
      </c>
      <c r="AG32" s="2">
        <v>0.13200000000000001</v>
      </c>
      <c r="AH32" s="2">
        <v>2</v>
      </c>
      <c r="AI32" s="2">
        <v>52286592</v>
      </c>
      <c r="AJ32" s="2">
        <v>34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</row>
    <row r="33" spans="1:44" x14ac:dyDescent="0.25">
      <c r="A33" s="2">
        <f>ROW('Source (3)'!A84)</f>
        <v>84</v>
      </c>
      <c r="B33" s="2">
        <v>52286611</v>
      </c>
      <c r="C33" s="2">
        <v>52286590</v>
      </c>
      <c r="D33" s="2">
        <v>49679228</v>
      </c>
      <c r="E33" s="2">
        <v>1</v>
      </c>
      <c r="F33" s="2">
        <v>1</v>
      </c>
      <c r="G33" s="2">
        <v>29</v>
      </c>
      <c r="H33" s="2">
        <v>2</v>
      </c>
      <c r="I33" s="2" t="s">
        <v>118</v>
      </c>
      <c r="J33" s="2" t="s">
        <v>378</v>
      </c>
      <c r="K33" s="2" t="s">
        <v>119</v>
      </c>
      <c r="L33" s="2">
        <v>1368</v>
      </c>
      <c r="N33" s="2">
        <v>1011</v>
      </c>
      <c r="O33" s="2" t="s">
        <v>82</v>
      </c>
      <c r="P33" s="2" t="s">
        <v>82</v>
      </c>
      <c r="Q33" s="2">
        <v>1</v>
      </c>
      <c r="X33" s="2">
        <v>0.05</v>
      </c>
      <c r="Y33" s="2">
        <v>0</v>
      </c>
      <c r="Z33" s="2">
        <v>1153.51</v>
      </c>
      <c r="AA33" s="2">
        <v>408.74</v>
      </c>
      <c r="AB33" s="2">
        <v>0</v>
      </c>
      <c r="AC33" s="2">
        <v>0</v>
      </c>
      <c r="AD33" s="2">
        <v>1</v>
      </c>
      <c r="AE33" s="2">
        <v>0</v>
      </c>
      <c r="AF33" s="2" t="s">
        <v>30</v>
      </c>
      <c r="AG33" s="2">
        <v>0.05</v>
      </c>
      <c r="AH33" s="2">
        <v>2</v>
      </c>
      <c r="AI33" s="2">
        <v>52286593</v>
      </c>
      <c r="AJ33" s="2">
        <v>35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</row>
    <row r="34" spans="1:44" x14ac:dyDescent="0.25">
      <c r="A34" s="2">
        <f>ROW('Source (3)'!A84)</f>
        <v>84</v>
      </c>
      <c r="B34" s="2">
        <v>52286612</v>
      </c>
      <c r="C34" s="2">
        <v>52286590</v>
      </c>
      <c r="D34" s="2">
        <v>49679291</v>
      </c>
      <c r="E34" s="2">
        <v>1</v>
      </c>
      <c r="F34" s="2">
        <v>1</v>
      </c>
      <c r="G34" s="2">
        <v>29</v>
      </c>
      <c r="H34" s="2">
        <v>2</v>
      </c>
      <c r="I34" s="2" t="s">
        <v>91</v>
      </c>
      <c r="J34" s="2" t="s">
        <v>364</v>
      </c>
      <c r="K34" s="2" t="s">
        <v>92</v>
      </c>
      <c r="L34" s="2">
        <v>1368</v>
      </c>
      <c r="N34" s="2">
        <v>1011</v>
      </c>
      <c r="O34" s="2" t="s">
        <v>82</v>
      </c>
      <c r="P34" s="2" t="s">
        <v>82</v>
      </c>
      <c r="Q34" s="2">
        <v>1</v>
      </c>
      <c r="X34" s="2">
        <v>0.13200000000000001</v>
      </c>
      <c r="Y34" s="2">
        <v>0</v>
      </c>
      <c r="Z34" s="2">
        <v>6.02</v>
      </c>
      <c r="AA34" s="2">
        <v>0.02</v>
      </c>
      <c r="AB34" s="2">
        <v>0</v>
      </c>
      <c r="AC34" s="2">
        <v>0</v>
      </c>
      <c r="AD34" s="2">
        <v>1</v>
      </c>
      <c r="AE34" s="2">
        <v>0</v>
      </c>
      <c r="AF34" s="2" t="s">
        <v>30</v>
      </c>
      <c r="AG34" s="2">
        <v>0.13200000000000001</v>
      </c>
      <c r="AH34" s="2">
        <v>2</v>
      </c>
      <c r="AI34" s="2">
        <v>52286594</v>
      </c>
      <c r="AJ34" s="2">
        <v>36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</row>
    <row r="35" spans="1:44" x14ac:dyDescent="0.25">
      <c r="A35" s="2">
        <f>ROW('Source (3)'!A84)</f>
        <v>84</v>
      </c>
      <c r="B35" s="2">
        <v>52286613</v>
      </c>
      <c r="C35" s="2">
        <v>52286590</v>
      </c>
      <c r="D35" s="2">
        <v>49678516</v>
      </c>
      <c r="E35" s="2">
        <v>1</v>
      </c>
      <c r="F35" s="2">
        <v>1</v>
      </c>
      <c r="G35" s="2">
        <v>29</v>
      </c>
      <c r="H35" s="2">
        <v>2</v>
      </c>
      <c r="I35" s="2" t="s">
        <v>120</v>
      </c>
      <c r="J35" s="2" t="s">
        <v>379</v>
      </c>
      <c r="K35" s="2" t="s">
        <v>121</v>
      </c>
      <c r="L35" s="2">
        <v>1368</v>
      </c>
      <c r="N35" s="2">
        <v>1011</v>
      </c>
      <c r="O35" s="2" t="s">
        <v>82</v>
      </c>
      <c r="P35" s="2" t="s">
        <v>82</v>
      </c>
      <c r="Q35" s="2">
        <v>1</v>
      </c>
      <c r="X35" s="2">
        <v>8.8999999999999996E-2</v>
      </c>
      <c r="Y35" s="2">
        <v>0</v>
      </c>
      <c r="Z35" s="2">
        <v>857.91</v>
      </c>
      <c r="AA35" s="2">
        <v>479.87</v>
      </c>
      <c r="AB35" s="2">
        <v>0</v>
      </c>
      <c r="AC35" s="2">
        <v>0</v>
      </c>
      <c r="AD35" s="2">
        <v>1</v>
      </c>
      <c r="AE35" s="2">
        <v>0</v>
      </c>
      <c r="AF35" s="2" t="s">
        <v>30</v>
      </c>
      <c r="AG35" s="2">
        <v>8.8999999999999996E-2</v>
      </c>
      <c r="AH35" s="2">
        <v>2</v>
      </c>
      <c r="AI35" s="2">
        <v>52286595</v>
      </c>
      <c r="AJ35" s="2">
        <v>37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</row>
    <row r="36" spans="1:44" x14ac:dyDescent="0.25">
      <c r="A36" s="2">
        <f>ROW('Source (3)'!A84)</f>
        <v>84</v>
      </c>
      <c r="B36" s="2">
        <v>52286614</v>
      </c>
      <c r="C36" s="2">
        <v>52286590</v>
      </c>
      <c r="D36" s="2">
        <v>49682289</v>
      </c>
      <c r="E36" s="2">
        <v>1</v>
      </c>
      <c r="F36" s="2">
        <v>1</v>
      </c>
      <c r="G36" s="2">
        <v>29</v>
      </c>
      <c r="H36" s="2">
        <v>3</v>
      </c>
      <c r="I36" s="2" t="s">
        <v>124</v>
      </c>
      <c r="J36" s="2" t="s">
        <v>380</v>
      </c>
      <c r="K36" s="2" t="s">
        <v>125</v>
      </c>
      <c r="L36" s="2">
        <v>1339</v>
      </c>
      <c r="N36" s="2">
        <v>1007</v>
      </c>
      <c r="O36" s="2" t="s">
        <v>62</v>
      </c>
      <c r="P36" s="2" t="s">
        <v>62</v>
      </c>
      <c r="Q36" s="2">
        <v>1</v>
      </c>
      <c r="X36" s="2">
        <v>5.8999999999999997E-2</v>
      </c>
      <c r="Y36" s="2">
        <v>3886.23</v>
      </c>
      <c r="Z36" s="2">
        <v>0</v>
      </c>
      <c r="AA36" s="2">
        <v>0</v>
      </c>
      <c r="AB36" s="2">
        <v>0</v>
      </c>
      <c r="AC36" s="2">
        <v>0</v>
      </c>
      <c r="AD36" s="2">
        <v>1</v>
      </c>
      <c r="AE36" s="2">
        <v>0</v>
      </c>
      <c r="AF36" s="2" t="s">
        <v>30</v>
      </c>
      <c r="AG36" s="2">
        <v>5.8999999999999997E-2</v>
      </c>
      <c r="AH36" s="2">
        <v>2</v>
      </c>
      <c r="AI36" s="2">
        <v>52286596</v>
      </c>
      <c r="AJ36" s="2">
        <v>38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</row>
    <row r="37" spans="1:44" x14ac:dyDescent="0.25">
      <c r="A37" s="2">
        <f>ROW('Source (3)'!A84)</f>
        <v>84</v>
      </c>
      <c r="B37" s="2">
        <v>52286615</v>
      </c>
      <c r="C37" s="2">
        <v>52286590</v>
      </c>
      <c r="D37" s="2">
        <v>49682398</v>
      </c>
      <c r="E37" s="2">
        <v>1</v>
      </c>
      <c r="F37" s="2">
        <v>1</v>
      </c>
      <c r="G37" s="2">
        <v>29</v>
      </c>
      <c r="H37" s="2">
        <v>3</v>
      </c>
      <c r="I37" s="2" t="s">
        <v>286</v>
      </c>
      <c r="J37" s="2" t="s">
        <v>288</v>
      </c>
      <c r="K37" s="2" t="s">
        <v>287</v>
      </c>
      <c r="L37" s="2">
        <v>1339</v>
      </c>
      <c r="N37" s="2">
        <v>1007</v>
      </c>
      <c r="O37" s="2" t="s">
        <v>62</v>
      </c>
      <c r="P37" s="2" t="s">
        <v>62</v>
      </c>
      <c r="Q37" s="2">
        <v>1</v>
      </c>
      <c r="X37" s="2">
        <v>5.9999999999999995E-4</v>
      </c>
      <c r="Y37" s="2">
        <v>3427.48</v>
      </c>
      <c r="Z37" s="2">
        <v>0</v>
      </c>
      <c r="AA37" s="2">
        <v>0</v>
      </c>
      <c r="AB37" s="2">
        <v>0</v>
      </c>
      <c r="AC37" s="2">
        <v>0</v>
      </c>
      <c r="AD37" s="2">
        <v>1</v>
      </c>
      <c r="AE37" s="2">
        <v>0</v>
      </c>
      <c r="AF37" s="2" t="s">
        <v>30</v>
      </c>
      <c r="AG37" s="2">
        <v>5.9999999999999995E-4</v>
      </c>
      <c r="AH37" s="2">
        <v>2</v>
      </c>
      <c r="AI37" s="2">
        <v>52286597</v>
      </c>
      <c r="AJ37" s="2">
        <v>39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</row>
    <row r="38" spans="1:44" x14ac:dyDescent="0.25">
      <c r="A38" s="2">
        <f>ROW('Source (3)'!A84)</f>
        <v>84</v>
      </c>
      <c r="B38" s="2">
        <v>52286616</v>
      </c>
      <c r="C38" s="2">
        <v>52286590</v>
      </c>
      <c r="D38" s="2">
        <v>49683146</v>
      </c>
      <c r="E38" s="2">
        <v>1</v>
      </c>
      <c r="F38" s="2">
        <v>1</v>
      </c>
      <c r="G38" s="2">
        <v>29</v>
      </c>
      <c r="H38" s="2">
        <v>3</v>
      </c>
      <c r="I38" s="2" t="s">
        <v>128</v>
      </c>
      <c r="J38" s="2" t="s">
        <v>381</v>
      </c>
      <c r="K38" s="2" t="s">
        <v>129</v>
      </c>
      <c r="L38" s="2">
        <v>1339</v>
      </c>
      <c r="N38" s="2">
        <v>1007</v>
      </c>
      <c r="O38" s="2" t="s">
        <v>62</v>
      </c>
      <c r="P38" s="2" t="s">
        <v>62</v>
      </c>
      <c r="Q38" s="2">
        <v>1</v>
      </c>
      <c r="X38" s="2">
        <v>4.36E-2</v>
      </c>
      <c r="Y38" s="2">
        <v>7871.69</v>
      </c>
      <c r="Z38" s="2">
        <v>0</v>
      </c>
      <c r="AA38" s="2">
        <v>0</v>
      </c>
      <c r="AB38" s="2">
        <v>0</v>
      </c>
      <c r="AC38" s="2">
        <v>0</v>
      </c>
      <c r="AD38" s="2">
        <v>1</v>
      </c>
      <c r="AE38" s="2">
        <v>0</v>
      </c>
      <c r="AF38" s="2" t="s">
        <v>30</v>
      </c>
      <c r="AG38" s="2">
        <v>4.36E-2</v>
      </c>
      <c r="AH38" s="2">
        <v>2</v>
      </c>
      <c r="AI38" s="2">
        <v>52286598</v>
      </c>
      <c r="AJ38" s="2">
        <v>40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</row>
    <row r="39" spans="1:44" x14ac:dyDescent="0.25">
      <c r="A39" s="2">
        <f>ROW('Source (3)'!A84)</f>
        <v>84</v>
      </c>
      <c r="B39" s="2">
        <v>52286617</v>
      </c>
      <c r="C39" s="2">
        <v>52286590</v>
      </c>
      <c r="D39" s="2">
        <v>49677490</v>
      </c>
      <c r="E39" s="2">
        <v>29</v>
      </c>
      <c r="F39" s="2">
        <v>1</v>
      </c>
      <c r="G39" s="2">
        <v>29</v>
      </c>
      <c r="H39" s="2">
        <v>3</v>
      </c>
      <c r="I39" s="2" t="s">
        <v>289</v>
      </c>
      <c r="J39" s="2" t="s">
        <v>30</v>
      </c>
      <c r="K39" s="2" t="s">
        <v>290</v>
      </c>
      <c r="L39" s="2">
        <v>1348</v>
      </c>
      <c r="N39" s="2">
        <v>1009</v>
      </c>
      <c r="O39" s="2" t="s">
        <v>63</v>
      </c>
      <c r="P39" s="2" t="s">
        <v>63</v>
      </c>
      <c r="Q39" s="2">
        <v>1000</v>
      </c>
      <c r="X39" s="2">
        <v>0.246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1</v>
      </c>
      <c r="AE39" s="2">
        <v>0</v>
      </c>
      <c r="AF39" s="2" t="s">
        <v>30</v>
      </c>
      <c r="AG39" s="2">
        <v>0.246</v>
      </c>
      <c r="AH39" s="2">
        <v>2</v>
      </c>
      <c r="AI39" s="2">
        <v>52286599</v>
      </c>
      <c r="AJ39" s="2">
        <v>41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</row>
    <row r="40" spans="1:44" x14ac:dyDescent="0.25">
      <c r="A40" s="2">
        <f>ROW('Source (3)'!A87)</f>
        <v>87</v>
      </c>
      <c r="B40" s="2">
        <v>52286625</v>
      </c>
      <c r="C40" s="2">
        <v>52286620</v>
      </c>
      <c r="D40" s="2">
        <v>49679217</v>
      </c>
      <c r="E40" s="2">
        <v>1</v>
      </c>
      <c r="F40" s="2">
        <v>1</v>
      </c>
      <c r="G40" s="2">
        <v>29</v>
      </c>
      <c r="H40" s="2">
        <v>2</v>
      </c>
      <c r="I40" s="2" t="s">
        <v>85</v>
      </c>
      <c r="J40" s="2" t="s">
        <v>374</v>
      </c>
      <c r="K40" s="2" t="s">
        <v>86</v>
      </c>
      <c r="L40" s="2">
        <v>1368</v>
      </c>
      <c r="N40" s="2">
        <v>1011</v>
      </c>
      <c r="O40" s="2" t="s">
        <v>82</v>
      </c>
      <c r="P40" s="2" t="s">
        <v>82</v>
      </c>
      <c r="Q40" s="2">
        <v>1</v>
      </c>
      <c r="X40" s="2">
        <v>0.02</v>
      </c>
      <c r="Y40" s="2">
        <v>0</v>
      </c>
      <c r="Z40" s="2">
        <v>1070.1199999999999</v>
      </c>
      <c r="AA40" s="2">
        <v>332.66</v>
      </c>
      <c r="AB40" s="2">
        <v>0</v>
      </c>
      <c r="AC40" s="2">
        <v>0</v>
      </c>
      <c r="AD40" s="2">
        <v>1</v>
      </c>
      <c r="AE40" s="2">
        <v>0</v>
      </c>
      <c r="AF40" s="2" t="s">
        <v>30</v>
      </c>
      <c r="AG40" s="2">
        <v>0.02</v>
      </c>
      <c r="AH40" s="2">
        <v>2</v>
      </c>
      <c r="AI40" s="2">
        <v>52286621</v>
      </c>
      <c r="AJ40" s="2">
        <v>42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</row>
    <row r="41" spans="1:44" x14ac:dyDescent="0.25">
      <c r="A41" s="2">
        <f>ROW('Source (3)'!A87)</f>
        <v>87</v>
      </c>
      <c r="B41" s="2">
        <v>52286626</v>
      </c>
      <c r="C41" s="2">
        <v>52286620</v>
      </c>
      <c r="D41" s="2">
        <v>49679218</v>
      </c>
      <c r="E41" s="2">
        <v>1</v>
      </c>
      <c r="F41" s="2">
        <v>1</v>
      </c>
      <c r="G41" s="2">
        <v>29</v>
      </c>
      <c r="H41" s="2">
        <v>2</v>
      </c>
      <c r="I41" s="2" t="s">
        <v>87</v>
      </c>
      <c r="J41" s="2" t="s">
        <v>375</v>
      </c>
      <c r="K41" s="2" t="s">
        <v>88</v>
      </c>
      <c r="L41" s="2">
        <v>1368</v>
      </c>
      <c r="N41" s="2">
        <v>1011</v>
      </c>
      <c r="O41" s="2" t="s">
        <v>82</v>
      </c>
      <c r="P41" s="2" t="s">
        <v>82</v>
      </c>
      <c r="Q41" s="2">
        <v>1</v>
      </c>
      <c r="X41" s="2">
        <v>1.7999999999999999E-2</v>
      </c>
      <c r="Y41" s="2">
        <v>0</v>
      </c>
      <c r="Z41" s="2">
        <v>1080.76</v>
      </c>
      <c r="AA41" s="2">
        <v>332.99</v>
      </c>
      <c r="AB41" s="2">
        <v>0</v>
      </c>
      <c r="AC41" s="2">
        <v>0</v>
      </c>
      <c r="AD41" s="2">
        <v>1</v>
      </c>
      <c r="AE41" s="2">
        <v>0</v>
      </c>
      <c r="AF41" s="2" t="s">
        <v>30</v>
      </c>
      <c r="AG41" s="2">
        <v>1.7999999999999999E-2</v>
      </c>
      <c r="AH41" s="2">
        <v>2</v>
      </c>
      <c r="AI41" s="2">
        <v>52286622</v>
      </c>
      <c r="AJ41" s="2">
        <v>43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</row>
    <row r="42" spans="1:44" x14ac:dyDescent="0.25">
      <c r="A42" s="2">
        <f>ROW('Source (3)'!A88)</f>
        <v>88</v>
      </c>
      <c r="B42" s="2">
        <v>52286632</v>
      </c>
      <c r="C42" s="2">
        <v>52286627</v>
      </c>
      <c r="D42" s="2">
        <v>49679217</v>
      </c>
      <c r="E42" s="2">
        <v>1</v>
      </c>
      <c r="F42" s="2">
        <v>1</v>
      </c>
      <c r="G42" s="2">
        <v>29</v>
      </c>
      <c r="H42" s="2">
        <v>2</v>
      </c>
      <c r="I42" s="2" t="s">
        <v>85</v>
      </c>
      <c r="J42" s="2" t="s">
        <v>374</v>
      </c>
      <c r="K42" s="2" t="s">
        <v>86</v>
      </c>
      <c r="L42" s="2">
        <v>1368</v>
      </c>
      <c r="N42" s="2">
        <v>1011</v>
      </c>
      <c r="O42" s="2" t="s">
        <v>82</v>
      </c>
      <c r="P42" s="2" t="s">
        <v>82</v>
      </c>
      <c r="Q42" s="2">
        <v>1</v>
      </c>
      <c r="X42" s="2">
        <v>0.01</v>
      </c>
      <c r="Y42" s="2">
        <v>0</v>
      </c>
      <c r="Z42" s="2">
        <v>1070.1199999999999</v>
      </c>
      <c r="AA42" s="2">
        <v>332.66</v>
      </c>
      <c r="AB42" s="2">
        <v>0</v>
      </c>
      <c r="AC42" s="2">
        <v>0</v>
      </c>
      <c r="AD42" s="2">
        <v>1</v>
      </c>
      <c r="AE42" s="2">
        <v>0</v>
      </c>
      <c r="AF42" s="2" t="s">
        <v>207</v>
      </c>
      <c r="AG42" s="2">
        <v>0.52</v>
      </c>
      <c r="AH42" s="2">
        <v>2</v>
      </c>
      <c r="AI42" s="2">
        <v>52286628</v>
      </c>
      <c r="AJ42" s="2">
        <v>44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</row>
    <row r="43" spans="1:44" x14ac:dyDescent="0.25">
      <c r="A43" s="2">
        <f>ROW('Source (3)'!A88)</f>
        <v>88</v>
      </c>
      <c r="B43" s="2">
        <v>52286633</v>
      </c>
      <c r="C43" s="2">
        <v>52286627</v>
      </c>
      <c r="D43" s="2">
        <v>49679218</v>
      </c>
      <c r="E43" s="2">
        <v>1</v>
      </c>
      <c r="F43" s="2">
        <v>1</v>
      </c>
      <c r="G43" s="2">
        <v>29</v>
      </c>
      <c r="H43" s="2">
        <v>2</v>
      </c>
      <c r="I43" s="2" t="s">
        <v>87</v>
      </c>
      <c r="J43" s="2" t="s">
        <v>375</v>
      </c>
      <c r="K43" s="2" t="s">
        <v>88</v>
      </c>
      <c r="L43" s="2">
        <v>1368</v>
      </c>
      <c r="N43" s="2">
        <v>1011</v>
      </c>
      <c r="O43" s="2" t="s">
        <v>82</v>
      </c>
      <c r="P43" s="2" t="s">
        <v>82</v>
      </c>
      <c r="Q43" s="2">
        <v>1</v>
      </c>
      <c r="X43" s="2">
        <v>8.0000000000000002E-3</v>
      </c>
      <c r="Y43" s="2">
        <v>0</v>
      </c>
      <c r="Z43" s="2">
        <v>1080.76</v>
      </c>
      <c r="AA43" s="2">
        <v>332.99</v>
      </c>
      <c r="AB43" s="2">
        <v>0</v>
      </c>
      <c r="AC43" s="2">
        <v>0</v>
      </c>
      <c r="AD43" s="2">
        <v>1</v>
      </c>
      <c r="AE43" s="2">
        <v>0</v>
      </c>
      <c r="AF43" s="2" t="s">
        <v>207</v>
      </c>
      <c r="AG43" s="2">
        <v>0.41599999999999998</v>
      </c>
      <c r="AH43" s="2">
        <v>2</v>
      </c>
      <c r="AI43" s="2">
        <v>52286629</v>
      </c>
      <c r="AJ43" s="2">
        <v>45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</row>
    <row r="44" spans="1:44" x14ac:dyDescent="0.25">
      <c r="A44" s="2">
        <f>ROW('Source (3)'!A89)</f>
        <v>89</v>
      </c>
      <c r="B44" s="2">
        <v>52286643</v>
      </c>
      <c r="C44" s="2">
        <v>52286634</v>
      </c>
      <c r="D44" s="2">
        <v>49677488</v>
      </c>
      <c r="E44" s="2">
        <v>29</v>
      </c>
      <c r="F44" s="2">
        <v>1</v>
      </c>
      <c r="G44" s="2">
        <v>29</v>
      </c>
      <c r="H44" s="2">
        <v>1</v>
      </c>
      <c r="I44" s="2" t="s">
        <v>359</v>
      </c>
      <c r="J44" s="2" t="s">
        <v>30</v>
      </c>
      <c r="K44" s="2" t="s">
        <v>360</v>
      </c>
      <c r="L44" s="2">
        <v>1191</v>
      </c>
      <c r="N44" s="2">
        <v>1013</v>
      </c>
      <c r="O44" s="2" t="s">
        <v>361</v>
      </c>
      <c r="P44" s="2" t="s">
        <v>361</v>
      </c>
      <c r="Q44" s="2">
        <v>1</v>
      </c>
      <c r="X44" s="2">
        <v>80.27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</v>
      </c>
      <c r="AE44" s="2">
        <v>1</v>
      </c>
      <c r="AF44" s="2" t="s">
        <v>30</v>
      </c>
      <c r="AG44" s="2">
        <v>80.27</v>
      </c>
      <c r="AH44" s="2">
        <v>2</v>
      </c>
      <c r="AI44" s="2">
        <v>52286635</v>
      </c>
      <c r="AJ44" s="2">
        <v>46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</row>
    <row r="45" spans="1:44" x14ac:dyDescent="0.25">
      <c r="A45" s="2">
        <f>ROW('Source (3)'!A89)</f>
        <v>89</v>
      </c>
      <c r="B45" s="2">
        <v>52286644</v>
      </c>
      <c r="C45" s="2">
        <v>52286634</v>
      </c>
      <c r="D45" s="2">
        <v>49682322</v>
      </c>
      <c r="E45" s="2">
        <v>1</v>
      </c>
      <c r="F45" s="2">
        <v>1</v>
      </c>
      <c r="G45" s="2">
        <v>29</v>
      </c>
      <c r="H45" s="2">
        <v>3</v>
      </c>
      <c r="I45" s="2" t="s">
        <v>126</v>
      </c>
      <c r="J45" s="2" t="s">
        <v>382</v>
      </c>
      <c r="K45" s="2" t="s">
        <v>127</v>
      </c>
      <c r="L45" s="2">
        <v>1339</v>
      </c>
      <c r="N45" s="2">
        <v>1007</v>
      </c>
      <c r="O45" s="2" t="s">
        <v>62</v>
      </c>
      <c r="P45" s="2" t="s">
        <v>62</v>
      </c>
      <c r="Q45" s="2">
        <v>1</v>
      </c>
      <c r="X45" s="2">
        <v>5.9</v>
      </c>
      <c r="Y45" s="2">
        <v>3917.3</v>
      </c>
      <c r="Z45" s="2">
        <v>0</v>
      </c>
      <c r="AA45" s="2">
        <v>0</v>
      </c>
      <c r="AB45" s="2">
        <v>0</v>
      </c>
      <c r="AC45" s="2">
        <v>0</v>
      </c>
      <c r="AD45" s="2">
        <v>1</v>
      </c>
      <c r="AE45" s="2">
        <v>0</v>
      </c>
      <c r="AF45" s="2" t="s">
        <v>30</v>
      </c>
      <c r="AG45" s="2">
        <v>5.9</v>
      </c>
      <c r="AH45" s="2">
        <v>2</v>
      </c>
      <c r="AI45" s="2">
        <v>52286636</v>
      </c>
      <c r="AJ45" s="2">
        <v>47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</row>
    <row r="46" spans="1:44" x14ac:dyDescent="0.25">
      <c r="A46" s="2">
        <f>ROW('Source (3)'!A89)</f>
        <v>89</v>
      </c>
      <c r="B46" s="2">
        <v>52286645</v>
      </c>
      <c r="C46" s="2">
        <v>52286634</v>
      </c>
      <c r="D46" s="2">
        <v>49682398</v>
      </c>
      <c r="E46" s="2">
        <v>1</v>
      </c>
      <c r="F46" s="2">
        <v>1</v>
      </c>
      <c r="G46" s="2">
        <v>29</v>
      </c>
      <c r="H46" s="2">
        <v>3</v>
      </c>
      <c r="I46" s="2" t="s">
        <v>286</v>
      </c>
      <c r="J46" s="2" t="s">
        <v>288</v>
      </c>
      <c r="K46" s="2" t="s">
        <v>287</v>
      </c>
      <c r="L46" s="2">
        <v>1339</v>
      </c>
      <c r="N46" s="2">
        <v>1007</v>
      </c>
      <c r="O46" s="2" t="s">
        <v>62</v>
      </c>
      <c r="P46" s="2" t="s">
        <v>62</v>
      </c>
      <c r="Q46" s="2">
        <v>1</v>
      </c>
      <c r="X46" s="2">
        <v>0.06</v>
      </c>
      <c r="Y46" s="2">
        <v>3427.48</v>
      </c>
      <c r="Z46" s="2">
        <v>0</v>
      </c>
      <c r="AA46" s="2">
        <v>0</v>
      </c>
      <c r="AB46" s="2">
        <v>0</v>
      </c>
      <c r="AC46" s="2">
        <v>0</v>
      </c>
      <c r="AD46" s="2">
        <v>1</v>
      </c>
      <c r="AE46" s="2">
        <v>0</v>
      </c>
      <c r="AF46" s="2" t="s">
        <v>30</v>
      </c>
      <c r="AG46" s="2">
        <v>0.06</v>
      </c>
      <c r="AH46" s="2">
        <v>2</v>
      </c>
      <c r="AI46" s="2">
        <v>52286637</v>
      </c>
      <c r="AJ46" s="2">
        <v>48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</row>
    <row r="47" spans="1:44" x14ac:dyDescent="0.25">
      <c r="A47" s="2">
        <f>ROW('Source (3)'!A89)</f>
        <v>89</v>
      </c>
      <c r="B47" s="2">
        <v>52286646</v>
      </c>
      <c r="C47" s="2">
        <v>52286634</v>
      </c>
      <c r="D47" s="2">
        <v>49683146</v>
      </c>
      <c r="E47" s="2">
        <v>1</v>
      </c>
      <c r="F47" s="2">
        <v>1</v>
      </c>
      <c r="G47" s="2">
        <v>29</v>
      </c>
      <c r="H47" s="2">
        <v>3</v>
      </c>
      <c r="I47" s="2" t="s">
        <v>128</v>
      </c>
      <c r="J47" s="2" t="s">
        <v>381</v>
      </c>
      <c r="K47" s="2" t="s">
        <v>129</v>
      </c>
      <c r="L47" s="2">
        <v>1339</v>
      </c>
      <c r="N47" s="2">
        <v>1007</v>
      </c>
      <c r="O47" s="2" t="s">
        <v>62</v>
      </c>
      <c r="P47" s="2" t="s">
        <v>62</v>
      </c>
      <c r="Q47" s="2">
        <v>1</v>
      </c>
      <c r="X47" s="2">
        <v>4.3</v>
      </c>
      <c r="Y47" s="2">
        <v>7871.69</v>
      </c>
      <c r="Z47" s="2">
        <v>0</v>
      </c>
      <c r="AA47" s="2">
        <v>0</v>
      </c>
      <c r="AB47" s="2">
        <v>0</v>
      </c>
      <c r="AC47" s="2">
        <v>0</v>
      </c>
      <c r="AD47" s="2">
        <v>1</v>
      </c>
      <c r="AE47" s="2">
        <v>0</v>
      </c>
      <c r="AF47" s="2" t="s">
        <v>30</v>
      </c>
      <c r="AG47" s="2">
        <v>4.3</v>
      </c>
      <c r="AH47" s="2">
        <v>2</v>
      </c>
      <c r="AI47" s="2">
        <v>52286638</v>
      </c>
      <c r="AJ47" s="2">
        <v>49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</row>
    <row r="48" spans="1:44" x14ac:dyDescent="0.25">
      <c r="A48" s="2">
        <f>ROW('Source (3)'!A91)</f>
        <v>91</v>
      </c>
      <c r="B48" s="2">
        <v>52286653</v>
      </c>
      <c r="C48" s="2">
        <v>52286648</v>
      </c>
      <c r="D48" s="2">
        <v>49677488</v>
      </c>
      <c r="E48" s="2">
        <v>29</v>
      </c>
      <c r="F48" s="2">
        <v>1</v>
      </c>
      <c r="G48" s="2">
        <v>29</v>
      </c>
      <c r="H48" s="2">
        <v>1</v>
      </c>
      <c r="I48" s="2" t="s">
        <v>359</v>
      </c>
      <c r="J48" s="2" t="s">
        <v>30</v>
      </c>
      <c r="K48" s="2" t="s">
        <v>360</v>
      </c>
      <c r="L48" s="2">
        <v>1191</v>
      </c>
      <c r="N48" s="2">
        <v>1013</v>
      </c>
      <c r="O48" s="2" t="s">
        <v>361</v>
      </c>
      <c r="P48" s="2" t="s">
        <v>361</v>
      </c>
      <c r="Q48" s="2">
        <v>1</v>
      </c>
      <c r="X48" s="2">
        <v>1.1499999999999999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</v>
      </c>
      <c r="AE48" s="2">
        <v>1</v>
      </c>
      <c r="AF48" s="2" t="s">
        <v>30</v>
      </c>
      <c r="AG48" s="2">
        <v>1.1499999999999999</v>
      </c>
      <c r="AH48" s="2">
        <v>2</v>
      </c>
      <c r="AI48" s="2">
        <v>52286649</v>
      </c>
      <c r="AJ48" s="2">
        <v>50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</row>
    <row r="49" spans="1:44" x14ac:dyDescent="0.25">
      <c r="A49" s="2">
        <f>ROW('Source (3)'!A91)</f>
        <v>91</v>
      </c>
      <c r="B49" s="2">
        <v>52286654</v>
      </c>
      <c r="C49" s="2">
        <v>52286648</v>
      </c>
      <c r="D49" s="2">
        <v>49682152</v>
      </c>
      <c r="E49" s="2">
        <v>1</v>
      </c>
      <c r="F49" s="2">
        <v>1</v>
      </c>
      <c r="G49" s="2">
        <v>29</v>
      </c>
      <c r="H49" s="2">
        <v>3</v>
      </c>
      <c r="I49" s="2" t="s">
        <v>122</v>
      </c>
      <c r="J49" s="2" t="s">
        <v>383</v>
      </c>
      <c r="K49" s="2" t="s">
        <v>123</v>
      </c>
      <c r="L49" s="2">
        <v>1354</v>
      </c>
      <c r="N49" s="2">
        <v>1010</v>
      </c>
      <c r="O49" s="2" t="s">
        <v>67</v>
      </c>
      <c r="P49" s="2" t="s">
        <v>67</v>
      </c>
      <c r="Q49" s="2">
        <v>1</v>
      </c>
      <c r="X49" s="2">
        <v>100.1</v>
      </c>
      <c r="Y49" s="2">
        <v>140.25</v>
      </c>
      <c r="Z49" s="2">
        <v>0</v>
      </c>
      <c r="AA49" s="2">
        <v>0</v>
      </c>
      <c r="AB49" s="2">
        <v>0</v>
      </c>
      <c r="AC49" s="2">
        <v>0</v>
      </c>
      <c r="AD49" s="2">
        <v>1</v>
      </c>
      <c r="AE49" s="2">
        <v>0</v>
      </c>
      <c r="AF49" s="2" t="s">
        <v>30</v>
      </c>
      <c r="AG49" s="2">
        <v>100.1</v>
      </c>
      <c r="AH49" s="2">
        <v>2</v>
      </c>
      <c r="AI49" s="2">
        <v>52286650</v>
      </c>
      <c r="AJ49" s="2">
        <v>51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</row>
    <row r="50" spans="1:44" x14ac:dyDescent="0.25">
      <c r="A50" s="2">
        <f>ROW('Source (3)'!A184)</f>
        <v>184</v>
      </c>
      <c r="B50" s="2">
        <v>52286659</v>
      </c>
      <c r="C50" s="2">
        <v>52286657</v>
      </c>
      <c r="D50" s="2">
        <v>49677488</v>
      </c>
      <c r="E50" s="2">
        <v>29</v>
      </c>
      <c r="F50" s="2">
        <v>1</v>
      </c>
      <c r="G50" s="2">
        <v>29</v>
      </c>
      <c r="H50" s="2">
        <v>1</v>
      </c>
      <c r="I50" s="2" t="s">
        <v>359</v>
      </c>
      <c r="J50" s="2" t="s">
        <v>30</v>
      </c>
      <c r="K50" s="2" t="s">
        <v>360</v>
      </c>
      <c r="L50" s="2">
        <v>1191</v>
      </c>
      <c r="N50" s="2">
        <v>1013</v>
      </c>
      <c r="O50" s="2" t="s">
        <v>361</v>
      </c>
      <c r="P50" s="2" t="s">
        <v>361</v>
      </c>
      <c r="Q50" s="2">
        <v>1</v>
      </c>
      <c r="X50" s="2">
        <v>18.68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</v>
      </c>
      <c r="AE50" s="2">
        <v>1</v>
      </c>
      <c r="AF50" s="2" t="s">
        <v>30</v>
      </c>
      <c r="AG50" s="2">
        <v>18.68</v>
      </c>
      <c r="AH50" s="2">
        <v>2</v>
      </c>
      <c r="AI50" s="2">
        <v>52286658</v>
      </c>
      <c r="AJ50" s="2">
        <v>52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</row>
    <row r="51" spans="1:44" x14ac:dyDescent="0.25">
      <c r="A51" s="2">
        <f>ROW('Source (3)'!A185)</f>
        <v>185</v>
      </c>
      <c r="B51" s="2">
        <v>52286664</v>
      </c>
      <c r="C51" s="2">
        <v>52286660</v>
      </c>
      <c r="D51" s="2">
        <v>49677488</v>
      </c>
      <c r="E51" s="2">
        <v>29</v>
      </c>
      <c r="F51" s="2">
        <v>1</v>
      </c>
      <c r="G51" s="2">
        <v>29</v>
      </c>
      <c r="H51" s="2">
        <v>1</v>
      </c>
      <c r="I51" s="2" t="s">
        <v>359</v>
      </c>
      <c r="J51" s="2" t="s">
        <v>30</v>
      </c>
      <c r="K51" s="2" t="s">
        <v>360</v>
      </c>
      <c r="L51" s="2">
        <v>1191</v>
      </c>
      <c r="N51" s="2">
        <v>1013</v>
      </c>
      <c r="O51" s="2" t="s">
        <v>361</v>
      </c>
      <c r="P51" s="2" t="s">
        <v>361</v>
      </c>
      <c r="Q51" s="2">
        <v>1</v>
      </c>
      <c r="X51" s="2">
        <v>11.7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</v>
      </c>
      <c r="AE51" s="2">
        <v>1</v>
      </c>
      <c r="AF51" s="2" t="s">
        <v>30</v>
      </c>
      <c r="AG51" s="2">
        <v>11.7</v>
      </c>
      <c r="AH51" s="2">
        <v>2</v>
      </c>
      <c r="AI51" s="2">
        <v>52286661</v>
      </c>
      <c r="AJ51" s="2">
        <v>53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</row>
    <row r="52" spans="1:44" x14ac:dyDescent="0.25">
      <c r="A52" s="2">
        <f>ROW('Source (3)'!A185)</f>
        <v>185</v>
      </c>
      <c r="B52" s="2">
        <v>52286665</v>
      </c>
      <c r="C52" s="2">
        <v>52286660</v>
      </c>
      <c r="D52" s="2">
        <v>49678449</v>
      </c>
      <c r="E52" s="2">
        <v>1</v>
      </c>
      <c r="F52" s="2">
        <v>1</v>
      </c>
      <c r="G52" s="2">
        <v>29</v>
      </c>
      <c r="H52" s="2">
        <v>2</v>
      </c>
      <c r="I52" s="2" t="s">
        <v>89</v>
      </c>
      <c r="J52" s="2" t="s">
        <v>369</v>
      </c>
      <c r="K52" s="2" t="s">
        <v>90</v>
      </c>
      <c r="L52" s="2">
        <v>1368</v>
      </c>
      <c r="N52" s="2">
        <v>1011</v>
      </c>
      <c r="O52" s="2" t="s">
        <v>82</v>
      </c>
      <c r="P52" s="2" t="s">
        <v>82</v>
      </c>
      <c r="Q52" s="2">
        <v>1</v>
      </c>
      <c r="X52" s="2">
        <v>1.26</v>
      </c>
      <c r="Y52" s="2">
        <v>0</v>
      </c>
      <c r="Z52" s="2">
        <v>780.77</v>
      </c>
      <c r="AA52" s="2">
        <v>433.88</v>
      </c>
      <c r="AB52" s="2">
        <v>0</v>
      </c>
      <c r="AC52" s="2">
        <v>0</v>
      </c>
      <c r="AD52" s="2">
        <v>1</v>
      </c>
      <c r="AE52" s="2">
        <v>0</v>
      </c>
      <c r="AF52" s="2" t="s">
        <v>30</v>
      </c>
      <c r="AG52" s="2">
        <v>1.26</v>
      </c>
      <c r="AH52" s="2">
        <v>2</v>
      </c>
      <c r="AI52" s="2">
        <v>52286662</v>
      </c>
      <c r="AJ52" s="2">
        <v>54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</row>
    <row r="53" spans="1:44" x14ac:dyDescent="0.25">
      <c r="A53" s="2">
        <f>ROW('Source (3)'!A185)</f>
        <v>185</v>
      </c>
      <c r="B53" s="2">
        <v>52286666</v>
      </c>
      <c r="C53" s="2">
        <v>52286660</v>
      </c>
      <c r="D53" s="2">
        <v>49678633</v>
      </c>
      <c r="E53" s="2">
        <v>1</v>
      </c>
      <c r="F53" s="2">
        <v>1</v>
      </c>
      <c r="G53" s="2">
        <v>29</v>
      </c>
      <c r="H53" s="2">
        <v>2</v>
      </c>
      <c r="I53" s="2" t="s">
        <v>154</v>
      </c>
      <c r="J53" s="2" t="s">
        <v>392</v>
      </c>
      <c r="K53" s="2" t="s">
        <v>155</v>
      </c>
      <c r="L53" s="2">
        <v>1368</v>
      </c>
      <c r="N53" s="2">
        <v>1011</v>
      </c>
      <c r="O53" s="2" t="s">
        <v>82</v>
      </c>
      <c r="P53" s="2" t="s">
        <v>82</v>
      </c>
      <c r="Q53" s="2">
        <v>1</v>
      </c>
      <c r="X53" s="2">
        <v>1.7</v>
      </c>
      <c r="Y53" s="2">
        <v>0</v>
      </c>
      <c r="Z53" s="2">
        <v>1478.7</v>
      </c>
      <c r="AA53" s="2">
        <v>673.39</v>
      </c>
      <c r="AB53" s="2">
        <v>0</v>
      </c>
      <c r="AC53" s="2">
        <v>0</v>
      </c>
      <c r="AD53" s="2">
        <v>1</v>
      </c>
      <c r="AE53" s="2">
        <v>0</v>
      </c>
      <c r="AF53" s="2" t="s">
        <v>30</v>
      </c>
      <c r="AG53" s="2">
        <v>1.7</v>
      </c>
      <c r="AH53" s="2">
        <v>2</v>
      </c>
      <c r="AI53" s="2">
        <v>52286663</v>
      </c>
      <c r="AJ53" s="2">
        <v>55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</row>
    <row r="54" spans="1:44" x14ac:dyDescent="0.25">
      <c r="A54" s="2">
        <f>ROW('Source (3)'!A186)</f>
        <v>186</v>
      </c>
      <c r="B54" s="2">
        <v>52286669</v>
      </c>
      <c r="C54" s="2">
        <v>52286667</v>
      </c>
      <c r="D54" s="2">
        <v>49677488</v>
      </c>
      <c r="E54" s="2">
        <v>29</v>
      </c>
      <c r="F54" s="2">
        <v>1</v>
      </c>
      <c r="G54" s="2">
        <v>29</v>
      </c>
      <c r="H54" s="2">
        <v>1</v>
      </c>
      <c r="I54" s="2" t="s">
        <v>359</v>
      </c>
      <c r="J54" s="2" t="s">
        <v>30</v>
      </c>
      <c r="K54" s="2" t="s">
        <v>360</v>
      </c>
      <c r="L54" s="2">
        <v>1191</v>
      </c>
      <c r="N54" s="2">
        <v>1013</v>
      </c>
      <c r="O54" s="2" t="s">
        <v>361</v>
      </c>
      <c r="P54" s="2" t="s">
        <v>361</v>
      </c>
      <c r="Q54" s="2">
        <v>1</v>
      </c>
      <c r="X54" s="2">
        <v>1.02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1</v>
      </c>
      <c r="AE54" s="2">
        <v>1</v>
      </c>
      <c r="AF54" s="2" t="s">
        <v>30</v>
      </c>
      <c r="AG54" s="2">
        <v>1.02</v>
      </c>
      <c r="AH54" s="2">
        <v>2</v>
      </c>
      <c r="AI54" s="2">
        <v>52286668</v>
      </c>
      <c r="AJ54" s="2">
        <v>56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</row>
    <row r="55" spans="1:44" x14ac:dyDescent="0.25">
      <c r="A55" s="2">
        <f>ROW('Source (3)'!A187)</f>
        <v>187</v>
      </c>
      <c r="B55" s="2">
        <v>52286672</v>
      </c>
      <c r="C55" s="2">
        <v>52286670</v>
      </c>
      <c r="D55" s="2">
        <v>49678405</v>
      </c>
      <c r="E55" s="2">
        <v>1</v>
      </c>
      <c r="F55" s="2">
        <v>1</v>
      </c>
      <c r="G55" s="2">
        <v>29</v>
      </c>
      <c r="H55" s="2">
        <v>2</v>
      </c>
      <c r="I55" s="2" t="s">
        <v>408</v>
      </c>
      <c r="J55" s="2" t="s">
        <v>468</v>
      </c>
      <c r="K55" s="2" t="s">
        <v>409</v>
      </c>
      <c r="L55" s="2">
        <v>1368</v>
      </c>
      <c r="N55" s="2">
        <v>1011</v>
      </c>
      <c r="O55" s="2" t="s">
        <v>82</v>
      </c>
      <c r="P55" s="2" t="s">
        <v>82</v>
      </c>
      <c r="Q55" s="2">
        <v>1</v>
      </c>
      <c r="X55" s="2">
        <v>5.3699999999999998E-2</v>
      </c>
      <c r="Y55" s="2">
        <v>0</v>
      </c>
      <c r="Z55" s="2">
        <v>1568.39</v>
      </c>
      <c r="AA55" s="2">
        <v>505.27</v>
      </c>
      <c r="AB55" s="2">
        <v>0</v>
      </c>
      <c r="AC55" s="2">
        <v>0</v>
      </c>
      <c r="AD55" s="2">
        <v>1</v>
      </c>
      <c r="AE55" s="2">
        <v>0</v>
      </c>
      <c r="AF55" s="2" t="s">
        <v>30</v>
      </c>
      <c r="AG55" s="2">
        <v>5.3699999999999998E-2</v>
      </c>
      <c r="AH55" s="2">
        <v>2</v>
      </c>
      <c r="AI55" s="2">
        <v>52286671</v>
      </c>
      <c r="AJ55" s="2">
        <v>57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</row>
    <row r="56" spans="1:44" x14ac:dyDescent="0.25">
      <c r="A56" s="2">
        <f>ROW('Source (3)'!A188)</f>
        <v>188</v>
      </c>
      <c r="B56" s="2">
        <v>52286676</v>
      </c>
      <c r="C56" s="2">
        <v>52286673</v>
      </c>
      <c r="D56" s="2">
        <v>49679217</v>
      </c>
      <c r="E56" s="2">
        <v>1</v>
      </c>
      <c r="F56" s="2">
        <v>1</v>
      </c>
      <c r="G56" s="2">
        <v>29</v>
      </c>
      <c r="H56" s="2">
        <v>2</v>
      </c>
      <c r="I56" s="2" t="s">
        <v>85</v>
      </c>
      <c r="J56" s="2" t="s">
        <v>374</v>
      </c>
      <c r="K56" s="2" t="s">
        <v>86</v>
      </c>
      <c r="L56" s="2">
        <v>1368</v>
      </c>
      <c r="N56" s="2">
        <v>1011</v>
      </c>
      <c r="O56" s="2" t="s">
        <v>82</v>
      </c>
      <c r="P56" s="2" t="s">
        <v>82</v>
      </c>
      <c r="Q56" s="2">
        <v>1</v>
      </c>
      <c r="X56" s="2">
        <v>5.3999999999999999E-2</v>
      </c>
      <c r="Y56" s="2">
        <v>0</v>
      </c>
      <c r="Z56" s="2">
        <v>1070.1199999999999</v>
      </c>
      <c r="AA56" s="2">
        <v>332.66</v>
      </c>
      <c r="AB56" s="2">
        <v>0</v>
      </c>
      <c r="AC56" s="2">
        <v>0</v>
      </c>
      <c r="AD56" s="2">
        <v>1</v>
      </c>
      <c r="AE56" s="2">
        <v>0</v>
      </c>
      <c r="AF56" s="2" t="s">
        <v>30</v>
      </c>
      <c r="AG56" s="2">
        <v>5.3999999999999999E-2</v>
      </c>
      <c r="AH56" s="2">
        <v>2</v>
      </c>
      <c r="AI56" s="2">
        <v>52286674</v>
      </c>
      <c r="AJ56" s="2">
        <v>58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</row>
    <row r="57" spans="1:44" x14ac:dyDescent="0.25">
      <c r="A57" s="2">
        <f>ROW('Source (3)'!A188)</f>
        <v>188</v>
      </c>
      <c r="B57" s="2">
        <v>52286677</v>
      </c>
      <c r="C57" s="2">
        <v>52286673</v>
      </c>
      <c r="D57" s="2">
        <v>49679218</v>
      </c>
      <c r="E57" s="2">
        <v>1</v>
      </c>
      <c r="F57" s="2">
        <v>1</v>
      </c>
      <c r="G57" s="2">
        <v>29</v>
      </c>
      <c r="H57" s="2">
        <v>2</v>
      </c>
      <c r="I57" s="2" t="s">
        <v>87</v>
      </c>
      <c r="J57" s="2" t="s">
        <v>375</v>
      </c>
      <c r="K57" s="2" t="s">
        <v>88</v>
      </c>
      <c r="L57" s="2">
        <v>1368</v>
      </c>
      <c r="N57" s="2">
        <v>1011</v>
      </c>
      <c r="O57" s="2" t="s">
        <v>82</v>
      </c>
      <c r="P57" s="2" t="s">
        <v>82</v>
      </c>
      <c r="Q57" s="2">
        <v>1</v>
      </c>
      <c r="X57" s="2">
        <v>5.5E-2</v>
      </c>
      <c r="Y57" s="2">
        <v>0</v>
      </c>
      <c r="Z57" s="2">
        <v>1080.76</v>
      </c>
      <c r="AA57" s="2">
        <v>332.99</v>
      </c>
      <c r="AB57" s="2">
        <v>0</v>
      </c>
      <c r="AC57" s="2">
        <v>0</v>
      </c>
      <c r="AD57" s="2">
        <v>1</v>
      </c>
      <c r="AE57" s="2">
        <v>0</v>
      </c>
      <c r="AF57" s="2" t="s">
        <v>30</v>
      </c>
      <c r="AG57" s="2">
        <v>5.5E-2</v>
      </c>
      <c r="AH57" s="2">
        <v>2</v>
      </c>
      <c r="AI57" s="2">
        <v>52286675</v>
      </c>
      <c r="AJ57" s="2">
        <v>59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</row>
    <row r="58" spans="1:44" x14ac:dyDescent="0.25">
      <c r="A58" s="2">
        <f>ROW('Source (3)'!A189)</f>
        <v>189</v>
      </c>
      <c r="B58" s="2">
        <v>52286681</v>
      </c>
      <c r="C58" s="2">
        <v>52286678</v>
      </c>
      <c r="D58" s="2">
        <v>49679217</v>
      </c>
      <c r="E58" s="2">
        <v>1</v>
      </c>
      <c r="F58" s="2">
        <v>1</v>
      </c>
      <c r="G58" s="2">
        <v>29</v>
      </c>
      <c r="H58" s="2">
        <v>2</v>
      </c>
      <c r="I58" s="2" t="s">
        <v>85</v>
      </c>
      <c r="J58" s="2" t="s">
        <v>374</v>
      </c>
      <c r="K58" s="2" t="s">
        <v>86</v>
      </c>
      <c r="L58" s="2">
        <v>1368</v>
      </c>
      <c r="N58" s="2">
        <v>1011</v>
      </c>
      <c r="O58" s="2" t="s">
        <v>82</v>
      </c>
      <c r="P58" s="2" t="s">
        <v>82</v>
      </c>
      <c r="Q58" s="2">
        <v>1</v>
      </c>
      <c r="X58" s="2">
        <v>0.02</v>
      </c>
      <c r="Y58" s="2">
        <v>0</v>
      </c>
      <c r="Z58" s="2">
        <v>1070.1199999999999</v>
      </c>
      <c r="AA58" s="2">
        <v>332.66</v>
      </c>
      <c r="AB58" s="2">
        <v>0</v>
      </c>
      <c r="AC58" s="2">
        <v>0</v>
      </c>
      <c r="AD58" s="2">
        <v>1</v>
      </c>
      <c r="AE58" s="2">
        <v>0</v>
      </c>
      <c r="AF58" s="2" t="s">
        <v>30</v>
      </c>
      <c r="AG58" s="2">
        <v>0.02</v>
      </c>
      <c r="AH58" s="2">
        <v>2</v>
      </c>
      <c r="AI58" s="2">
        <v>52286679</v>
      </c>
      <c r="AJ58" s="2">
        <v>60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</row>
    <row r="59" spans="1:44" x14ac:dyDescent="0.25">
      <c r="A59" s="2">
        <f>ROW('Source (3)'!A189)</f>
        <v>189</v>
      </c>
      <c r="B59" s="2">
        <v>52286682</v>
      </c>
      <c r="C59" s="2">
        <v>52286678</v>
      </c>
      <c r="D59" s="2">
        <v>49679218</v>
      </c>
      <c r="E59" s="2">
        <v>1</v>
      </c>
      <c r="F59" s="2">
        <v>1</v>
      </c>
      <c r="G59" s="2">
        <v>29</v>
      </c>
      <c r="H59" s="2">
        <v>2</v>
      </c>
      <c r="I59" s="2" t="s">
        <v>87</v>
      </c>
      <c r="J59" s="2" t="s">
        <v>375</v>
      </c>
      <c r="K59" s="2" t="s">
        <v>88</v>
      </c>
      <c r="L59" s="2">
        <v>1368</v>
      </c>
      <c r="N59" s="2">
        <v>1011</v>
      </c>
      <c r="O59" s="2" t="s">
        <v>82</v>
      </c>
      <c r="P59" s="2" t="s">
        <v>82</v>
      </c>
      <c r="Q59" s="2">
        <v>1</v>
      </c>
      <c r="X59" s="2">
        <v>1.7999999999999999E-2</v>
      </c>
      <c r="Y59" s="2">
        <v>0</v>
      </c>
      <c r="Z59" s="2">
        <v>1080.76</v>
      </c>
      <c r="AA59" s="2">
        <v>332.99</v>
      </c>
      <c r="AB59" s="2">
        <v>0</v>
      </c>
      <c r="AC59" s="2">
        <v>0</v>
      </c>
      <c r="AD59" s="2">
        <v>1</v>
      </c>
      <c r="AE59" s="2">
        <v>0</v>
      </c>
      <c r="AF59" s="2" t="s">
        <v>30</v>
      </c>
      <c r="AG59" s="2">
        <v>1.7999999999999999E-2</v>
      </c>
      <c r="AH59" s="2">
        <v>2</v>
      </c>
      <c r="AI59" s="2">
        <v>52286680</v>
      </c>
      <c r="AJ59" s="2">
        <v>61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</row>
    <row r="60" spans="1:44" x14ac:dyDescent="0.25">
      <c r="A60" s="2">
        <f>ROW('Source (3)'!A190)</f>
        <v>190</v>
      </c>
      <c r="B60" s="2">
        <v>52286686</v>
      </c>
      <c r="C60" s="2">
        <v>52286683</v>
      </c>
      <c r="D60" s="2">
        <v>49679217</v>
      </c>
      <c r="E60" s="2">
        <v>1</v>
      </c>
      <c r="F60" s="2">
        <v>1</v>
      </c>
      <c r="G60" s="2">
        <v>29</v>
      </c>
      <c r="H60" s="2">
        <v>2</v>
      </c>
      <c r="I60" s="2" t="s">
        <v>85</v>
      </c>
      <c r="J60" s="2" t="s">
        <v>374</v>
      </c>
      <c r="K60" s="2" t="s">
        <v>86</v>
      </c>
      <c r="L60" s="2">
        <v>1368</v>
      </c>
      <c r="N60" s="2">
        <v>1011</v>
      </c>
      <c r="O60" s="2" t="s">
        <v>82</v>
      </c>
      <c r="P60" s="2" t="s">
        <v>82</v>
      </c>
      <c r="Q60" s="2">
        <v>1</v>
      </c>
      <c r="X60" s="2">
        <v>0.01</v>
      </c>
      <c r="Y60" s="2">
        <v>0</v>
      </c>
      <c r="Z60" s="2">
        <v>1070.1199999999999</v>
      </c>
      <c r="AA60" s="2">
        <v>332.66</v>
      </c>
      <c r="AB60" s="2">
        <v>0</v>
      </c>
      <c r="AC60" s="2">
        <v>0</v>
      </c>
      <c r="AD60" s="2">
        <v>1</v>
      </c>
      <c r="AE60" s="2">
        <v>0</v>
      </c>
      <c r="AF60" s="2" t="s">
        <v>207</v>
      </c>
      <c r="AG60" s="2">
        <v>0.52</v>
      </c>
      <c r="AH60" s="2">
        <v>2</v>
      </c>
      <c r="AI60" s="2">
        <v>52286684</v>
      </c>
      <c r="AJ60" s="2">
        <v>62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</row>
    <row r="61" spans="1:44" x14ac:dyDescent="0.25">
      <c r="A61" s="2">
        <f>ROW('Source (3)'!A190)</f>
        <v>190</v>
      </c>
      <c r="B61" s="2">
        <v>52286687</v>
      </c>
      <c r="C61" s="2">
        <v>52286683</v>
      </c>
      <c r="D61" s="2">
        <v>49679218</v>
      </c>
      <c r="E61" s="2">
        <v>1</v>
      </c>
      <c r="F61" s="2">
        <v>1</v>
      </c>
      <c r="G61" s="2">
        <v>29</v>
      </c>
      <c r="H61" s="2">
        <v>2</v>
      </c>
      <c r="I61" s="2" t="s">
        <v>87</v>
      </c>
      <c r="J61" s="2" t="s">
        <v>375</v>
      </c>
      <c r="K61" s="2" t="s">
        <v>88</v>
      </c>
      <c r="L61" s="2">
        <v>1368</v>
      </c>
      <c r="N61" s="2">
        <v>1011</v>
      </c>
      <c r="O61" s="2" t="s">
        <v>82</v>
      </c>
      <c r="P61" s="2" t="s">
        <v>82</v>
      </c>
      <c r="Q61" s="2">
        <v>1</v>
      </c>
      <c r="X61" s="2">
        <v>8.0000000000000002E-3</v>
      </c>
      <c r="Y61" s="2">
        <v>0</v>
      </c>
      <c r="Z61" s="2">
        <v>1080.76</v>
      </c>
      <c r="AA61" s="2">
        <v>332.99</v>
      </c>
      <c r="AB61" s="2">
        <v>0</v>
      </c>
      <c r="AC61" s="2">
        <v>0</v>
      </c>
      <c r="AD61" s="2">
        <v>1</v>
      </c>
      <c r="AE61" s="2">
        <v>0</v>
      </c>
      <c r="AF61" s="2" t="s">
        <v>207</v>
      </c>
      <c r="AG61" s="2">
        <v>0.41599999999999998</v>
      </c>
      <c r="AH61" s="2">
        <v>2</v>
      </c>
      <c r="AI61" s="2">
        <v>52286685</v>
      </c>
      <c r="AJ61" s="2">
        <v>63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</row>
    <row r="62" spans="1:44" x14ac:dyDescent="0.25">
      <c r="A62" s="2">
        <f>ROW('Source (3)'!A191)</f>
        <v>191</v>
      </c>
      <c r="B62" s="2">
        <v>52286692</v>
      </c>
      <c r="C62" s="2">
        <v>52286688</v>
      </c>
      <c r="D62" s="2">
        <v>49677488</v>
      </c>
      <c r="E62" s="2">
        <v>29</v>
      </c>
      <c r="F62" s="2">
        <v>1</v>
      </c>
      <c r="G62" s="2">
        <v>29</v>
      </c>
      <c r="H62" s="2">
        <v>1</v>
      </c>
      <c r="I62" s="2" t="s">
        <v>359</v>
      </c>
      <c r="J62" s="2" t="s">
        <v>30</v>
      </c>
      <c r="K62" s="2" t="s">
        <v>360</v>
      </c>
      <c r="L62" s="2">
        <v>1191</v>
      </c>
      <c r="N62" s="2">
        <v>1013</v>
      </c>
      <c r="O62" s="2" t="s">
        <v>361</v>
      </c>
      <c r="P62" s="2" t="s">
        <v>361</v>
      </c>
      <c r="Q62" s="2">
        <v>1</v>
      </c>
      <c r="X62" s="2">
        <v>1.59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</v>
      </c>
      <c r="AE62" s="2">
        <v>1</v>
      </c>
      <c r="AF62" s="2" t="s">
        <v>30</v>
      </c>
      <c r="AG62" s="2">
        <v>1.59</v>
      </c>
      <c r="AH62" s="2">
        <v>2</v>
      </c>
      <c r="AI62" s="2">
        <v>52286689</v>
      </c>
      <c r="AJ62" s="2">
        <v>64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</row>
    <row r="63" spans="1:44" x14ac:dyDescent="0.25">
      <c r="A63" s="2">
        <f>ROW('Source (3)'!A191)</f>
        <v>191</v>
      </c>
      <c r="B63" s="2">
        <v>52286693</v>
      </c>
      <c r="C63" s="2">
        <v>52286688</v>
      </c>
      <c r="D63" s="2">
        <v>49678404</v>
      </c>
      <c r="E63" s="2">
        <v>1</v>
      </c>
      <c r="F63" s="2">
        <v>1</v>
      </c>
      <c r="G63" s="2">
        <v>29</v>
      </c>
      <c r="H63" s="2">
        <v>2</v>
      </c>
      <c r="I63" s="2" t="s">
        <v>144</v>
      </c>
      <c r="J63" s="2" t="s">
        <v>388</v>
      </c>
      <c r="K63" s="2" t="s">
        <v>145</v>
      </c>
      <c r="L63" s="2">
        <v>1368</v>
      </c>
      <c r="N63" s="2">
        <v>1011</v>
      </c>
      <c r="O63" s="2" t="s">
        <v>82</v>
      </c>
      <c r="P63" s="2" t="s">
        <v>82</v>
      </c>
      <c r="Q63" s="2">
        <v>1</v>
      </c>
      <c r="X63" s="2">
        <v>4.9800000000000004</v>
      </c>
      <c r="Y63" s="2">
        <v>0</v>
      </c>
      <c r="Z63" s="2">
        <v>1571.99</v>
      </c>
      <c r="AA63" s="2">
        <v>595.20000000000005</v>
      </c>
      <c r="AB63" s="2">
        <v>0</v>
      </c>
      <c r="AC63" s="2">
        <v>0</v>
      </c>
      <c r="AD63" s="2">
        <v>1</v>
      </c>
      <c r="AE63" s="2">
        <v>0</v>
      </c>
      <c r="AF63" s="2" t="s">
        <v>30</v>
      </c>
      <c r="AG63" s="2">
        <v>4.9800000000000004</v>
      </c>
      <c r="AH63" s="2">
        <v>2</v>
      </c>
      <c r="AI63" s="2">
        <v>52286690</v>
      </c>
      <c r="AJ63" s="2">
        <v>65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</row>
    <row r="64" spans="1:44" x14ac:dyDescent="0.25">
      <c r="A64" s="2">
        <f>ROW('Source (3)'!A191)</f>
        <v>191</v>
      </c>
      <c r="B64" s="2">
        <v>52286694</v>
      </c>
      <c r="C64" s="2">
        <v>52286688</v>
      </c>
      <c r="D64" s="2">
        <v>49678427</v>
      </c>
      <c r="E64" s="2">
        <v>1</v>
      </c>
      <c r="F64" s="2">
        <v>1</v>
      </c>
      <c r="G64" s="2">
        <v>29</v>
      </c>
      <c r="H64" s="2">
        <v>2</v>
      </c>
      <c r="I64" s="2" t="s">
        <v>148</v>
      </c>
      <c r="J64" s="2" t="s">
        <v>389</v>
      </c>
      <c r="K64" s="2" t="s">
        <v>149</v>
      </c>
      <c r="L64" s="2">
        <v>1368</v>
      </c>
      <c r="N64" s="2">
        <v>1011</v>
      </c>
      <c r="O64" s="2" t="s">
        <v>82</v>
      </c>
      <c r="P64" s="2" t="s">
        <v>82</v>
      </c>
      <c r="Q64" s="2">
        <v>1</v>
      </c>
      <c r="X64" s="2">
        <v>1.25</v>
      </c>
      <c r="Y64" s="2">
        <v>0</v>
      </c>
      <c r="Z64" s="2">
        <v>1129.8900000000001</v>
      </c>
      <c r="AA64" s="2">
        <v>513.16999999999996</v>
      </c>
      <c r="AB64" s="2">
        <v>0</v>
      </c>
      <c r="AC64" s="2">
        <v>0</v>
      </c>
      <c r="AD64" s="2">
        <v>1</v>
      </c>
      <c r="AE64" s="2">
        <v>0</v>
      </c>
      <c r="AF64" s="2" t="s">
        <v>30</v>
      </c>
      <c r="AG64" s="2">
        <v>1.25</v>
      </c>
      <c r="AH64" s="2">
        <v>2</v>
      </c>
      <c r="AI64" s="2">
        <v>52286691</v>
      </c>
      <c r="AJ64" s="2">
        <v>66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</row>
    <row r="65" spans="1:44" x14ac:dyDescent="0.25">
      <c r="A65" s="2">
        <f>ROW('Source (3)'!A192)</f>
        <v>192</v>
      </c>
      <c r="B65" s="2">
        <v>52286697</v>
      </c>
      <c r="C65" s="2">
        <v>52286695</v>
      </c>
      <c r="D65" s="2">
        <v>49677488</v>
      </c>
      <c r="E65" s="2">
        <v>29</v>
      </c>
      <c r="F65" s="2">
        <v>1</v>
      </c>
      <c r="G65" s="2">
        <v>29</v>
      </c>
      <c r="H65" s="2">
        <v>1</v>
      </c>
      <c r="I65" s="2" t="s">
        <v>359</v>
      </c>
      <c r="J65" s="2" t="s">
        <v>30</v>
      </c>
      <c r="K65" s="2" t="s">
        <v>360</v>
      </c>
      <c r="L65" s="2">
        <v>1191</v>
      </c>
      <c r="N65" s="2">
        <v>1013</v>
      </c>
      <c r="O65" s="2" t="s">
        <v>361</v>
      </c>
      <c r="P65" s="2" t="s">
        <v>361</v>
      </c>
      <c r="Q65" s="2">
        <v>1</v>
      </c>
      <c r="X65" s="2">
        <v>221.6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1</v>
      </c>
      <c r="AE65" s="2">
        <v>1</v>
      </c>
      <c r="AF65" s="2" t="s">
        <v>30</v>
      </c>
      <c r="AG65" s="2">
        <v>221.6</v>
      </c>
      <c r="AH65" s="2">
        <v>2</v>
      </c>
      <c r="AI65" s="2">
        <v>52286696</v>
      </c>
      <c r="AJ65" s="2">
        <v>67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</row>
    <row r="66" spans="1:44" x14ac:dyDescent="0.25">
      <c r="A66" s="2">
        <f>ROW('Source (3)'!A193)</f>
        <v>193</v>
      </c>
      <c r="B66" s="2">
        <v>52286702</v>
      </c>
      <c r="C66" s="2">
        <v>52286698</v>
      </c>
      <c r="D66" s="2">
        <v>49677488</v>
      </c>
      <c r="E66" s="2">
        <v>29</v>
      </c>
      <c r="F66" s="2">
        <v>1</v>
      </c>
      <c r="G66" s="2">
        <v>29</v>
      </c>
      <c r="H66" s="2">
        <v>1</v>
      </c>
      <c r="I66" s="2" t="s">
        <v>359</v>
      </c>
      <c r="J66" s="2" t="s">
        <v>30</v>
      </c>
      <c r="K66" s="2" t="s">
        <v>360</v>
      </c>
      <c r="L66" s="2">
        <v>1191</v>
      </c>
      <c r="N66" s="2">
        <v>1013</v>
      </c>
      <c r="O66" s="2" t="s">
        <v>361</v>
      </c>
      <c r="P66" s="2" t="s">
        <v>361</v>
      </c>
      <c r="Q66" s="2">
        <v>1</v>
      </c>
      <c r="X66" s="2">
        <v>1.59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1</v>
      </c>
      <c r="AE66" s="2">
        <v>1</v>
      </c>
      <c r="AF66" s="2" t="s">
        <v>30</v>
      </c>
      <c r="AG66" s="2">
        <v>1.59</v>
      </c>
      <c r="AH66" s="2">
        <v>2</v>
      </c>
      <c r="AI66" s="2">
        <v>52286699</v>
      </c>
      <c r="AJ66" s="2">
        <v>68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</row>
    <row r="67" spans="1:44" x14ac:dyDescent="0.25">
      <c r="A67" s="2">
        <f>ROW('Source (3)'!A193)</f>
        <v>193</v>
      </c>
      <c r="B67" s="2">
        <v>52286703</v>
      </c>
      <c r="C67" s="2">
        <v>52286698</v>
      </c>
      <c r="D67" s="2">
        <v>49678404</v>
      </c>
      <c r="E67" s="2">
        <v>1</v>
      </c>
      <c r="F67" s="2">
        <v>1</v>
      </c>
      <c r="G67" s="2">
        <v>29</v>
      </c>
      <c r="H67" s="2">
        <v>2</v>
      </c>
      <c r="I67" s="2" t="s">
        <v>144</v>
      </c>
      <c r="J67" s="2" t="s">
        <v>388</v>
      </c>
      <c r="K67" s="2" t="s">
        <v>145</v>
      </c>
      <c r="L67" s="2">
        <v>1368</v>
      </c>
      <c r="N67" s="2">
        <v>1011</v>
      </c>
      <c r="O67" s="2" t="s">
        <v>82</v>
      </c>
      <c r="P67" s="2" t="s">
        <v>82</v>
      </c>
      <c r="Q67" s="2">
        <v>1</v>
      </c>
      <c r="X67" s="2">
        <v>4.9800000000000004</v>
      </c>
      <c r="Y67" s="2">
        <v>0</v>
      </c>
      <c r="Z67" s="2">
        <v>1571.99</v>
      </c>
      <c r="AA67" s="2">
        <v>595.20000000000005</v>
      </c>
      <c r="AB67" s="2">
        <v>0</v>
      </c>
      <c r="AC67" s="2">
        <v>0</v>
      </c>
      <c r="AD67" s="2">
        <v>1</v>
      </c>
      <c r="AE67" s="2">
        <v>0</v>
      </c>
      <c r="AF67" s="2" t="s">
        <v>30</v>
      </c>
      <c r="AG67" s="2">
        <v>4.9800000000000004</v>
      </c>
      <c r="AH67" s="2">
        <v>2</v>
      </c>
      <c r="AI67" s="2">
        <v>52286700</v>
      </c>
      <c r="AJ67" s="2">
        <v>69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</row>
    <row r="68" spans="1:44" x14ac:dyDescent="0.25">
      <c r="A68" s="2">
        <f>ROW('Source (3)'!A193)</f>
        <v>193</v>
      </c>
      <c r="B68" s="2">
        <v>52286704</v>
      </c>
      <c r="C68" s="2">
        <v>52286698</v>
      </c>
      <c r="D68" s="2">
        <v>49678427</v>
      </c>
      <c r="E68" s="2">
        <v>1</v>
      </c>
      <c r="F68" s="2">
        <v>1</v>
      </c>
      <c r="G68" s="2">
        <v>29</v>
      </c>
      <c r="H68" s="2">
        <v>2</v>
      </c>
      <c r="I68" s="2" t="s">
        <v>148</v>
      </c>
      <c r="J68" s="2" t="s">
        <v>389</v>
      </c>
      <c r="K68" s="2" t="s">
        <v>149</v>
      </c>
      <c r="L68" s="2">
        <v>1368</v>
      </c>
      <c r="N68" s="2">
        <v>1011</v>
      </c>
      <c r="O68" s="2" t="s">
        <v>82</v>
      </c>
      <c r="P68" s="2" t="s">
        <v>82</v>
      </c>
      <c r="Q68" s="2">
        <v>1</v>
      </c>
      <c r="X68" s="2">
        <v>1.25</v>
      </c>
      <c r="Y68" s="2">
        <v>0</v>
      </c>
      <c r="Z68" s="2">
        <v>1129.8900000000001</v>
      </c>
      <c r="AA68" s="2">
        <v>513.16999999999996</v>
      </c>
      <c r="AB68" s="2">
        <v>0</v>
      </c>
      <c r="AC68" s="2">
        <v>0</v>
      </c>
      <c r="AD68" s="2">
        <v>1</v>
      </c>
      <c r="AE68" s="2">
        <v>0</v>
      </c>
      <c r="AF68" s="2" t="s">
        <v>30</v>
      </c>
      <c r="AG68" s="2">
        <v>1.25</v>
      </c>
      <c r="AH68" s="2">
        <v>2</v>
      </c>
      <c r="AI68" s="2">
        <v>52286701</v>
      </c>
      <c r="AJ68" s="2">
        <v>70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</row>
    <row r="69" spans="1:44" x14ac:dyDescent="0.25">
      <c r="A69" s="2">
        <f>ROW('Source (3)'!A194)</f>
        <v>194</v>
      </c>
      <c r="B69" s="2">
        <v>52286707</v>
      </c>
      <c r="C69" s="2">
        <v>52286705</v>
      </c>
      <c r="D69" s="2">
        <v>49677488</v>
      </c>
      <c r="E69" s="2">
        <v>29</v>
      </c>
      <c r="F69" s="2">
        <v>1</v>
      </c>
      <c r="G69" s="2">
        <v>29</v>
      </c>
      <c r="H69" s="2">
        <v>1</v>
      </c>
      <c r="I69" s="2" t="s">
        <v>359</v>
      </c>
      <c r="J69" s="2" t="s">
        <v>30</v>
      </c>
      <c r="K69" s="2" t="s">
        <v>360</v>
      </c>
      <c r="L69" s="2">
        <v>1191</v>
      </c>
      <c r="N69" s="2">
        <v>1013</v>
      </c>
      <c r="O69" s="2" t="s">
        <v>361</v>
      </c>
      <c r="P69" s="2" t="s">
        <v>361</v>
      </c>
      <c r="Q69" s="2">
        <v>1</v>
      </c>
      <c r="X69" s="2">
        <v>83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1</v>
      </c>
      <c r="AE69" s="2">
        <v>1</v>
      </c>
      <c r="AF69" s="2" t="s">
        <v>30</v>
      </c>
      <c r="AG69" s="2">
        <v>83</v>
      </c>
      <c r="AH69" s="2">
        <v>2</v>
      </c>
      <c r="AI69" s="2">
        <v>52286706</v>
      </c>
      <c r="AJ69" s="2">
        <v>71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</row>
    <row r="70" spans="1:44" x14ac:dyDescent="0.25">
      <c r="A70" s="2">
        <f>ROW('Source (3)'!A195)</f>
        <v>195</v>
      </c>
      <c r="B70" s="2">
        <v>52286710</v>
      </c>
      <c r="C70" s="2">
        <v>52286708</v>
      </c>
      <c r="D70" s="2">
        <v>49679218</v>
      </c>
      <c r="E70" s="2">
        <v>1</v>
      </c>
      <c r="F70" s="2">
        <v>1</v>
      </c>
      <c r="G70" s="2">
        <v>29</v>
      </c>
      <c r="H70" s="2">
        <v>2</v>
      </c>
      <c r="I70" s="2" t="s">
        <v>87</v>
      </c>
      <c r="J70" s="2" t="s">
        <v>375</v>
      </c>
      <c r="K70" s="2" t="s">
        <v>88</v>
      </c>
      <c r="L70" s="2">
        <v>1368</v>
      </c>
      <c r="N70" s="2">
        <v>1011</v>
      </c>
      <c r="O70" s="2" t="s">
        <v>82</v>
      </c>
      <c r="P70" s="2" t="s">
        <v>82</v>
      </c>
      <c r="Q70" s="2">
        <v>1</v>
      </c>
      <c r="X70" s="2">
        <v>3.1E-2</v>
      </c>
      <c r="Y70" s="2">
        <v>0</v>
      </c>
      <c r="Z70" s="2">
        <v>1080.76</v>
      </c>
      <c r="AA70" s="2">
        <v>332.99</v>
      </c>
      <c r="AB70" s="2">
        <v>0</v>
      </c>
      <c r="AC70" s="2">
        <v>0</v>
      </c>
      <c r="AD70" s="2">
        <v>1</v>
      </c>
      <c r="AE70" s="2">
        <v>0</v>
      </c>
      <c r="AF70" s="2" t="s">
        <v>30</v>
      </c>
      <c r="AG70" s="2">
        <v>3.1E-2</v>
      </c>
      <c r="AH70" s="2">
        <v>2</v>
      </c>
      <c r="AI70" s="2">
        <v>52286709</v>
      </c>
      <c r="AJ70" s="2">
        <v>72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</row>
    <row r="71" spans="1:44" x14ac:dyDescent="0.25">
      <c r="A71" s="2">
        <f>ROW('Source (3)'!A196)</f>
        <v>196</v>
      </c>
      <c r="B71" s="2">
        <v>52286713</v>
      </c>
      <c r="C71" s="2">
        <v>52286711</v>
      </c>
      <c r="D71" s="2">
        <v>49679218</v>
      </c>
      <c r="E71" s="2">
        <v>1</v>
      </c>
      <c r="F71" s="2">
        <v>1</v>
      </c>
      <c r="G71" s="2">
        <v>29</v>
      </c>
      <c r="H71" s="2">
        <v>2</v>
      </c>
      <c r="I71" s="2" t="s">
        <v>87</v>
      </c>
      <c r="J71" s="2" t="s">
        <v>375</v>
      </c>
      <c r="K71" s="2" t="s">
        <v>88</v>
      </c>
      <c r="L71" s="2">
        <v>1368</v>
      </c>
      <c r="N71" s="2">
        <v>1011</v>
      </c>
      <c r="O71" s="2" t="s">
        <v>82</v>
      </c>
      <c r="P71" s="2" t="s">
        <v>82</v>
      </c>
      <c r="Q71" s="2">
        <v>1</v>
      </c>
      <c r="X71" s="2">
        <v>0.01</v>
      </c>
      <c r="Y71" s="2">
        <v>0</v>
      </c>
      <c r="Z71" s="2">
        <v>1080.76</v>
      </c>
      <c r="AA71" s="2">
        <v>332.99</v>
      </c>
      <c r="AB71" s="2">
        <v>0</v>
      </c>
      <c r="AC71" s="2">
        <v>0</v>
      </c>
      <c r="AD71" s="2">
        <v>1</v>
      </c>
      <c r="AE71" s="2">
        <v>0</v>
      </c>
      <c r="AF71" s="2" t="s">
        <v>207</v>
      </c>
      <c r="AG71" s="2">
        <v>0.52</v>
      </c>
      <c r="AH71" s="2">
        <v>2</v>
      </c>
      <c r="AI71" s="2">
        <v>52286712</v>
      </c>
      <c r="AJ71" s="2">
        <v>73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</row>
    <row r="72" spans="1:44" x14ac:dyDescent="0.25">
      <c r="A72" s="2">
        <f>ROW('Source (3)'!A197)</f>
        <v>197</v>
      </c>
      <c r="B72" s="2">
        <v>52286723</v>
      </c>
      <c r="C72" s="2">
        <v>52286714</v>
      </c>
      <c r="D72" s="2">
        <v>49677488</v>
      </c>
      <c r="E72" s="2">
        <v>29</v>
      </c>
      <c r="F72" s="2">
        <v>1</v>
      </c>
      <c r="G72" s="2">
        <v>29</v>
      </c>
      <c r="H72" s="2">
        <v>1</v>
      </c>
      <c r="I72" s="2" t="s">
        <v>359</v>
      </c>
      <c r="J72" s="2" t="s">
        <v>30</v>
      </c>
      <c r="K72" s="2" t="s">
        <v>360</v>
      </c>
      <c r="L72" s="2">
        <v>1191</v>
      </c>
      <c r="N72" s="2">
        <v>1013</v>
      </c>
      <c r="O72" s="2" t="s">
        <v>361</v>
      </c>
      <c r="P72" s="2" t="s">
        <v>361</v>
      </c>
      <c r="Q72" s="2">
        <v>1</v>
      </c>
      <c r="X72" s="2">
        <v>16.559999999999999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1</v>
      </c>
      <c r="AE72" s="2">
        <v>1</v>
      </c>
      <c r="AF72" s="2" t="s">
        <v>30</v>
      </c>
      <c r="AG72" s="2">
        <v>16.559999999999999</v>
      </c>
      <c r="AH72" s="2">
        <v>2</v>
      </c>
      <c r="AI72" s="2">
        <v>52286715</v>
      </c>
      <c r="AJ72" s="2">
        <v>74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</row>
    <row r="73" spans="1:44" x14ac:dyDescent="0.25">
      <c r="A73" s="2">
        <f>ROW('Source (3)'!A197)</f>
        <v>197</v>
      </c>
      <c r="B73" s="2">
        <v>52286724</v>
      </c>
      <c r="C73" s="2">
        <v>52286714</v>
      </c>
      <c r="D73" s="2">
        <v>49678449</v>
      </c>
      <c r="E73" s="2">
        <v>1</v>
      </c>
      <c r="F73" s="2">
        <v>1</v>
      </c>
      <c r="G73" s="2">
        <v>29</v>
      </c>
      <c r="H73" s="2">
        <v>2</v>
      </c>
      <c r="I73" s="2" t="s">
        <v>89</v>
      </c>
      <c r="J73" s="2" t="s">
        <v>369</v>
      </c>
      <c r="K73" s="2" t="s">
        <v>90</v>
      </c>
      <c r="L73" s="2">
        <v>1368</v>
      </c>
      <c r="N73" s="2">
        <v>1011</v>
      </c>
      <c r="O73" s="2" t="s">
        <v>82</v>
      </c>
      <c r="P73" s="2" t="s">
        <v>82</v>
      </c>
      <c r="Q73" s="2">
        <v>1</v>
      </c>
      <c r="X73" s="2">
        <v>2.08</v>
      </c>
      <c r="Y73" s="2">
        <v>0</v>
      </c>
      <c r="Z73" s="2">
        <v>780.77</v>
      </c>
      <c r="AA73" s="2">
        <v>433.88</v>
      </c>
      <c r="AB73" s="2">
        <v>0</v>
      </c>
      <c r="AC73" s="2">
        <v>0</v>
      </c>
      <c r="AD73" s="2">
        <v>1</v>
      </c>
      <c r="AE73" s="2">
        <v>0</v>
      </c>
      <c r="AF73" s="2" t="s">
        <v>30</v>
      </c>
      <c r="AG73" s="2">
        <v>2.08</v>
      </c>
      <c r="AH73" s="2">
        <v>2</v>
      </c>
      <c r="AI73" s="2">
        <v>52286716</v>
      </c>
      <c r="AJ73" s="2">
        <v>75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</row>
    <row r="74" spans="1:44" x14ac:dyDescent="0.25">
      <c r="A74" s="2">
        <f>ROW('Source (3)'!A197)</f>
        <v>197</v>
      </c>
      <c r="B74" s="2">
        <v>52286725</v>
      </c>
      <c r="C74" s="2">
        <v>52286714</v>
      </c>
      <c r="D74" s="2">
        <v>49678606</v>
      </c>
      <c r="E74" s="2">
        <v>1</v>
      </c>
      <c r="F74" s="2">
        <v>1</v>
      </c>
      <c r="G74" s="2">
        <v>29</v>
      </c>
      <c r="H74" s="2">
        <v>2</v>
      </c>
      <c r="I74" s="2" t="s">
        <v>150</v>
      </c>
      <c r="J74" s="2" t="s">
        <v>390</v>
      </c>
      <c r="K74" s="2" t="s">
        <v>151</v>
      </c>
      <c r="L74" s="2">
        <v>1368</v>
      </c>
      <c r="N74" s="2">
        <v>1011</v>
      </c>
      <c r="O74" s="2" t="s">
        <v>82</v>
      </c>
      <c r="P74" s="2" t="s">
        <v>82</v>
      </c>
      <c r="Q74" s="2">
        <v>1</v>
      </c>
      <c r="X74" s="2">
        <v>2.08</v>
      </c>
      <c r="Y74" s="2">
        <v>0</v>
      </c>
      <c r="Z74" s="2">
        <v>445.81</v>
      </c>
      <c r="AA74" s="2">
        <v>226.08</v>
      </c>
      <c r="AB74" s="2">
        <v>0</v>
      </c>
      <c r="AC74" s="2">
        <v>0</v>
      </c>
      <c r="AD74" s="2">
        <v>1</v>
      </c>
      <c r="AE74" s="2">
        <v>0</v>
      </c>
      <c r="AF74" s="2" t="s">
        <v>30</v>
      </c>
      <c r="AG74" s="2">
        <v>2.08</v>
      </c>
      <c r="AH74" s="2">
        <v>2</v>
      </c>
      <c r="AI74" s="2">
        <v>52286717</v>
      </c>
      <c r="AJ74" s="2">
        <v>76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</row>
    <row r="75" spans="1:44" x14ac:dyDescent="0.25">
      <c r="A75" s="2">
        <f>ROW('Source (3)'!A197)</f>
        <v>197</v>
      </c>
      <c r="B75" s="2">
        <v>52286726</v>
      </c>
      <c r="C75" s="2">
        <v>52286714</v>
      </c>
      <c r="D75" s="2">
        <v>49678609</v>
      </c>
      <c r="E75" s="2">
        <v>1</v>
      </c>
      <c r="F75" s="2">
        <v>1</v>
      </c>
      <c r="G75" s="2">
        <v>29</v>
      </c>
      <c r="H75" s="2">
        <v>2</v>
      </c>
      <c r="I75" s="2" t="s">
        <v>152</v>
      </c>
      <c r="J75" s="2" t="s">
        <v>391</v>
      </c>
      <c r="K75" s="2" t="s">
        <v>153</v>
      </c>
      <c r="L75" s="2">
        <v>1368</v>
      </c>
      <c r="N75" s="2">
        <v>1011</v>
      </c>
      <c r="O75" s="2" t="s">
        <v>82</v>
      </c>
      <c r="P75" s="2" t="s">
        <v>82</v>
      </c>
      <c r="Q75" s="2">
        <v>1</v>
      </c>
      <c r="X75" s="2">
        <v>0.81</v>
      </c>
      <c r="Y75" s="2">
        <v>0</v>
      </c>
      <c r="Z75" s="2">
        <v>2043.52</v>
      </c>
      <c r="AA75" s="2">
        <v>481.49</v>
      </c>
      <c r="AB75" s="2">
        <v>0</v>
      </c>
      <c r="AC75" s="2">
        <v>0</v>
      </c>
      <c r="AD75" s="2">
        <v>1</v>
      </c>
      <c r="AE75" s="2">
        <v>0</v>
      </c>
      <c r="AF75" s="2" t="s">
        <v>30</v>
      </c>
      <c r="AG75" s="2">
        <v>0.81</v>
      </c>
      <c r="AH75" s="2">
        <v>2</v>
      </c>
      <c r="AI75" s="2">
        <v>52286718</v>
      </c>
      <c r="AJ75" s="2">
        <v>77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</row>
    <row r="76" spans="1:44" x14ac:dyDescent="0.25">
      <c r="A76" s="2">
        <f>ROW('Source (3)'!A197)</f>
        <v>197</v>
      </c>
      <c r="B76" s="2">
        <v>52286727</v>
      </c>
      <c r="C76" s="2">
        <v>52286714</v>
      </c>
      <c r="D76" s="2">
        <v>49678633</v>
      </c>
      <c r="E76" s="2">
        <v>1</v>
      </c>
      <c r="F76" s="2">
        <v>1</v>
      </c>
      <c r="G76" s="2">
        <v>29</v>
      </c>
      <c r="H76" s="2">
        <v>2</v>
      </c>
      <c r="I76" s="2" t="s">
        <v>154</v>
      </c>
      <c r="J76" s="2" t="s">
        <v>392</v>
      </c>
      <c r="K76" s="2" t="s">
        <v>155</v>
      </c>
      <c r="L76" s="2">
        <v>1368</v>
      </c>
      <c r="N76" s="2">
        <v>1011</v>
      </c>
      <c r="O76" s="2" t="s">
        <v>82</v>
      </c>
      <c r="P76" s="2" t="s">
        <v>82</v>
      </c>
      <c r="Q76" s="2">
        <v>1</v>
      </c>
      <c r="X76" s="2">
        <v>1.94</v>
      </c>
      <c r="Y76" s="2">
        <v>0</v>
      </c>
      <c r="Z76" s="2">
        <v>1478.7</v>
      </c>
      <c r="AA76" s="2">
        <v>673.39</v>
      </c>
      <c r="AB76" s="2">
        <v>0</v>
      </c>
      <c r="AC76" s="2">
        <v>0</v>
      </c>
      <c r="AD76" s="2">
        <v>1</v>
      </c>
      <c r="AE76" s="2">
        <v>0</v>
      </c>
      <c r="AF76" s="2" t="s">
        <v>30</v>
      </c>
      <c r="AG76" s="2">
        <v>1.94</v>
      </c>
      <c r="AH76" s="2">
        <v>2</v>
      </c>
      <c r="AI76" s="2">
        <v>52286719</v>
      </c>
      <c r="AJ76" s="2">
        <v>78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</row>
    <row r="77" spans="1:44" x14ac:dyDescent="0.25">
      <c r="A77" s="2">
        <f>ROW('Source (3)'!A197)</f>
        <v>197</v>
      </c>
      <c r="B77" s="2">
        <v>52286728</v>
      </c>
      <c r="C77" s="2">
        <v>52286714</v>
      </c>
      <c r="D77" s="2">
        <v>49678599</v>
      </c>
      <c r="E77" s="2">
        <v>1</v>
      </c>
      <c r="F77" s="2">
        <v>1</v>
      </c>
      <c r="G77" s="2">
        <v>29</v>
      </c>
      <c r="H77" s="2">
        <v>2</v>
      </c>
      <c r="I77" s="2" t="s">
        <v>156</v>
      </c>
      <c r="J77" s="2" t="s">
        <v>393</v>
      </c>
      <c r="K77" s="2" t="s">
        <v>157</v>
      </c>
      <c r="L77" s="2">
        <v>1368</v>
      </c>
      <c r="N77" s="2">
        <v>1011</v>
      </c>
      <c r="O77" s="2" t="s">
        <v>82</v>
      </c>
      <c r="P77" s="2" t="s">
        <v>82</v>
      </c>
      <c r="Q77" s="2">
        <v>1</v>
      </c>
      <c r="X77" s="2">
        <v>0.65</v>
      </c>
      <c r="Y77" s="2">
        <v>0</v>
      </c>
      <c r="Z77" s="2">
        <v>1268.04</v>
      </c>
      <c r="AA77" s="2">
        <v>484.68</v>
      </c>
      <c r="AB77" s="2">
        <v>0</v>
      </c>
      <c r="AC77" s="2">
        <v>0</v>
      </c>
      <c r="AD77" s="2">
        <v>1</v>
      </c>
      <c r="AE77" s="2">
        <v>0</v>
      </c>
      <c r="AF77" s="2" t="s">
        <v>30</v>
      </c>
      <c r="AG77" s="2">
        <v>0.65</v>
      </c>
      <c r="AH77" s="2">
        <v>2</v>
      </c>
      <c r="AI77" s="2">
        <v>52286720</v>
      </c>
      <c r="AJ77" s="2">
        <v>79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</row>
    <row r="78" spans="1:44" x14ac:dyDescent="0.25">
      <c r="A78" s="2">
        <f>ROW('Source (3)'!A197)</f>
        <v>197</v>
      </c>
      <c r="B78" s="2">
        <v>52286729</v>
      </c>
      <c r="C78" s="2">
        <v>52286714</v>
      </c>
      <c r="D78" s="2">
        <v>49680593</v>
      </c>
      <c r="E78" s="2">
        <v>1</v>
      </c>
      <c r="F78" s="2">
        <v>1</v>
      </c>
      <c r="G78" s="2">
        <v>29</v>
      </c>
      <c r="H78" s="2">
        <v>3</v>
      </c>
      <c r="I78" s="2" t="s">
        <v>158</v>
      </c>
      <c r="J78" s="2" t="s">
        <v>394</v>
      </c>
      <c r="K78" s="2" t="s">
        <v>159</v>
      </c>
      <c r="L78" s="2">
        <v>1339</v>
      </c>
      <c r="N78" s="2">
        <v>1007</v>
      </c>
      <c r="O78" s="2" t="s">
        <v>62</v>
      </c>
      <c r="P78" s="2" t="s">
        <v>62</v>
      </c>
      <c r="Q78" s="2">
        <v>1</v>
      </c>
      <c r="X78" s="2">
        <v>110</v>
      </c>
      <c r="Y78" s="2">
        <v>510.02</v>
      </c>
      <c r="Z78" s="2">
        <v>0</v>
      </c>
      <c r="AA78" s="2">
        <v>0</v>
      </c>
      <c r="AB78" s="2">
        <v>0</v>
      </c>
      <c r="AC78" s="2">
        <v>0</v>
      </c>
      <c r="AD78" s="2">
        <v>1</v>
      </c>
      <c r="AE78" s="2">
        <v>0</v>
      </c>
      <c r="AF78" s="2" t="s">
        <v>30</v>
      </c>
      <c r="AG78" s="2">
        <v>110</v>
      </c>
      <c r="AH78" s="2">
        <v>2</v>
      </c>
      <c r="AI78" s="2">
        <v>52286721</v>
      </c>
      <c r="AJ78" s="2">
        <v>80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</row>
    <row r="79" spans="1:44" x14ac:dyDescent="0.25">
      <c r="A79" s="2">
        <f>ROW('Source (3)'!A197)</f>
        <v>197</v>
      </c>
      <c r="B79" s="2">
        <v>52286730</v>
      </c>
      <c r="C79" s="2">
        <v>52286714</v>
      </c>
      <c r="D79" s="2">
        <v>49681352</v>
      </c>
      <c r="E79" s="2">
        <v>1</v>
      </c>
      <c r="F79" s="2">
        <v>1</v>
      </c>
      <c r="G79" s="2">
        <v>29</v>
      </c>
      <c r="H79" s="2">
        <v>3</v>
      </c>
      <c r="I79" s="2" t="s">
        <v>111</v>
      </c>
      <c r="J79" s="2" t="s">
        <v>367</v>
      </c>
      <c r="K79" s="2" t="s">
        <v>112</v>
      </c>
      <c r="L79" s="2">
        <v>1339</v>
      </c>
      <c r="N79" s="2">
        <v>1007</v>
      </c>
      <c r="O79" s="2" t="s">
        <v>62</v>
      </c>
      <c r="P79" s="2" t="s">
        <v>62</v>
      </c>
      <c r="Q79" s="2">
        <v>1</v>
      </c>
      <c r="X79" s="2">
        <v>5</v>
      </c>
      <c r="Y79" s="2">
        <v>36.31</v>
      </c>
      <c r="Z79" s="2">
        <v>0</v>
      </c>
      <c r="AA79" s="2">
        <v>0</v>
      </c>
      <c r="AB79" s="2">
        <v>0</v>
      </c>
      <c r="AC79" s="2">
        <v>0</v>
      </c>
      <c r="AD79" s="2">
        <v>1</v>
      </c>
      <c r="AE79" s="2">
        <v>0</v>
      </c>
      <c r="AF79" s="2" t="s">
        <v>30</v>
      </c>
      <c r="AG79" s="2">
        <v>5</v>
      </c>
      <c r="AH79" s="2">
        <v>2</v>
      </c>
      <c r="AI79" s="2">
        <v>52286722</v>
      </c>
      <c r="AJ79" s="2">
        <v>81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</row>
    <row r="80" spans="1:44" x14ac:dyDescent="0.25">
      <c r="A80" s="2">
        <f>ROW('Source (3)'!A198)</f>
        <v>198</v>
      </c>
      <c r="B80" s="2">
        <v>52286742</v>
      </c>
      <c r="C80" s="2">
        <v>52286731</v>
      </c>
      <c r="D80" s="2">
        <v>49677488</v>
      </c>
      <c r="E80" s="2">
        <v>29</v>
      </c>
      <c r="F80" s="2">
        <v>1</v>
      </c>
      <c r="G80" s="2">
        <v>29</v>
      </c>
      <c r="H80" s="2">
        <v>1</v>
      </c>
      <c r="I80" s="2" t="s">
        <v>359</v>
      </c>
      <c r="J80" s="2" t="s">
        <v>30</v>
      </c>
      <c r="K80" s="2" t="s">
        <v>360</v>
      </c>
      <c r="L80" s="2">
        <v>1191</v>
      </c>
      <c r="N80" s="2">
        <v>1013</v>
      </c>
      <c r="O80" s="2" t="s">
        <v>361</v>
      </c>
      <c r="P80" s="2" t="s">
        <v>361</v>
      </c>
      <c r="Q80" s="2">
        <v>1</v>
      </c>
      <c r="X80" s="2">
        <v>24.84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1</v>
      </c>
      <c r="AE80" s="2">
        <v>1</v>
      </c>
      <c r="AF80" s="2" t="s">
        <v>30</v>
      </c>
      <c r="AG80" s="2">
        <v>24.84</v>
      </c>
      <c r="AH80" s="2">
        <v>2</v>
      </c>
      <c r="AI80" s="2">
        <v>52286732</v>
      </c>
      <c r="AJ80" s="2">
        <v>82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</row>
    <row r="81" spans="1:44" x14ac:dyDescent="0.25">
      <c r="A81" s="2">
        <f>ROW('Source (3)'!A198)</f>
        <v>198</v>
      </c>
      <c r="B81" s="2">
        <v>52286743</v>
      </c>
      <c r="C81" s="2">
        <v>52286731</v>
      </c>
      <c r="D81" s="2">
        <v>49678426</v>
      </c>
      <c r="E81" s="2">
        <v>1</v>
      </c>
      <c r="F81" s="2">
        <v>1</v>
      </c>
      <c r="G81" s="2">
        <v>29</v>
      </c>
      <c r="H81" s="2">
        <v>2</v>
      </c>
      <c r="I81" s="2" t="s">
        <v>146</v>
      </c>
      <c r="J81" s="2" t="s">
        <v>395</v>
      </c>
      <c r="K81" s="2" t="s">
        <v>147</v>
      </c>
      <c r="L81" s="2">
        <v>1368</v>
      </c>
      <c r="N81" s="2">
        <v>1011</v>
      </c>
      <c r="O81" s="2" t="s">
        <v>82</v>
      </c>
      <c r="P81" s="2" t="s">
        <v>82</v>
      </c>
      <c r="Q81" s="2">
        <v>1</v>
      </c>
      <c r="X81" s="2">
        <v>2.94</v>
      </c>
      <c r="Y81" s="2">
        <v>0</v>
      </c>
      <c r="Z81" s="2">
        <v>1012.69</v>
      </c>
      <c r="AA81" s="2">
        <v>377.41</v>
      </c>
      <c r="AB81" s="2">
        <v>0</v>
      </c>
      <c r="AC81" s="2">
        <v>0</v>
      </c>
      <c r="AD81" s="2">
        <v>1</v>
      </c>
      <c r="AE81" s="2">
        <v>0</v>
      </c>
      <c r="AF81" s="2" t="s">
        <v>30</v>
      </c>
      <c r="AG81" s="2">
        <v>2.94</v>
      </c>
      <c r="AH81" s="2">
        <v>2</v>
      </c>
      <c r="AI81" s="2">
        <v>52286733</v>
      </c>
      <c r="AJ81" s="2">
        <v>83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</row>
    <row r="82" spans="1:44" x14ac:dyDescent="0.25">
      <c r="A82" s="2">
        <f>ROW('Source (3)'!A198)</f>
        <v>198</v>
      </c>
      <c r="B82" s="2">
        <v>52286744</v>
      </c>
      <c r="C82" s="2">
        <v>52286731</v>
      </c>
      <c r="D82" s="2">
        <v>49678609</v>
      </c>
      <c r="E82" s="2">
        <v>1</v>
      </c>
      <c r="F82" s="2">
        <v>1</v>
      </c>
      <c r="G82" s="2">
        <v>29</v>
      </c>
      <c r="H82" s="2">
        <v>2</v>
      </c>
      <c r="I82" s="2" t="s">
        <v>152</v>
      </c>
      <c r="J82" s="2" t="s">
        <v>391</v>
      </c>
      <c r="K82" s="2" t="s">
        <v>153</v>
      </c>
      <c r="L82" s="2">
        <v>1368</v>
      </c>
      <c r="N82" s="2">
        <v>1011</v>
      </c>
      <c r="O82" s="2" t="s">
        <v>82</v>
      </c>
      <c r="P82" s="2" t="s">
        <v>82</v>
      </c>
      <c r="Q82" s="2">
        <v>1</v>
      </c>
      <c r="X82" s="2">
        <v>1.1399999999999999</v>
      </c>
      <c r="Y82" s="2">
        <v>0</v>
      </c>
      <c r="Z82" s="2">
        <v>2043.52</v>
      </c>
      <c r="AA82" s="2">
        <v>481.49</v>
      </c>
      <c r="AB82" s="2">
        <v>0</v>
      </c>
      <c r="AC82" s="2">
        <v>0</v>
      </c>
      <c r="AD82" s="2">
        <v>1</v>
      </c>
      <c r="AE82" s="2">
        <v>0</v>
      </c>
      <c r="AF82" s="2" t="s">
        <v>30</v>
      </c>
      <c r="AG82" s="2">
        <v>1.1399999999999999</v>
      </c>
      <c r="AH82" s="2">
        <v>2</v>
      </c>
      <c r="AI82" s="2">
        <v>52286734</v>
      </c>
      <c r="AJ82" s="2">
        <v>84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</row>
    <row r="83" spans="1:44" x14ac:dyDescent="0.25">
      <c r="A83" s="2">
        <f>ROW('Source (3)'!A198)</f>
        <v>198</v>
      </c>
      <c r="B83" s="2">
        <v>52286745</v>
      </c>
      <c r="C83" s="2">
        <v>52286731</v>
      </c>
      <c r="D83" s="2">
        <v>49678594</v>
      </c>
      <c r="E83" s="2">
        <v>1</v>
      </c>
      <c r="F83" s="2">
        <v>1</v>
      </c>
      <c r="G83" s="2">
        <v>29</v>
      </c>
      <c r="H83" s="2">
        <v>2</v>
      </c>
      <c r="I83" s="2" t="s">
        <v>97</v>
      </c>
      <c r="J83" s="2" t="s">
        <v>371</v>
      </c>
      <c r="K83" s="2" t="s">
        <v>98</v>
      </c>
      <c r="L83" s="2">
        <v>1368</v>
      </c>
      <c r="N83" s="2">
        <v>1011</v>
      </c>
      <c r="O83" s="2" t="s">
        <v>82</v>
      </c>
      <c r="P83" s="2" t="s">
        <v>82</v>
      </c>
      <c r="Q83" s="2">
        <v>1</v>
      </c>
      <c r="X83" s="2">
        <v>8.9600000000000009</v>
      </c>
      <c r="Y83" s="2">
        <v>0</v>
      </c>
      <c r="Z83" s="2">
        <v>1364.68</v>
      </c>
      <c r="AA83" s="2">
        <v>556.52</v>
      </c>
      <c r="AB83" s="2">
        <v>0</v>
      </c>
      <c r="AC83" s="2">
        <v>0</v>
      </c>
      <c r="AD83" s="2">
        <v>1</v>
      </c>
      <c r="AE83" s="2">
        <v>0</v>
      </c>
      <c r="AF83" s="2" t="s">
        <v>30</v>
      </c>
      <c r="AG83" s="2">
        <v>8.9600000000000009</v>
      </c>
      <c r="AH83" s="2">
        <v>2</v>
      </c>
      <c r="AI83" s="2">
        <v>52286735</v>
      </c>
      <c r="AJ83" s="2">
        <v>85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</row>
    <row r="84" spans="1:44" x14ac:dyDescent="0.25">
      <c r="A84" s="2">
        <f>ROW('Source (3)'!A198)</f>
        <v>198</v>
      </c>
      <c r="B84" s="2">
        <v>52286746</v>
      </c>
      <c r="C84" s="2">
        <v>52286731</v>
      </c>
      <c r="D84" s="2">
        <v>49678595</v>
      </c>
      <c r="E84" s="2">
        <v>1</v>
      </c>
      <c r="F84" s="2">
        <v>1</v>
      </c>
      <c r="G84" s="2">
        <v>29</v>
      </c>
      <c r="H84" s="2">
        <v>2</v>
      </c>
      <c r="I84" s="2" t="s">
        <v>99</v>
      </c>
      <c r="J84" s="2" t="s">
        <v>372</v>
      </c>
      <c r="K84" s="2" t="s">
        <v>100</v>
      </c>
      <c r="L84" s="2">
        <v>1368</v>
      </c>
      <c r="N84" s="2">
        <v>1011</v>
      </c>
      <c r="O84" s="2" t="s">
        <v>82</v>
      </c>
      <c r="P84" s="2" t="s">
        <v>82</v>
      </c>
      <c r="Q84" s="2">
        <v>1</v>
      </c>
      <c r="X84" s="2">
        <v>18.25</v>
      </c>
      <c r="Y84" s="2">
        <v>0</v>
      </c>
      <c r="Z84" s="2">
        <v>1888.15</v>
      </c>
      <c r="AA84" s="2">
        <v>756.58</v>
      </c>
      <c r="AB84" s="2">
        <v>0</v>
      </c>
      <c r="AC84" s="2">
        <v>0</v>
      </c>
      <c r="AD84" s="2">
        <v>1</v>
      </c>
      <c r="AE84" s="2">
        <v>0</v>
      </c>
      <c r="AF84" s="2" t="s">
        <v>30</v>
      </c>
      <c r="AG84" s="2">
        <v>18.25</v>
      </c>
      <c r="AH84" s="2">
        <v>2</v>
      </c>
      <c r="AI84" s="2">
        <v>52286736</v>
      </c>
      <c r="AJ84" s="2">
        <v>86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</row>
    <row r="85" spans="1:44" x14ac:dyDescent="0.25">
      <c r="A85" s="2">
        <f>ROW('Source (3)'!A198)</f>
        <v>198</v>
      </c>
      <c r="B85" s="2">
        <v>52286747</v>
      </c>
      <c r="C85" s="2">
        <v>52286731</v>
      </c>
      <c r="D85" s="2">
        <v>49678633</v>
      </c>
      <c r="E85" s="2">
        <v>1</v>
      </c>
      <c r="F85" s="2">
        <v>1</v>
      </c>
      <c r="G85" s="2">
        <v>29</v>
      </c>
      <c r="H85" s="2">
        <v>2</v>
      </c>
      <c r="I85" s="2" t="s">
        <v>154</v>
      </c>
      <c r="J85" s="2" t="s">
        <v>392</v>
      </c>
      <c r="K85" s="2" t="s">
        <v>155</v>
      </c>
      <c r="L85" s="2">
        <v>1368</v>
      </c>
      <c r="N85" s="2">
        <v>1011</v>
      </c>
      <c r="O85" s="2" t="s">
        <v>82</v>
      </c>
      <c r="P85" s="2" t="s">
        <v>82</v>
      </c>
      <c r="Q85" s="2">
        <v>1</v>
      </c>
      <c r="X85" s="2">
        <v>2.2400000000000002</v>
      </c>
      <c r="Y85" s="2">
        <v>0</v>
      </c>
      <c r="Z85" s="2">
        <v>1478.7</v>
      </c>
      <c r="AA85" s="2">
        <v>673.39</v>
      </c>
      <c r="AB85" s="2">
        <v>0</v>
      </c>
      <c r="AC85" s="2">
        <v>0</v>
      </c>
      <c r="AD85" s="2">
        <v>1</v>
      </c>
      <c r="AE85" s="2">
        <v>0</v>
      </c>
      <c r="AF85" s="2" t="s">
        <v>30</v>
      </c>
      <c r="AG85" s="2">
        <v>2.2400000000000002</v>
      </c>
      <c r="AH85" s="2">
        <v>2</v>
      </c>
      <c r="AI85" s="2">
        <v>52286737</v>
      </c>
      <c r="AJ85" s="2">
        <v>87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</row>
    <row r="86" spans="1:44" x14ac:dyDescent="0.25">
      <c r="A86" s="2">
        <f>ROW('Source (3)'!A198)</f>
        <v>198</v>
      </c>
      <c r="B86" s="2">
        <v>52286748</v>
      </c>
      <c r="C86" s="2">
        <v>52286731</v>
      </c>
      <c r="D86" s="2">
        <v>49678599</v>
      </c>
      <c r="E86" s="2">
        <v>1</v>
      </c>
      <c r="F86" s="2">
        <v>1</v>
      </c>
      <c r="G86" s="2">
        <v>29</v>
      </c>
      <c r="H86" s="2">
        <v>2</v>
      </c>
      <c r="I86" s="2" t="s">
        <v>156</v>
      </c>
      <c r="J86" s="2" t="s">
        <v>393</v>
      </c>
      <c r="K86" s="2" t="s">
        <v>157</v>
      </c>
      <c r="L86" s="2">
        <v>1368</v>
      </c>
      <c r="N86" s="2">
        <v>1011</v>
      </c>
      <c r="O86" s="2" t="s">
        <v>82</v>
      </c>
      <c r="P86" s="2" t="s">
        <v>82</v>
      </c>
      <c r="Q86" s="2">
        <v>1</v>
      </c>
      <c r="X86" s="2">
        <v>0.65</v>
      </c>
      <c r="Y86" s="2">
        <v>0</v>
      </c>
      <c r="Z86" s="2">
        <v>1268.04</v>
      </c>
      <c r="AA86" s="2">
        <v>484.68</v>
      </c>
      <c r="AB86" s="2">
        <v>0</v>
      </c>
      <c r="AC86" s="2">
        <v>0</v>
      </c>
      <c r="AD86" s="2">
        <v>1</v>
      </c>
      <c r="AE86" s="2">
        <v>0</v>
      </c>
      <c r="AF86" s="2" t="s">
        <v>30</v>
      </c>
      <c r="AG86" s="2">
        <v>0.65</v>
      </c>
      <c r="AH86" s="2">
        <v>2</v>
      </c>
      <c r="AI86" s="2">
        <v>52286738</v>
      </c>
      <c r="AJ86" s="2">
        <v>88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</row>
    <row r="87" spans="1:44" x14ac:dyDescent="0.25">
      <c r="A87" s="2">
        <f>ROW('Source (3)'!A198)</f>
        <v>198</v>
      </c>
      <c r="B87" s="2">
        <v>52286749</v>
      </c>
      <c r="C87" s="2">
        <v>52286731</v>
      </c>
      <c r="D87" s="2">
        <v>49680619</v>
      </c>
      <c r="E87" s="2">
        <v>1</v>
      </c>
      <c r="F87" s="2">
        <v>1</v>
      </c>
      <c r="G87" s="2">
        <v>29</v>
      </c>
      <c r="H87" s="2">
        <v>3</v>
      </c>
      <c r="I87" s="2" t="s">
        <v>194</v>
      </c>
      <c r="J87" s="2" t="s">
        <v>196</v>
      </c>
      <c r="K87" s="2" t="s">
        <v>195</v>
      </c>
      <c r="L87" s="2">
        <v>1339</v>
      </c>
      <c r="N87" s="2">
        <v>1007</v>
      </c>
      <c r="O87" s="2" t="s">
        <v>62</v>
      </c>
      <c r="P87" s="2" t="s">
        <v>62</v>
      </c>
      <c r="Q87" s="2">
        <v>1</v>
      </c>
      <c r="X87" s="2">
        <v>126</v>
      </c>
      <c r="Y87" s="2">
        <v>1542.75</v>
      </c>
      <c r="Z87" s="2">
        <v>0</v>
      </c>
      <c r="AA87" s="2">
        <v>0</v>
      </c>
      <c r="AB87" s="2">
        <v>0</v>
      </c>
      <c r="AC87" s="2">
        <v>0</v>
      </c>
      <c r="AD87" s="2">
        <v>1</v>
      </c>
      <c r="AE87" s="2">
        <v>0</v>
      </c>
      <c r="AF87" s="2" t="s">
        <v>30</v>
      </c>
      <c r="AG87" s="2">
        <v>126</v>
      </c>
      <c r="AH87" s="2">
        <v>2</v>
      </c>
      <c r="AI87" s="2">
        <v>52286740</v>
      </c>
      <c r="AJ87" s="2">
        <v>90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</row>
    <row r="88" spans="1:44" x14ac:dyDescent="0.25">
      <c r="A88" s="2">
        <f>ROW('Source (3)'!A198)</f>
        <v>198</v>
      </c>
      <c r="B88" s="2">
        <v>52286750</v>
      </c>
      <c r="C88" s="2">
        <v>52286731</v>
      </c>
      <c r="D88" s="2">
        <v>49681352</v>
      </c>
      <c r="E88" s="2">
        <v>1</v>
      </c>
      <c r="F88" s="2">
        <v>1</v>
      </c>
      <c r="G88" s="2">
        <v>29</v>
      </c>
      <c r="H88" s="2">
        <v>3</v>
      </c>
      <c r="I88" s="2" t="s">
        <v>111</v>
      </c>
      <c r="J88" s="2" t="s">
        <v>367</v>
      </c>
      <c r="K88" s="2" t="s">
        <v>112</v>
      </c>
      <c r="L88" s="2">
        <v>1339</v>
      </c>
      <c r="N88" s="2">
        <v>1007</v>
      </c>
      <c r="O88" s="2" t="s">
        <v>62</v>
      </c>
      <c r="P88" s="2" t="s">
        <v>62</v>
      </c>
      <c r="Q88" s="2">
        <v>1</v>
      </c>
      <c r="X88" s="2">
        <v>7</v>
      </c>
      <c r="Y88" s="2">
        <v>36.31</v>
      </c>
      <c r="Z88" s="2">
        <v>0</v>
      </c>
      <c r="AA88" s="2">
        <v>0</v>
      </c>
      <c r="AB88" s="2">
        <v>0</v>
      </c>
      <c r="AC88" s="2">
        <v>0</v>
      </c>
      <c r="AD88" s="2">
        <v>1</v>
      </c>
      <c r="AE88" s="2">
        <v>0</v>
      </c>
      <c r="AF88" s="2" t="s">
        <v>30</v>
      </c>
      <c r="AG88" s="2">
        <v>7</v>
      </c>
      <c r="AH88" s="2">
        <v>2</v>
      </c>
      <c r="AI88" s="2">
        <v>52286741</v>
      </c>
      <c r="AJ88" s="2">
        <v>91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</row>
    <row r="89" spans="1:44" x14ac:dyDescent="0.25">
      <c r="A89" s="2">
        <f>ROW('Source (3)'!A201)</f>
        <v>201</v>
      </c>
      <c r="B89" s="2">
        <v>52286759</v>
      </c>
      <c r="C89" s="2">
        <v>52286753</v>
      </c>
      <c r="D89" s="2">
        <v>49677488</v>
      </c>
      <c r="E89" s="2">
        <v>29</v>
      </c>
      <c r="F89" s="2">
        <v>1</v>
      </c>
      <c r="G89" s="2">
        <v>29</v>
      </c>
      <c r="H89" s="2">
        <v>1</v>
      </c>
      <c r="I89" s="2" t="s">
        <v>359</v>
      </c>
      <c r="J89" s="2" t="s">
        <v>30</v>
      </c>
      <c r="K89" s="2" t="s">
        <v>360</v>
      </c>
      <c r="L89" s="2">
        <v>1191</v>
      </c>
      <c r="N89" s="2">
        <v>1013</v>
      </c>
      <c r="O89" s="2" t="s">
        <v>361</v>
      </c>
      <c r="P89" s="2" t="s">
        <v>361</v>
      </c>
      <c r="Q89" s="2">
        <v>1</v>
      </c>
      <c r="X89" s="2">
        <v>10.3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1</v>
      </c>
      <c r="AE89" s="2">
        <v>1</v>
      </c>
      <c r="AF89" s="2" t="s">
        <v>30</v>
      </c>
      <c r="AG89" s="2">
        <v>10.3</v>
      </c>
      <c r="AH89" s="2">
        <v>2</v>
      </c>
      <c r="AI89" s="2">
        <v>52286754</v>
      </c>
      <c r="AJ89" s="2">
        <v>92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</row>
    <row r="90" spans="1:44" x14ac:dyDescent="0.25">
      <c r="A90" s="2">
        <f>ROW('Source (3)'!A201)</f>
        <v>201</v>
      </c>
      <c r="B90" s="2">
        <v>52286760</v>
      </c>
      <c r="C90" s="2">
        <v>52286753</v>
      </c>
      <c r="D90" s="2">
        <v>49678594</v>
      </c>
      <c r="E90" s="2">
        <v>1</v>
      </c>
      <c r="F90" s="2">
        <v>1</v>
      </c>
      <c r="G90" s="2">
        <v>29</v>
      </c>
      <c r="H90" s="2">
        <v>2</v>
      </c>
      <c r="I90" s="2" t="s">
        <v>97</v>
      </c>
      <c r="J90" s="2" t="s">
        <v>371</v>
      </c>
      <c r="K90" s="2" t="s">
        <v>98</v>
      </c>
      <c r="L90" s="2">
        <v>1368</v>
      </c>
      <c r="N90" s="2">
        <v>1011</v>
      </c>
      <c r="O90" s="2" t="s">
        <v>82</v>
      </c>
      <c r="P90" s="2" t="s">
        <v>82</v>
      </c>
      <c r="Q90" s="2">
        <v>1</v>
      </c>
      <c r="X90" s="2">
        <v>0.89</v>
      </c>
      <c r="Y90" s="2">
        <v>0</v>
      </c>
      <c r="Z90" s="2">
        <v>1364.68</v>
      </c>
      <c r="AA90" s="2">
        <v>556.52</v>
      </c>
      <c r="AB90" s="2">
        <v>0</v>
      </c>
      <c r="AC90" s="2">
        <v>0</v>
      </c>
      <c r="AD90" s="2">
        <v>1</v>
      </c>
      <c r="AE90" s="2">
        <v>0</v>
      </c>
      <c r="AF90" s="2" t="s">
        <v>30</v>
      </c>
      <c r="AG90" s="2">
        <v>0.89</v>
      </c>
      <c r="AH90" s="2">
        <v>2</v>
      </c>
      <c r="AI90" s="2">
        <v>52286755</v>
      </c>
      <c r="AJ90" s="2">
        <v>93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</row>
    <row r="91" spans="1:44" x14ac:dyDescent="0.25">
      <c r="A91" s="2">
        <f>ROW('Source (3)'!A201)</f>
        <v>201</v>
      </c>
      <c r="B91" s="2">
        <v>52286761</v>
      </c>
      <c r="C91" s="2">
        <v>52286753</v>
      </c>
      <c r="D91" s="2">
        <v>49679414</v>
      </c>
      <c r="E91" s="2">
        <v>1</v>
      </c>
      <c r="F91" s="2">
        <v>1</v>
      </c>
      <c r="G91" s="2">
        <v>29</v>
      </c>
      <c r="H91" s="2">
        <v>3</v>
      </c>
      <c r="I91" s="2" t="s">
        <v>109</v>
      </c>
      <c r="J91" s="2" t="s">
        <v>376</v>
      </c>
      <c r="K91" s="2" t="s">
        <v>110</v>
      </c>
      <c r="L91" s="2">
        <v>1348</v>
      </c>
      <c r="N91" s="2">
        <v>1009</v>
      </c>
      <c r="O91" s="2" t="s">
        <v>63</v>
      </c>
      <c r="P91" s="2" t="s">
        <v>63</v>
      </c>
      <c r="Q91" s="2">
        <v>1000</v>
      </c>
      <c r="X91" s="2">
        <v>0.06</v>
      </c>
      <c r="Y91" s="2">
        <v>34834.18</v>
      </c>
      <c r="Z91" s="2">
        <v>0</v>
      </c>
      <c r="AA91" s="2">
        <v>0</v>
      </c>
      <c r="AB91" s="2">
        <v>0</v>
      </c>
      <c r="AC91" s="2">
        <v>0</v>
      </c>
      <c r="AD91" s="2">
        <v>1</v>
      </c>
      <c r="AE91" s="2">
        <v>0</v>
      </c>
      <c r="AF91" s="2" t="s">
        <v>30</v>
      </c>
      <c r="AG91" s="2">
        <v>0.06</v>
      </c>
      <c r="AH91" s="2">
        <v>2</v>
      </c>
      <c r="AI91" s="2">
        <v>52286756</v>
      </c>
      <c r="AJ91" s="2">
        <v>94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</row>
    <row r="92" spans="1:44" x14ac:dyDescent="0.25">
      <c r="A92" s="2">
        <f>ROW('Source (3)'!A201)</f>
        <v>201</v>
      </c>
      <c r="B92" s="2">
        <v>52286762</v>
      </c>
      <c r="C92" s="2">
        <v>52286753</v>
      </c>
      <c r="D92" s="2">
        <v>49682551</v>
      </c>
      <c r="E92" s="2">
        <v>1</v>
      </c>
      <c r="F92" s="2">
        <v>1</v>
      </c>
      <c r="G92" s="2">
        <v>29</v>
      </c>
      <c r="H92" s="2">
        <v>3</v>
      </c>
      <c r="I92" s="2" t="s">
        <v>160</v>
      </c>
      <c r="J92" s="2" t="s">
        <v>213</v>
      </c>
      <c r="K92" s="2" t="s">
        <v>212</v>
      </c>
      <c r="L92" s="2">
        <v>1348</v>
      </c>
      <c r="N92" s="2">
        <v>1009</v>
      </c>
      <c r="O92" s="2" t="s">
        <v>63</v>
      </c>
      <c r="P92" s="2" t="s">
        <v>63</v>
      </c>
      <c r="Q92" s="2">
        <v>1000</v>
      </c>
      <c r="X92" s="2">
        <v>7.14</v>
      </c>
      <c r="Y92" s="2">
        <v>2954.24</v>
      </c>
      <c r="Z92" s="2">
        <v>0</v>
      </c>
      <c r="AA92" s="2">
        <v>0</v>
      </c>
      <c r="AB92" s="2">
        <v>0</v>
      </c>
      <c r="AC92" s="2">
        <v>0</v>
      </c>
      <c r="AD92" s="2">
        <v>1</v>
      </c>
      <c r="AE92" s="2">
        <v>0</v>
      </c>
      <c r="AF92" s="2" t="s">
        <v>30</v>
      </c>
      <c r="AG92" s="2">
        <v>7.14</v>
      </c>
      <c r="AH92" s="2">
        <v>2</v>
      </c>
      <c r="AI92" s="2">
        <v>52286757</v>
      </c>
      <c r="AJ92" s="2">
        <v>95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</row>
    <row r="93" spans="1:44" x14ac:dyDescent="0.25">
      <c r="A93" s="2">
        <f>ROW('Source (3)'!A239)</f>
        <v>239</v>
      </c>
      <c r="B93" s="2">
        <v>52286770</v>
      </c>
      <c r="C93" s="2">
        <v>52286765</v>
      </c>
      <c r="D93" s="2">
        <v>49677488</v>
      </c>
      <c r="E93" s="2">
        <v>29</v>
      </c>
      <c r="F93" s="2">
        <v>1</v>
      </c>
      <c r="G93" s="2">
        <v>29</v>
      </c>
      <c r="H93" s="2">
        <v>1</v>
      </c>
      <c r="I93" s="2" t="s">
        <v>359</v>
      </c>
      <c r="J93" s="2" t="s">
        <v>30</v>
      </c>
      <c r="K93" s="2" t="s">
        <v>360</v>
      </c>
      <c r="L93" s="2">
        <v>1191</v>
      </c>
      <c r="N93" s="2">
        <v>1013</v>
      </c>
      <c r="O93" s="2" t="s">
        <v>361</v>
      </c>
      <c r="P93" s="2" t="s">
        <v>361</v>
      </c>
      <c r="Q93" s="2">
        <v>1</v>
      </c>
      <c r="X93" s="2">
        <v>30.8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1</v>
      </c>
      <c r="AE93" s="2">
        <v>1</v>
      </c>
      <c r="AF93" s="2" t="s">
        <v>30</v>
      </c>
      <c r="AG93" s="2">
        <v>30.8</v>
      </c>
      <c r="AH93" s="2">
        <v>2</v>
      </c>
      <c r="AI93" s="2">
        <v>52286766</v>
      </c>
      <c r="AJ93" s="2">
        <v>97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</row>
    <row r="94" spans="1:44" x14ac:dyDescent="0.25">
      <c r="A94" s="2">
        <f>ROW('Source (3)'!A239)</f>
        <v>239</v>
      </c>
      <c r="B94" s="2">
        <v>52286771</v>
      </c>
      <c r="C94" s="2">
        <v>52286765</v>
      </c>
      <c r="D94" s="2">
        <v>49679009</v>
      </c>
      <c r="E94" s="2">
        <v>1</v>
      </c>
      <c r="F94" s="2">
        <v>1</v>
      </c>
      <c r="G94" s="2">
        <v>29</v>
      </c>
      <c r="H94" s="2">
        <v>2</v>
      </c>
      <c r="I94" s="2" t="s">
        <v>134</v>
      </c>
      <c r="J94" s="2" t="s">
        <v>384</v>
      </c>
      <c r="K94" s="2" t="s">
        <v>135</v>
      </c>
      <c r="L94" s="2">
        <v>1368</v>
      </c>
      <c r="N94" s="2">
        <v>1011</v>
      </c>
      <c r="O94" s="2" t="s">
        <v>82</v>
      </c>
      <c r="P94" s="2" t="s">
        <v>82</v>
      </c>
      <c r="Q94" s="2">
        <v>1</v>
      </c>
      <c r="X94" s="2">
        <v>0.06</v>
      </c>
      <c r="Y94" s="2">
        <v>0</v>
      </c>
      <c r="Z94" s="2">
        <v>17.07</v>
      </c>
      <c r="AA94" s="2">
        <v>1.45</v>
      </c>
      <c r="AB94" s="2">
        <v>0</v>
      </c>
      <c r="AC94" s="2">
        <v>0</v>
      </c>
      <c r="AD94" s="2">
        <v>1</v>
      </c>
      <c r="AE94" s="2">
        <v>0</v>
      </c>
      <c r="AF94" s="2" t="s">
        <v>30</v>
      </c>
      <c r="AG94" s="2">
        <v>0.06</v>
      </c>
      <c r="AH94" s="2">
        <v>2</v>
      </c>
      <c r="AI94" s="2">
        <v>52286767</v>
      </c>
      <c r="AJ94" s="2">
        <v>98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</row>
    <row r="95" spans="1:44" x14ac:dyDescent="0.25">
      <c r="A95" s="2">
        <f>ROW('Source (3)'!A239)</f>
        <v>239</v>
      </c>
      <c r="B95" s="2">
        <v>52286772</v>
      </c>
      <c r="C95" s="2">
        <v>52286765</v>
      </c>
      <c r="D95" s="2">
        <v>49678455</v>
      </c>
      <c r="E95" s="2">
        <v>1</v>
      </c>
      <c r="F95" s="2">
        <v>1</v>
      </c>
      <c r="G95" s="2">
        <v>29</v>
      </c>
      <c r="H95" s="2">
        <v>2</v>
      </c>
      <c r="I95" s="2" t="s">
        <v>136</v>
      </c>
      <c r="J95" s="2" t="s">
        <v>385</v>
      </c>
      <c r="K95" s="2" t="s">
        <v>137</v>
      </c>
      <c r="L95" s="2">
        <v>1368</v>
      </c>
      <c r="N95" s="2">
        <v>1011</v>
      </c>
      <c r="O95" s="2" t="s">
        <v>82</v>
      </c>
      <c r="P95" s="2" t="s">
        <v>82</v>
      </c>
      <c r="Q95" s="2">
        <v>1</v>
      </c>
      <c r="X95" s="2">
        <v>0.06</v>
      </c>
      <c r="Y95" s="2">
        <v>0</v>
      </c>
      <c r="Z95" s="2">
        <v>1060.5899999999999</v>
      </c>
      <c r="AA95" s="2">
        <v>378.83</v>
      </c>
      <c r="AB95" s="2">
        <v>0</v>
      </c>
      <c r="AC95" s="2">
        <v>0</v>
      </c>
      <c r="AD95" s="2">
        <v>1</v>
      </c>
      <c r="AE95" s="2">
        <v>0</v>
      </c>
      <c r="AF95" s="2" t="s">
        <v>30</v>
      </c>
      <c r="AG95" s="2">
        <v>0.06</v>
      </c>
      <c r="AH95" s="2">
        <v>2</v>
      </c>
      <c r="AI95" s="2">
        <v>52286768</v>
      </c>
      <c r="AJ95" s="2">
        <v>99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</row>
    <row r="96" spans="1:44" x14ac:dyDescent="0.25">
      <c r="A96" s="2">
        <f>ROW('Source (3)'!A239)</f>
        <v>239</v>
      </c>
      <c r="B96" s="2">
        <v>52286773</v>
      </c>
      <c r="C96" s="2">
        <v>52286765</v>
      </c>
      <c r="D96" s="2">
        <v>49683083</v>
      </c>
      <c r="E96" s="2">
        <v>1</v>
      </c>
      <c r="F96" s="2">
        <v>1</v>
      </c>
      <c r="G96" s="2">
        <v>29</v>
      </c>
      <c r="H96" s="2">
        <v>3</v>
      </c>
      <c r="I96" s="2" t="s">
        <v>141</v>
      </c>
      <c r="J96" s="2" t="s">
        <v>386</v>
      </c>
      <c r="K96" s="2" t="s">
        <v>142</v>
      </c>
      <c r="L96" s="2">
        <v>1339</v>
      </c>
      <c r="N96" s="2">
        <v>1007</v>
      </c>
      <c r="O96" s="2" t="s">
        <v>62</v>
      </c>
      <c r="P96" s="2" t="s">
        <v>62</v>
      </c>
      <c r="Q96" s="2">
        <v>1</v>
      </c>
      <c r="X96" s="2">
        <v>15</v>
      </c>
      <c r="Y96" s="2">
        <v>790.5</v>
      </c>
      <c r="Z96" s="2">
        <v>0</v>
      </c>
      <c r="AA96" s="2">
        <v>0</v>
      </c>
      <c r="AB96" s="2">
        <v>0</v>
      </c>
      <c r="AC96" s="2">
        <v>0</v>
      </c>
      <c r="AD96" s="2">
        <v>1</v>
      </c>
      <c r="AE96" s="2">
        <v>0</v>
      </c>
      <c r="AF96" s="2" t="s">
        <v>30</v>
      </c>
      <c r="AG96" s="2">
        <v>15</v>
      </c>
      <c r="AH96" s="2">
        <v>2</v>
      </c>
      <c r="AI96" s="2">
        <v>52286769</v>
      </c>
      <c r="AJ96" s="2">
        <v>100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</row>
    <row r="97" spans="1:44" x14ac:dyDescent="0.25">
      <c r="A97" s="2">
        <f>ROW('Source (3)'!A240)</f>
        <v>240</v>
      </c>
      <c r="B97" s="2">
        <v>52286777</v>
      </c>
      <c r="C97" s="2">
        <v>52286774</v>
      </c>
      <c r="D97" s="2">
        <v>49677488</v>
      </c>
      <c r="E97" s="2">
        <v>29</v>
      </c>
      <c r="F97" s="2">
        <v>1</v>
      </c>
      <c r="G97" s="2">
        <v>29</v>
      </c>
      <c r="H97" s="2">
        <v>1</v>
      </c>
      <c r="I97" s="2" t="s">
        <v>359</v>
      </c>
      <c r="J97" s="2" t="s">
        <v>30</v>
      </c>
      <c r="K97" s="2" t="s">
        <v>360</v>
      </c>
      <c r="L97" s="2">
        <v>1191</v>
      </c>
      <c r="N97" s="2">
        <v>1013</v>
      </c>
      <c r="O97" s="2" t="s">
        <v>361</v>
      </c>
      <c r="P97" s="2" t="s">
        <v>361</v>
      </c>
      <c r="Q97" s="2">
        <v>1</v>
      </c>
      <c r="X97" s="2">
        <v>46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1</v>
      </c>
      <c r="AE97" s="2">
        <v>1</v>
      </c>
      <c r="AF97" s="2" t="s">
        <v>30</v>
      </c>
      <c r="AG97" s="2">
        <v>46</v>
      </c>
      <c r="AH97" s="2">
        <v>2</v>
      </c>
      <c r="AI97" s="2">
        <v>52286775</v>
      </c>
      <c r="AJ97" s="2">
        <v>101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</row>
    <row r="98" spans="1:44" x14ac:dyDescent="0.25">
      <c r="A98" s="2">
        <f>ROW('Source (3)'!A240)</f>
        <v>240</v>
      </c>
      <c r="B98" s="2">
        <v>52286778</v>
      </c>
      <c r="C98" s="2">
        <v>52286774</v>
      </c>
      <c r="D98" s="2">
        <v>49683083</v>
      </c>
      <c r="E98" s="2">
        <v>1</v>
      </c>
      <c r="F98" s="2">
        <v>1</v>
      </c>
      <c r="G98" s="2">
        <v>29</v>
      </c>
      <c r="H98" s="2">
        <v>3</v>
      </c>
      <c r="I98" s="2" t="s">
        <v>141</v>
      </c>
      <c r="J98" s="2" t="s">
        <v>386</v>
      </c>
      <c r="K98" s="2" t="s">
        <v>142</v>
      </c>
      <c r="L98" s="2">
        <v>1339</v>
      </c>
      <c r="N98" s="2">
        <v>1007</v>
      </c>
      <c r="O98" s="2" t="s">
        <v>62</v>
      </c>
      <c r="P98" s="2" t="s">
        <v>62</v>
      </c>
      <c r="Q98" s="2">
        <v>1</v>
      </c>
      <c r="X98" s="2">
        <v>15</v>
      </c>
      <c r="Y98" s="2">
        <v>790.5</v>
      </c>
      <c r="Z98" s="2">
        <v>0</v>
      </c>
      <c r="AA98" s="2">
        <v>0</v>
      </c>
      <c r="AB98" s="2">
        <v>0</v>
      </c>
      <c r="AC98" s="2">
        <v>0</v>
      </c>
      <c r="AD98" s="2">
        <v>1</v>
      </c>
      <c r="AE98" s="2">
        <v>0</v>
      </c>
      <c r="AF98" s="2" t="s">
        <v>30</v>
      </c>
      <c r="AG98" s="2">
        <v>15</v>
      </c>
      <c r="AH98" s="2">
        <v>2</v>
      </c>
      <c r="AI98" s="2">
        <v>52286776</v>
      </c>
      <c r="AJ98" s="2">
        <v>102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</row>
    <row r="99" spans="1:44" x14ac:dyDescent="0.25">
      <c r="A99" s="2">
        <f>ROW('Source (3)'!A241)</f>
        <v>241</v>
      </c>
      <c r="B99" s="2">
        <v>52286782</v>
      </c>
      <c r="C99" s="2">
        <v>52286779</v>
      </c>
      <c r="D99" s="2">
        <v>49677488</v>
      </c>
      <c r="E99" s="2">
        <v>29</v>
      </c>
      <c r="F99" s="2">
        <v>1</v>
      </c>
      <c r="G99" s="2">
        <v>29</v>
      </c>
      <c r="H99" s="2">
        <v>1</v>
      </c>
      <c r="I99" s="2" t="s">
        <v>359</v>
      </c>
      <c r="J99" s="2" t="s">
        <v>30</v>
      </c>
      <c r="K99" s="2" t="s">
        <v>360</v>
      </c>
      <c r="L99" s="2">
        <v>1191</v>
      </c>
      <c r="N99" s="2">
        <v>1013</v>
      </c>
      <c r="O99" s="2" t="s">
        <v>361</v>
      </c>
      <c r="P99" s="2" t="s">
        <v>361</v>
      </c>
      <c r="Q99" s="2">
        <v>1</v>
      </c>
      <c r="X99" s="2">
        <v>6.29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1</v>
      </c>
      <c r="AE99" s="2">
        <v>1</v>
      </c>
      <c r="AF99" s="2" t="s">
        <v>30</v>
      </c>
      <c r="AG99" s="2">
        <v>6.29</v>
      </c>
      <c r="AH99" s="2">
        <v>2</v>
      </c>
      <c r="AI99" s="2">
        <v>52286780</v>
      </c>
      <c r="AJ99" s="2">
        <v>103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</row>
    <row r="100" spans="1:44" x14ac:dyDescent="0.25">
      <c r="A100" s="2">
        <f>ROW('Source (3)'!A241)</f>
        <v>241</v>
      </c>
      <c r="B100" s="2">
        <v>52286783</v>
      </c>
      <c r="C100" s="2">
        <v>52286779</v>
      </c>
      <c r="D100" s="2">
        <v>49683083</v>
      </c>
      <c r="E100" s="2">
        <v>1</v>
      </c>
      <c r="F100" s="2">
        <v>1</v>
      </c>
      <c r="G100" s="2">
        <v>29</v>
      </c>
      <c r="H100" s="2">
        <v>3</v>
      </c>
      <c r="I100" s="2" t="s">
        <v>141</v>
      </c>
      <c r="J100" s="2" t="s">
        <v>386</v>
      </c>
      <c r="K100" s="2" t="s">
        <v>142</v>
      </c>
      <c r="L100" s="2">
        <v>1339</v>
      </c>
      <c r="N100" s="2">
        <v>1007</v>
      </c>
      <c r="O100" s="2" t="s">
        <v>62</v>
      </c>
      <c r="P100" s="2" t="s">
        <v>62</v>
      </c>
      <c r="Q100" s="2">
        <v>1</v>
      </c>
      <c r="X100" s="2">
        <v>5</v>
      </c>
      <c r="Y100" s="2">
        <v>790.5</v>
      </c>
      <c r="Z100" s="2">
        <v>0</v>
      </c>
      <c r="AA100" s="2">
        <v>0</v>
      </c>
      <c r="AB100" s="2">
        <v>0</v>
      </c>
      <c r="AC100" s="2">
        <v>0</v>
      </c>
      <c r="AD100" s="2">
        <v>1</v>
      </c>
      <c r="AE100" s="2">
        <v>0</v>
      </c>
      <c r="AF100" s="2" t="s">
        <v>30</v>
      </c>
      <c r="AG100" s="2">
        <v>5</v>
      </c>
      <c r="AH100" s="2">
        <v>2</v>
      </c>
      <c r="AI100" s="2">
        <v>52286781</v>
      </c>
      <c r="AJ100" s="2">
        <v>104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</row>
    <row r="101" spans="1:44" x14ac:dyDescent="0.25">
      <c r="A101" s="2">
        <f>ROW('Source (3)'!A242)</f>
        <v>242</v>
      </c>
      <c r="B101" s="2">
        <v>52286788</v>
      </c>
      <c r="C101" s="2">
        <v>52286784</v>
      </c>
      <c r="D101" s="2">
        <v>49677488</v>
      </c>
      <c r="E101" s="2">
        <v>29</v>
      </c>
      <c r="F101" s="2">
        <v>1</v>
      </c>
      <c r="G101" s="2">
        <v>29</v>
      </c>
      <c r="H101" s="2">
        <v>1</v>
      </c>
      <c r="I101" s="2" t="s">
        <v>359</v>
      </c>
      <c r="J101" s="2" t="s">
        <v>30</v>
      </c>
      <c r="K101" s="2" t="s">
        <v>360</v>
      </c>
      <c r="L101" s="2">
        <v>1191</v>
      </c>
      <c r="N101" s="2">
        <v>1013</v>
      </c>
      <c r="O101" s="2" t="s">
        <v>361</v>
      </c>
      <c r="P101" s="2" t="s">
        <v>361</v>
      </c>
      <c r="Q101" s="2">
        <v>1</v>
      </c>
      <c r="X101" s="2">
        <v>6.04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1</v>
      </c>
      <c r="AE101" s="2">
        <v>1</v>
      </c>
      <c r="AF101" s="2" t="s">
        <v>30</v>
      </c>
      <c r="AG101" s="2">
        <v>6.04</v>
      </c>
      <c r="AH101" s="2">
        <v>2</v>
      </c>
      <c r="AI101" s="2">
        <v>52286785</v>
      </c>
      <c r="AJ101" s="2">
        <v>105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</row>
    <row r="102" spans="1:44" x14ac:dyDescent="0.25">
      <c r="A102" s="2">
        <f>ROW('Source (3)'!A242)</f>
        <v>242</v>
      </c>
      <c r="B102" s="2">
        <v>52286789</v>
      </c>
      <c r="C102" s="2">
        <v>52286784</v>
      </c>
      <c r="D102" s="2">
        <v>49681352</v>
      </c>
      <c r="E102" s="2">
        <v>1</v>
      </c>
      <c r="F102" s="2">
        <v>1</v>
      </c>
      <c r="G102" s="2">
        <v>29</v>
      </c>
      <c r="H102" s="2">
        <v>3</v>
      </c>
      <c r="I102" s="2" t="s">
        <v>111</v>
      </c>
      <c r="J102" s="2" t="s">
        <v>367</v>
      </c>
      <c r="K102" s="2" t="s">
        <v>112</v>
      </c>
      <c r="L102" s="2">
        <v>1339</v>
      </c>
      <c r="N102" s="2">
        <v>1007</v>
      </c>
      <c r="O102" s="2" t="s">
        <v>62</v>
      </c>
      <c r="P102" s="2" t="s">
        <v>62</v>
      </c>
      <c r="Q102" s="2">
        <v>1</v>
      </c>
      <c r="X102" s="2">
        <v>10</v>
      </c>
      <c r="Y102" s="2">
        <v>36.31</v>
      </c>
      <c r="Z102" s="2">
        <v>0</v>
      </c>
      <c r="AA102" s="2">
        <v>0</v>
      </c>
      <c r="AB102" s="2">
        <v>0</v>
      </c>
      <c r="AC102" s="2">
        <v>0</v>
      </c>
      <c r="AD102" s="2">
        <v>1</v>
      </c>
      <c r="AE102" s="2">
        <v>0</v>
      </c>
      <c r="AF102" s="2" t="s">
        <v>30</v>
      </c>
      <c r="AG102" s="2">
        <v>10</v>
      </c>
      <c r="AH102" s="2">
        <v>2</v>
      </c>
      <c r="AI102" s="2">
        <v>52286786</v>
      </c>
      <c r="AJ102" s="2">
        <v>106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</row>
    <row r="103" spans="1:44" x14ac:dyDescent="0.25">
      <c r="A103" s="2">
        <f>ROW('Source (3)'!A242)</f>
        <v>242</v>
      </c>
      <c r="B103" s="2">
        <v>52286790</v>
      </c>
      <c r="C103" s="2">
        <v>52286784</v>
      </c>
      <c r="D103" s="2">
        <v>49683088</v>
      </c>
      <c r="E103" s="2">
        <v>1</v>
      </c>
      <c r="F103" s="2">
        <v>1</v>
      </c>
      <c r="G103" s="2">
        <v>29</v>
      </c>
      <c r="H103" s="2">
        <v>3</v>
      </c>
      <c r="I103" s="2" t="s">
        <v>138</v>
      </c>
      <c r="J103" s="2" t="s">
        <v>387</v>
      </c>
      <c r="K103" s="2" t="s">
        <v>139</v>
      </c>
      <c r="L103" s="2">
        <v>1346</v>
      </c>
      <c r="N103" s="2">
        <v>1009</v>
      </c>
      <c r="O103" s="2" t="s">
        <v>140</v>
      </c>
      <c r="P103" s="2" t="s">
        <v>140</v>
      </c>
      <c r="Q103" s="2">
        <v>1</v>
      </c>
      <c r="X103" s="2">
        <v>4</v>
      </c>
      <c r="Y103" s="2">
        <v>331.36</v>
      </c>
      <c r="Z103" s="2">
        <v>0</v>
      </c>
      <c r="AA103" s="2">
        <v>0</v>
      </c>
      <c r="AB103" s="2">
        <v>0</v>
      </c>
      <c r="AC103" s="2">
        <v>0</v>
      </c>
      <c r="AD103" s="2">
        <v>1</v>
      </c>
      <c r="AE103" s="2">
        <v>0</v>
      </c>
      <c r="AF103" s="2" t="s">
        <v>30</v>
      </c>
      <c r="AG103" s="2">
        <v>4</v>
      </c>
      <c r="AH103" s="2">
        <v>2</v>
      </c>
      <c r="AI103" s="2">
        <v>52286787</v>
      </c>
      <c r="AJ103" s="2">
        <v>107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</row>
    <row r="104" spans="1:44" x14ac:dyDescent="0.25">
      <c r="A104" s="2">
        <f>ROW('Source (3)'!A278)</f>
        <v>278</v>
      </c>
      <c r="B104" s="2">
        <v>52287336</v>
      </c>
      <c r="C104" s="2">
        <v>52287332</v>
      </c>
      <c r="D104" s="2">
        <v>49677488</v>
      </c>
      <c r="E104" s="2">
        <v>29</v>
      </c>
      <c r="F104" s="2">
        <v>1</v>
      </c>
      <c r="G104" s="2">
        <v>29</v>
      </c>
      <c r="H104" s="2">
        <v>1</v>
      </c>
      <c r="I104" s="2" t="s">
        <v>359</v>
      </c>
      <c r="J104" s="2" t="s">
        <v>30</v>
      </c>
      <c r="K104" s="2" t="s">
        <v>360</v>
      </c>
      <c r="L104" s="2">
        <v>1191</v>
      </c>
      <c r="N104" s="2">
        <v>1013</v>
      </c>
      <c r="O104" s="2" t="s">
        <v>361</v>
      </c>
      <c r="P104" s="2" t="s">
        <v>361</v>
      </c>
      <c r="Q104" s="2">
        <v>1</v>
      </c>
      <c r="X104" s="2">
        <v>8.5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1</v>
      </c>
      <c r="AE104" s="2">
        <v>1</v>
      </c>
      <c r="AF104" s="2" t="s">
        <v>30</v>
      </c>
      <c r="AG104" s="2">
        <v>8.5</v>
      </c>
      <c r="AH104" s="2">
        <v>2</v>
      </c>
      <c r="AI104" s="2">
        <v>52287333</v>
      </c>
      <c r="AJ104" s="2">
        <v>108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</row>
    <row r="105" spans="1:44" x14ac:dyDescent="0.25">
      <c r="A105" s="2">
        <f>ROW('Source (3)'!A278)</f>
        <v>278</v>
      </c>
      <c r="B105" s="2">
        <v>52287337</v>
      </c>
      <c r="C105" s="2">
        <v>52287332</v>
      </c>
      <c r="D105" s="2">
        <v>49679251</v>
      </c>
      <c r="E105" s="2">
        <v>1</v>
      </c>
      <c r="F105" s="2">
        <v>1</v>
      </c>
      <c r="G105" s="2">
        <v>29</v>
      </c>
      <c r="H105" s="2">
        <v>2</v>
      </c>
      <c r="I105" s="2" t="s">
        <v>410</v>
      </c>
      <c r="J105" s="2" t="s">
        <v>469</v>
      </c>
      <c r="K105" s="2" t="s">
        <v>411</v>
      </c>
      <c r="L105" s="2">
        <v>1368</v>
      </c>
      <c r="N105" s="2">
        <v>1011</v>
      </c>
      <c r="O105" s="2" t="s">
        <v>82</v>
      </c>
      <c r="P105" s="2" t="s">
        <v>82</v>
      </c>
      <c r="Q105" s="2">
        <v>1</v>
      </c>
      <c r="X105" s="2">
        <v>8.5</v>
      </c>
      <c r="Y105" s="2">
        <v>0</v>
      </c>
      <c r="Z105" s="2">
        <v>3.14</v>
      </c>
      <c r="AA105" s="2">
        <v>0.01</v>
      </c>
      <c r="AB105" s="2">
        <v>0</v>
      </c>
      <c r="AC105" s="2">
        <v>0</v>
      </c>
      <c r="AD105" s="2">
        <v>1</v>
      </c>
      <c r="AE105" s="2">
        <v>0</v>
      </c>
      <c r="AF105" s="2" t="s">
        <v>30</v>
      </c>
      <c r="AG105" s="2">
        <v>8.5</v>
      </c>
      <c r="AH105" s="2">
        <v>2</v>
      </c>
      <c r="AI105" s="2">
        <v>52287334</v>
      </c>
      <c r="AJ105" s="2">
        <v>109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</row>
    <row r="106" spans="1:44" x14ac:dyDescent="0.25">
      <c r="A106" s="2">
        <f>ROW('Source (3)'!A278)</f>
        <v>278</v>
      </c>
      <c r="B106" s="2">
        <v>52287338</v>
      </c>
      <c r="C106" s="2">
        <v>52287332</v>
      </c>
      <c r="D106" s="2">
        <v>49683646</v>
      </c>
      <c r="E106" s="2">
        <v>1</v>
      </c>
      <c r="F106" s="2">
        <v>1</v>
      </c>
      <c r="G106" s="2">
        <v>29</v>
      </c>
      <c r="H106" s="2">
        <v>3</v>
      </c>
      <c r="I106" s="2" t="s">
        <v>412</v>
      </c>
      <c r="J106" s="2" t="s">
        <v>470</v>
      </c>
      <c r="K106" s="2" t="s">
        <v>413</v>
      </c>
      <c r="L106" s="2">
        <v>1354</v>
      </c>
      <c r="N106" s="2">
        <v>1010</v>
      </c>
      <c r="O106" s="2" t="s">
        <v>67</v>
      </c>
      <c r="P106" s="2" t="s">
        <v>67</v>
      </c>
      <c r="Q106" s="2">
        <v>1</v>
      </c>
      <c r="X106" s="2">
        <v>10</v>
      </c>
      <c r="Y106" s="2">
        <v>1059.3499999999999</v>
      </c>
      <c r="Z106" s="2">
        <v>0</v>
      </c>
      <c r="AA106" s="2">
        <v>0</v>
      </c>
      <c r="AB106" s="2">
        <v>0</v>
      </c>
      <c r="AC106" s="2">
        <v>0</v>
      </c>
      <c r="AD106" s="2">
        <v>1</v>
      </c>
      <c r="AE106" s="2">
        <v>0</v>
      </c>
      <c r="AF106" s="2" t="s">
        <v>30</v>
      </c>
      <c r="AG106" s="2">
        <v>10</v>
      </c>
      <c r="AH106" s="2">
        <v>2</v>
      </c>
      <c r="AI106" s="2">
        <v>52287335</v>
      </c>
      <c r="AJ106" s="2">
        <v>110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</row>
    <row r="107" spans="1:44" x14ac:dyDescent="0.25">
      <c r="A107" s="2">
        <f>ROW('Source (3)'!A279)</f>
        <v>279</v>
      </c>
      <c r="B107" s="2">
        <v>52287378</v>
      </c>
      <c r="C107" s="2">
        <v>52287373</v>
      </c>
      <c r="D107" s="2">
        <v>49677488</v>
      </c>
      <c r="E107" s="2">
        <v>29</v>
      </c>
      <c r="F107" s="2">
        <v>1</v>
      </c>
      <c r="G107" s="2">
        <v>29</v>
      </c>
      <c r="H107" s="2">
        <v>1</v>
      </c>
      <c r="I107" s="2" t="s">
        <v>359</v>
      </c>
      <c r="J107" s="2" t="s">
        <v>30</v>
      </c>
      <c r="K107" s="2" t="s">
        <v>360</v>
      </c>
      <c r="L107" s="2">
        <v>1191</v>
      </c>
      <c r="N107" s="2">
        <v>1013</v>
      </c>
      <c r="O107" s="2" t="s">
        <v>361</v>
      </c>
      <c r="P107" s="2" t="s">
        <v>361</v>
      </c>
      <c r="Q107" s="2">
        <v>1</v>
      </c>
      <c r="X107" s="2">
        <v>15.41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1</v>
      </c>
      <c r="AE107" s="2">
        <v>1</v>
      </c>
      <c r="AF107" s="2" t="s">
        <v>30</v>
      </c>
      <c r="AG107" s="2">
        <v>15.41</v>
      </c>
      <c r="AH107" s="2">
        <v>2</v>
      </c>
      <c r="AI107" s="2">
        <v>52287374</v>
      </c>
      <c r="AJ107" s="2">
        <v>111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</row>
    <row r="108" spans="1:44" x14ac:dyDescent="0.25">
      <c r="A108" s="2">
        <f>ROW('Source (3)'!A279)</f>
        <v>279</v>
      </c>
      <c r="B108" s="2">
        <v>52287379</v>
      </c>
      <c r="C108" s="2">
        <v>52287373</v>
      </c>
      <c r="D108" s="2">
        <v>49683719</v>
      </c>
      <c r="E108" s="2">
        <v>1</v>
      </c>
      <c r="F108" s="2">
        <v>1</v>
      </c>
      <c r="G108" s="2">
        <v>29</v>
      </c>
      <c r="H108" s="2">
        <v>3</v>
      </c>
      <c r="I108" s="2" t="s">
        <v>459</v>
      </c>
      <c r="J108" s="2" t="s">
        <v>461</v>
      </c>
      <c r="K108" s="2" t="s">
        <v>460</v>
      </c>
      <c r="L108" s="2">
        <v>1355</v>
      </c>
      <c r="N108" s="2">
        <v>1010</v>
      </c>
      <c r="O108" s="2" t="s">
        <v>66</v>
      </c>
      <c r="P108" s="2" t="s">
        <v>66</v>
      </c>
      <c r="Q108" s="2">
        <v>100</v>
      </c>
      <c r="X108" s="2">
        <v>0.5</v>
      </c>
      <c r="Y108" s="2">
        <v>156380.45000000001</v>
      </c>
      <c r="Z108" s="2">
        <v>0</v>
      </c>
      <c r="AA108" s="2">
        <v>0</v>
      </c>
      <c r="AB108" s="2">
        <v>0</v>
      </c>
      <c r="AC108" s="2">
        <v>0</v>
      </c>
      <c r="AD108" s="2">
        <v>1</v>
      </c>
      <c r="AE108" s="2">
        <v>0</v>
      </c>
      <c r="AF108" s="2" t="s">
        <v>30</v>
      </c>
      <c r="AG108" s="2">
        <v>0.5</v>
      </c>
      <c r="AH108" s="2">
        <v>2</v>
      </c>
      <c r="AI108" s="2">
        <v>52287375</v>
      </c>
      <c r="AJ108" s="2">
        <v>112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</row>
    <row r="109" spans="1:44" x14ac:dyDescent="0.25">
      <c r="A109" s="2">
        <f>ROW('Source (3)'!A279)</f>
        <v>279</v>
      </c>
      <c r="B109" s="2">
        <v>52287380</v>
      </c>
      <c r="C109" s="2">
        <v>52287373</v>
      </c>
      <c r="D109" s="2">
        <v>49683718</v>
      </c>
      <c r="E109" s="2">
        <v>1</v>
      </c>
      <c r="F109" s="2">
        <v>1</v>
      </c>
      <c r="G109" s="2">
        <v>29</v>
      </c>
      <c r="H109" s="2">
        <v>3</v>
      </c>
      <c r="I109" s="2" t="s">
        <v>463</v>
      </c>
      <c r="J109" s="2" t="s">
        <v>465</v>
      </c>
      <c r="K109" s="2" t="s">
        <v>464</v>
      </c>
      <c r="L109" s="2">
        <v>1355</v>
      </c>
      <c r="N109" s="2">
        <v>1010</v>
      </c>
      <c r="O109" s="2" t="s">
        <v>66</v>
      </c>
      <c r="P109" s="2" t="s">
        <v>66</v>
      </c>
      <c r="Q109" s="2">
        <v>100</v>
      </c>
      <c r="X109" s="2">
        <v>0.5</v>
      </c>
      <c r="Y109" s="2">
        <v>142651.44</v>
      </c>
      <c r="Z109" s="2">
        <v>0</v>
      </c>
      <c r="AA109" s="2">
        <v>0</v>
      </c>
      <c r="AB109" s="2">
        <v>0</v>
      </c>
      <c r="AC109" s="2">
        <v>0</v>
      </c>
      <c r="AD109" s="2">
        <v>1</v>
      </c>
      <c r="AE109" s="2">
        <v>0</v>
      </c>
      <c r="AF109" s="2" t="s">
        <v>30</v>
      </c>
      <c r="AG109" s="2">
        <v>0.5</v>
      </c>
      <c r="AH109" s="2">
        <v>2</v>
      </c>
      <c r="AI109" s="2">
        <v>52287376</v>
      </c>
      <c r="AJ109" s="2">
        <v>113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0A479-7512-4043-B512-DF77B857BAD5}">
  <sheetPr>
    <pageSetUpPr fitToPage="1"/>
  </sheetPr>
  <dimension ref="A1:E51"/>
  <sheetViews>
    <sheetView zoomScaleNormal="100" workbookViewId="0">
      <selection activeCell="I192" sqref="I192"/>
    </sheetView>
  </sheetViews>
  <sheetFormatPr defaultColWidth="9.1796875" defaultRowHeight="12.5" x14ac:dyDescent="0.25"/>
  <cols>
    <col min="1" max="1" width="6.7265625" style="2" customWidth="1"/>
    <col min="2" max="2" width="75.7265625" style="2" customWidth="1"/>
    <col min="3" max="5" width="15.7265625" style="2" customWidth="1"/>
    <col min="6" max="29" width="9.1796875" style="2"/>
    <col min="30" max="32" width="0" style="2" hidden="1" customWidth="1"/>
    <col min="33" max="16384" width="9.1796875" style="2"/>
  </cols>
  <sheetData>
    <row r="1" spans="1:5" x14ac:dyDescent="0.25">
      <c r="A1" s="1" t="str">
        <f>'Source (2)'!B1</f>
        <v>Smeta.RU  (495) 974-1589</v>
      </c>
    </row>
    <row r="2" spans="1:5" ht="14" x14ac:dyDescent="0.3">
      <c r="C2" s="4"/>
      <c r="D2" s="4"/>
    </row>
    <row r="3" spans="1:5" ht="14" x14ac:dyDescent="0.3">
      <c r="C3" s="4"/>
      <c r="D3" s="23" t="s">
        <v>0</v>
      </c>
    </row>
    <row r="4" spans="1:5" ht="14" x14ac:dyDescent="0.3">
      <c r="C4" s="23"/>
      <c r="D4" s="23"/>
    </row>
    <row r="5" spans="1:5" ht="14" x14ac:dyDescent="0.3">
      <c r="C5" s="69" t="s">
        <v>47</v>
      </c>
      <c r="D5" s="69"/>
    </row>
    <row r="6" spans="1:5" ht="14" x14ac:dyDescent="0.3">
      <c r="C6" s="23"/>
      <c r="D6" s="23"/>
    </row>
    <row r="7" spans="1:5" ht="14" x14ac:dyDescent="0.3">
      <c r="C7" s="69" t="s">
        <v>47</v>
      </c>
      <c r="D7" s="69"/>
    </row>
    <row r="8" spans="1:5" ht="14" x14ac:dyDescent="0.3">
      <c r="C8" s="23"/>
      <c r="D8" s="23"/>
    </row>
    <row r="9" spans="1:5" ht="14" x14ac:dyDescent="0.3">
      <c r="C9" s="23" t="s">
        <v>48</v>
      </c>
      <c r="D9" s="4"/>
    </row>
    <row r="10" spans="1:5" ht="14" x14ac:dyDescent="0.3">
      <c r="A10" s="4"/>
      <c r="B10" s="4"/>
      <c r="C10" s="4"/>
      <c r="D10" s="4"/>
      <c r="E10" s="4"/>
    </row>
    <row r="11" spans="1:5" ht="15.5" x14ac:dyDescent="0.35">
      <c r="A11" s="86" t="str">
        <f>CONCATENATE("Дефектный акт ", IF('Source (2)'!AN15&lt;&gt;"", 'Source (2)'!AN15," "))</f>
        <v xml:space="preserve">Дефектный акт  </v>
      </c>
      <c r="B11" s="86"/>
      <c r="C11" s="86"/>
      <c r="D11" s="86"/>
      <c r="E11" s="4"/>
    </row>
    <row r="12" spans="1:5" ht="14" x14ac:dyDescent="0.3">
      <c r="A12" s="87" t="str">
        <f>CONCATENATE("На капитальный ремонт ", 'Source (2)'!F12, " ", 'Source (2)'!G12)</f>
        <v>На капитальный ремонт Г43 в ценах 2022г. Г19 к.2 -ремонт АБП</v>
      </c>
      <c r="B12" s="87"/>
      <c r="C12" s="87"/>
      <c r="D12" s="87"/>
      <c r="E12" s="4"/>
    </row>
    <row r="13" spans="1:5" ht="14" x14ac:dyDescent="0.3">
      <c r="A13" s="4"/>
      <c r="B13" s="4"/>
      <c r="C13" s="4"/>
      <c r="D13" s="4"/>
      <c r="E13" s="4"/>
    </row>
    <row r="14" spans="1:5" ht="14" x14ac:dyDescent="0.3">
      <c r="A14" s="4"/>
      <c r="B14" s="24" t="s">
        <v>49</v>
      </c>
      <c r="C14" s="4"/>
      <c r="D14" s="4"/>
      <c r="E14" s="4"/>
    </row>
    <row r="15" spans="1:5" ht="14" x14ac:dyDescent="0.3">
      <c r="A15" s="4"/>
      <c r="B15" s="24" t="s">
        <v>50</v>
      </c>
      <c r="C15" s="4"/>
      <c r="D15" s="4"/>
      <c r="E15" s="4"/>
    </row>
    <row r="16" spans="1:5" ht="14" x14ac:dyDescent="0.3">
      <c r="A16" s="4"/>
      <c r="B16" s="24" t="s">
        <v>51</v>
      </c>
      <c r="C16" s="4"/>
      <c r="D16" s="4"/>
      <c r="E16" s="4"/>
    </row>
    <row r="17" spans="1:5" ht="28" x14ac:dyDescent="0.25">
      <c r="A17" s="8" t="s">
        <v>52</v>
      </c>
      <c r="B17" s="8" t="s">
        <v>8</v>
      </c>
      <c r="C17" s="8" t="s">
        <v>9</v>
      </c>
      <c r="D17" s="8" t="s">
        <v>53</v>
      </c>
      <c r="E17" s="25" t="s">
        <v>54</v>
      </c>
    </row>
    <row r="18" spans="1:5" ht="14" x14ac:dyDescent="0.3">
      <c r="A18" s="26">
        <v>1</v>
      </c>
      <c r="B18" s="26">
        <v>2</v>
      </c>
      <c r="C18" s="26">
        <v>3</v>
      </c>
      <c r="D18" s="26">
        <v>4</v>
      </c>
      <c r="E18" s="26">
        <v>5</v>
      </c>
    </row>
    <row r="19" spans="1:5" ht="16.5" x14ac:dyDescent="0.35">
      <c r="A19" s="85" t="str">
        <f>CONCATENATE("Локальная смета: ", 'Source (2)'!G20)</f>
        <v>Локальная смета: Новая локальная смета</v>
      </c>
      <c r="B19" s="85"/>
      <c r="C19" s="85"/>
      <c r="D19" s="85"/>
      <c r="E19" s="85"/>
    </row>
    <row r="20" spans="1:5" ht="16.5" x14ac:dyDescent="0.35">
      <c r="A20" s="85" t="str">
        <f>CONCATENATE("Раздел: ", 'Source (2)'!G24)</f>
        <v>Раздел: Ремонт дорожно-тропиночной сети с асфальтобетонным покрытием  - 1294 м2</v>
      </c>
      <c r="B20" s="85"/>
      <c r="C20" s="85"/>
      <c r="D20" s="85"/>
      <c r="E20" s="85"/>
    </row>
    <row r="21" spans="1:5" ht="42" x14ac:dyDescent="0.3">
      <c r="A21" s="27">
        <v>1</v>
      </c>
      <c r="B21" s="28" t="str">
        <f>'Source (2)'!G28</f>
        <v>Срезка поверхностного слоя асфальтобетонных дорожных покрытий методом холодного фрезерования при ширине барабана фрезы 2000 (2100) мм толщиной 6 см, без препятствий</v>
      </c>
      <c r="C21" s="29" t="str">
        <f>'Source (2)'!H28</f>
        <v>100 м2</v>
      </c>
      <c r="D21" s="30">
        <f>'Source (2)'!I28</f>
        <v>12.94</v>
      </c>
      <c r="E21" s="28"/>
    </row>
    <row r="22" spans="1:5" ht="42" x14ac:dyDescent="0.3">
      <c r="A22" s="27">
        <v>2</v>
      </c>
      <c r="B22" s="28" t="str">
        <f>'Source (2)'!G29</f>
        <v>Срезка поверхностного слоя асфальтобетонных дорожных покрытий методом холодного фрезерования при ширине барабана фрезы 2000 (2100) мм, добавляется или исключается на 1 см</v>
      </c>
      <c r="C22" s="29" t="str">
        <f>'Source (2)'!H29</f>
        <v>100 м2</v>
      </c>
      <c r="D22" s="30">
        <f>'Source (2)'!I29</f>
        <v>-12.94</v>
      </c>
      <c r="E22" s="28"/>
    </row>
    <row r="23" spans="1:5" ht="28" x14ac:dyDescent="0.3">
      <c r="A23" s="27">
        <v>3</v>
      </c>
      <c r="B23" s="28" t="str">
        <f>'Source (2)'!G30</f>
        <v>Исправление профиля щебеночных оснований с добавлением нового материала (1294м2х0,3=388,2м2)</v>
      </c>
      <c r="C23" s="29" t="str">
        <f>'Source (2)'!H30</f>
        <v>1000 м2</v>
      </c>
      <c r="D23" s="30">
        <f>'Source (2)'!I30</f>
        <v>0.38819999999999999</v>
      </c>
      <c r="E23" s="28"/>
    </row>
    <row r="24" spans="1:5" ht="28" x14ac:dyDescent="0.3">
      <c r="A24" s="27">
        <v>3.1</v>
      </c>
      <c r="B24" s="28" t="str">
        <f>'Source (2)'!G31</f>
        <v>Щебень из естественного камня для строительных работ, марка 1200-800, фракция 10-20 мм</v>
      </c>
      <c r="C24" s="29" t="str">
        <f>'Source (2)'!H31</f>
        <v>м3</v>
      </c>
      <c r="D24" s="30">
        <f>'Source (2)'!I31</f>
        <v>-4.4642999999999997</v>
      </c>
      <c r="E24" s="28"/>
    </row>
    <row r="25" spans="1:5" ht="28" x14ac:dyDescent="0.3">
      <c r="A25" s="27">
        <v>3.2</v>
      </c>
      <c r="B25" s="28" t="str">
        <f>'Source (2)'!G32</f>
        <v>Щебень из естественного камня для строительных работ, марка 1200-800, фракция 20-40 мм</v>
      </c>
      <c r="C25" s="29" t="str">
        <f>'Source (2)'!H32</f>
        <v>м3</v>
      </c>
      <c r="D25" s="30">
        <f>'Source (2)'!I32</f>
        <v>-21.350999999999999</v>
      </c>
      <c r="E25" s="28"/>
    </row>
    <row r="26" spans="1:5" ht="28" x14ac:dyDescent="0.3">
      <c r="A26" s="27">
        <v>3.3</v>
      </c>
      <c r="B26" s="28" t="str">
        <f>'Source (2)'!G33</f>
        <v>Щебень из естественного камня для строительных работ, марка 600-400, фракция 20-40 мм</v>
      </c>
      <c r="C26" s="29" t="str">
        <f>'Source (2)'!H33</f>
        <v>м3</v>
      </c>
      <c r="D26" s="30">
        <f>'Source (2)'!I33</f>
        <v>21.350999999999999</v>
      </c>
      <c r="E26" s="28"/>
    </row>
    <row r="27" spans="1:5" ht="42" x14ac:dyDescent="0.3">
      <c r="A27" s="27">
        <v>4</v>
      </c>
      <c r="B27" s="28" t="str">
        <f>'Source (2)'!G34</f>
        <v>Перевозка строительного мусора автосамосвалами грузоподъемностью до 10 т на расстояние 1 км - при механизированной погрузке (1294м2*0,05*2,4т=155,28т)</v>
      </c>
      <c r="C27" s="29" t="str">
        <f>'Source (2)'!H34</f>
        <v>т</v>
      </c>
      <c r="D27" s="30">
        <f>'Source (2)'!I34</f>
        <v>155.28</v>
      </c>
      <c r="E27" s="28"/>
    </row>
    <row r="28" spans="1:5" ht="28" x14ac:dyDescent="0.3">
      <c r="A28" s="27">
        <v>5</v>
      </c>
      <c r="B28" s="28" t="str">
        <f>'Source (2)'!G35</f>
        <v>Перевозка строительного мусора автосамосвалами грузоподъемностью до 10 т - добавляется на каждый последующий 1 км до 100 км</v>
      </c>
      <c r="C28" s="29" t="str">
        <f>'Source (2)'!H35</f>
        <v>т</v>
      </c>
      <c r="D28" s="30">
        <f>'Source (2)'!I35</f>
        <v>155.28</v>
      </c>
      <c r="E28" s="28"/>
    </row>
    <row r="29" spans="1:5" ht="42" x14ac:dyDescent="0.3">
      <c r="A29" s="27">
        <v>6</v>
      </c>
      <c r="B29" s="28" t="str">
        <f>'Source (2)'!G36</f>
        <v>Устройство асфальтобетонных покрытий дорожек и тротуаров двухслойных, верхний слой из песчаной асфальтобетонной смеси толщиной 3 см (толщина 5 см)</v>
      </c>
      <c r="C29" s="29" t="str">
        <f>'Source (2)'!H36</f>
        <v>100 м2</v>
      </c>
      <c r="D29" s="30">
        <f>'Source (2)'!I36</f>
        <v>12.94</v>
      </c>
      <c r="E29" s="28"/>
    </row>
    <row r="30" spans="1:5" ht="14" x14ac:dyDescent="0.3">
      <c r="A30" s="27">
        <v>6.1</v>
      </c>
      <c r="B30" s="28" t="str">
        <f>'Source (2)'!G37</f>
        <v>Смеси асфальтобетонные дорожные горячие песчаные, тип Д, марка III</v>
      </c>
      <c r="C30" s="29" t="str">
        <f>'Source (2)'!H37</f>
        <v>т</v>
      </c>
      <c r="D30" s="30">
        <f>'Source (2)'!I37</f>
        <v>-92.391599999999997</v>
      </c>
      <c r="E30" s="28"/>
    </row>
    <row r="31" spans="1:5" ht="14" x14ac:dyDescent="0.3">
      <c r="A31" s="27">
        <v>6.2</v>
      </c>
      <c r="B31" s="28" t="str">
        <f>'Source (2)'!G38</f>
        <v>Смеси асфальтобетонные дорожные горячие песчаные, тип Д, марка II</v>
      </c>
      <c r="C31" s="29" t="str">
        <f>'Source (2)'!H38</f>
        <v>т</v>
      </c>
      <c r="D31" s="30">
        <f>'Source (2)'!I38</f>
        <v>151.00980000000001</v>
      </c>
      <c r="E31" s="28"/>
    </row>
    <row r="32" spans="1:5" ht="16.5" x14ac:dyDescent="0.35">
      <c r="A32" s="85" t="str">
        <f>CONCATENATE("Раздел: ", 'Source (2)'!G80)</f>
        <v>Раздел: Устройство бортового камня</v>
      </c>
      <c r="B32" s="85"/>
      <c r="C32" s="85"/>
      <c r="D32" s="85"/>
      <c r="E32" s="85"/>
    </row>
    <row r="33" spans="1:5" ht="14" x14ac:dyDescent="0.3">
      <c r="A33" s="27">
        <v>7</v>
      </c>
      <c r="B33" s="28" t="str">
        <f>'Source (2)'!G84</f>
        <v>Замена бортового камня бетонного во дворовых территориях</v>
      </c>
      <c r="C33" s="29" t="str">
        <f>'Source (2)'!H84</f>
        <v>м</v>
      </c>
      <c r="D33" s="30">
        <f>'Source (2)'!I84</f>
        <v>262</v>
      </c>
      <c r="E33" s="28"/>
    </row>
    <row r="34" spans="1:5" ht="14" x14ac:dyDescent="0.3">
      <c r="A34" s="27">
        <v>7.1</v>
      </c>
      <c r="B34" s="28" t="str">
        <f>'Source (2)'!G85</f>
        <v>Растворы цементные, марка 100</v>
      </c>
      <c r="C34" s="29" t="str">
        <f>'Source (2)'!H85</f>
        <v>м3</v>
      </c>
      <c r="D34" s="30">
        <f>'Source (2)'!I85</f>
        <v>-0.15720000000000001</v>
      </c>
      <c r="E34" s="28"/>
    </row>
    <row r="35" spans="1:5" ht="14" x14ac:dyDescent="0.3">
      <c r="A35" s="27">
        <v>7.2</v>
      </c>
      <c r="B35" s="28" t="str">
        <f>'Source (2)'!G86</f>
        <v>Масса мусора</v>
      </c>
      <c r="C35" s="29" t="str">
        <f>'Source (2)'!H86</f>
        <v>т</v>
      </c>
      <c r="D35" s="30">
        <f>'Source (2)'!I86</f>
        <v>-64.451999999999998</v>
      </c>
      <c r="E35" s="28"/>
    </row>
    <row r="36" spans="1:5" ht="28" x14ac:dyDescent="0.3">
      <c r="A36" s="27">
        <v>8</v>
      </c>
      <c r="B36" s="28" t="str">
        <f>'Source (2)'!G87</f>
        <v>Перевозка строительного мусора автосамосвалами грузоподъемностью до 10 т на расстояние 1 км - при механизированной погрузке</v>
      </c>
      <c r="C36" s="29" t="str">
        <f>'Source (2)'!H87</f>
        <v>т</v>
      </c>
      <c r="D36" s="30">
        <f>'Source (2)'!I87</f>
        <v>64.451999999999998</v>
      </c>
      <c r="E36" s="28"/>
    </row>
    <row r="37" spans="1:5" ht="28" x14ac:dyDescent="0.3">
      <c r="A37" s="27">
        <v>9</v>
      </c>
      <c r="B37" s="28" t="str">
        <f>'Source (2)'!G88</f>
        <v>Перевозка строительного мусора автосамосвалами грузоподъемностью до 10 т - добавляется на каждый последующий 1 км до 100 км</v>
      </c>
      <c r="C37" s="29" t="str">
        <f>'Source (2)'!H88</f>
        <v>т</v>
      </c>
      <c r="D37" s="30">
        <f>'Source (2)'!I88</f>
        <v>64.451999999999998</v>
      </c>
      <c r="E37" s="28"/>
    </row>
    <row r="38" spans="1:5" ht="28" x14ac:dyDescent="0.3">
      <c r="A38" s="27">
        <v>10</v>
      </c>
      <c r="B38" s="28" t="str">
        <f>'Source (2)'!G89</f>
        <v>Установка бортовых камней бетонных марки БР 100.30.15 при других видах покрытий</v>
      </c>
      <c r="C38" s="29" t="str">
        <f>'Source (2)'!H89</f>
        <v>100 м</v>
      </c>
      <c r="D38" s="30">
        <f>'Source (2)'!I89</f>
        <v>2.36</v>
      </c>
      <c r="E38" s="28"/>
    </row>
    <row r="39" spans="1:5" ht="14" x14ac:dyDescent="0.3">
      <c r="A39" s="27">
        <v>10.1</v>
      </c>
      <c r="B39" s="28" t="str">
        <f>'Source (2)'!G90</f>
        <v>Растворы цементные, марка 100</v>
      </c>
      <c r="C39" s="29" t="str">
        <f>'Source (2)'!H90</f>
        <v>м3</v>
      </c>
      <c r="D39" s="30">
        <f>'Source (2)'!I90</f>
        <v>-0.1416</v>
      </c>
      <c r="E39" s="28"/>
    </row>
    <row r="40" spans="1:5" ht="42" x14ac:dyDescent="0.3">
      <c r="A40" s="27">
        <v>11</v>
      </c>
      <c r="B40" s="28" t="str">
        <f>'Source (2)'!G91</f>
        <v>Устройство демпфирующего теплоизоляционного материала типа "Изолонтейп Дор" между бортовыми камнями при установке и ремонте бетонного или гранитного бортового камня</v>
      </c>
      <c r="C40" s="29" t="str">
        <f>'Source (2)'!H91</f>
        <v>100 шт.</v>
      </c>
      <c r="D40" s="30">
        <f>'Source (2)'!I91</f>
        <v>4.9800000000000004</v>
      </c>
      <c r="E40" s="28"/>
    </row>
    <row r="41" spans="1:5" ht="16.5" x14ac:dyDescent="0.35">
      <c r="A41" s="85" t="str">
        <f>CONCATENATE("Раздел: ", 'Source (2)'!G133)</f>
        <v>Раздел: Устройство малых архитектурных форм</v>
      </c>
      <c r="B41" s="85"/>
      <c r="C41" s="85"/>
      <c r="D41" s="85"/>
      <c r="E41" s="85"/>
    </row>
    <row r="42" spans="1:5" ht="42" x14ac:dyDescent="0.3">
      <c r="A42" s="27">
        <v>12</v>
      </c>
      <c r="B42" s="28" t="str">
        <f>'Source (2)'!G137</f>
        <v>Диван ДП-6 деревянный на каркасе из металлического уголка с ножками из металлической трубы, окрашенный цветными эмалями, размеры 2000х900х650 мм</v>
      </c>
      <c r="C42" s="29" t="str">
        <f>'Source (2)'!H137</f>
        <v>шт.</v>
      </c>
      <c r="D42" s="30">
        <f>'Source (2)'!I137</f>
        <v>0</v>
      </c>
      <c r="E42" s="28"/>
    </row>
    <row r="43" spans="1:5" ht="28" x14ac:dyDescent="0.3">
      <c r="A43" s="27">
        <v>13</v>
      </c>
      <c r="B43" s="28" t="str">
        <f>'Source (2)'!G138</f>
        <v>Урна опрокидывающаяся металлическая круглая на ножках из стальной трубы, 300х300х950 мм</v>
      </c>
      <c r="C43" s="29" t="str">
        <f>'Source (2)'!H138</f>
        <v>шт.</v>
      </c>
      <c r="D43" s="30">
        <f>'Source (2)'!I138</f>
        <v>0</v>
      </c>
      <c r="E43" s="28"/>
    </row>
    <row r="44" spans="1:5" ht="16.5" x14ac:dyDescent="0.35">
      <c r="A44" s="85" t="str">
        <f>CONCATENATE("Раздел: ", 'Source (2)'!G180)</f>
        <v>Раздел: Ремонт газонов -300м2</v>
      </c>
      <c r="B44" s="85"/>
      <c r="C44" s="85"/>
      <c r="D44" s="85"/>
      <c r="E44" s="85"/>
    </row>
    <row r="45" spans="1:5" ht="28" x14ac:dyDescent="0.3">
      <c r="A45" s="27">
        <v>14</v>
      </c>
      <c r="B45" s="28" t="str">
        <f>'Source (2)'!G184</f>
        <v>Подготовка почвы для устройства партерного и обыкновенного газонов с внесением растительной земли слоем 15 см механизированным способом</v>
      </c>
      <c r="C45" s="29" t="str">
        <f>'Source (2)'!H184</f>
        <v>100 м2</v>
      </c>
      <c r="D45" s="30">
        <f>'Source (2)'!I184</f>
        <v>2.25</v>
      </c>
      <c r="E45" s="28"/>
    </row>
    <row r="46" spans="1:5" ht="28" x14ac:dyDescent="0.3">
      <c r="A46" s="27">
        <v>15</v>
      </c>
      <c r="B46" s="28" t="str">
        <f>'Source (2)'!G185</f>
        <v>Подготовка почвы для устройства партерного и обыкновенного газонов с внесением растительной земли слоем 15 см вручную</v>
      </c>
      <c r="C46" s="29" t="str">
        <f>'Source (2)'!H185</f>
        <v>100 м2</v>
      </c>
      <c r="D46" s="30">
        <f>'Source (2)'!I185</f>
        <v>0.75</v>
      </c>
      <c r="E46" s="28"/>
    </row>
    <row r="47" spans="1:5" ht="28" x14ac:dyDescent="0.3">
      <c r="A47" s="27">
        <v>16</v>
      </c>
      <c r="B47" s="28" t="str">
        <f>'Source (2)'!G186</f>
        <v>Подготовка почвы для устройства партерного и обыкновенного газонов на каждые 5 см изменения толщины слоя добавлять или исключать</v>
      </c>
      <c r="C47" s="29" t="str">
        <f>'Source (2)'!H186</f>
        <v>100 м2</v>
      </c>
      <c r="D47" s="30">
        <f>'Source (2)'!I186</f>
        <v>-3</v>
      </c>
      <c r="E47" s="28"/>
    </row>
    <row r="48" spans="1:5" ht="14" x14ac:dyDescent="0.3">
      <c r="A48" s="31">
        <v>17</v>
      </c>
      <c r="B48" s="32" t="str">
        <f>'Source (2)'!G187</f>
        <v>Посев газонов партерных, мавританских, и обыкновенных вручную</v>
      </c>
      <c r="C48" s="33" t="str">
        <f>'Source (2)'!H187</f>
        <v>100 м2</v>
      </c>
      <c r="D48" s="34">
        <f>'Source (2)'!I187</f>
        <v>3</v>
      </c>
      <c r="E48" s="32"/>
    </row>
    <row r="51" spans="1:5" ht="14" x14ac:dyDescent="0.3">
      <c r="A51" s="19" t="s">
        <v>55</v>
      </c>
      <c r="B51" s="19"/>
      <c r="C51" s="19" t="s">
        <v>56</v>
      </c>
      <c r="D51" s="19"/>
      <c r="E51" s="19"/>
    </row>
  </sheetData>
  <mergeCells count="9">
    <mergeCell ref="A32:E32"/>
    <mergeCell ref="A41:E41"/>
    <mergeCell ref="A44:E44"/>
    <mergeCell ref="C5:D5"/>
    <mergeCell ref="C7:D7"/>
    <mergeCell ref="A11:D11"/>
    <mergeCell ref="A12:D12"/>
    <mergeCell ref="A19:E19"/>
    <mergeCell ref="A20:E20"/>
  </mergeCells>
  <pageMargins left="0.4" right="0.2" top="0.2" bottom="0.4" header="0.2" footer="0.2"/>
  <pageSetup paperSize="9" scale="77" fitToHeight="0" orientation="portrait" r:id="rId1"/>
  <headerFooter>
    <oddHeader>&amp;L&amp;8</oddHeader>
    <oddFooter>&amp;R&amp;P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BD9A6-3556-42BB-81F1-C52CC9375DE9}">
  <sheetPr>
    <pageSetUpPr fitToPage="1"/>
  </sheetPr>
  <dimension ref="A1:H50"/>
  <sheetViews>
    <sheetView zoomScaleNormal="100" workbookViewId="0">
      <selection activeCell="I192" sqref="I192"/>
    </sheetView>
  </sheetViews>
  <sheetFormatPr defaultColWidth="9.1796875" defaultRowHeight="12.5" x14ac:dyDescent="0.25"/>
  <cols>
    <col min="1" max="2" width="6.7265625" style="2" customWidth="1"/>
    <col min="3" max="3" width="75.7265625" style="2" customWidth="1"/>
    <col min="4" max="8" width="15.7265625" style="2" customWidth="1"/>
    <col min="9" max="29" width="9.1796875" style="2"/>
    <col min="30" max="32" width="0" style="2" hidden="1" customWidth="1"/>
    <col min="33" max="16384" width="9.1796875" style="2"/>
  </cols>
  <sheetData>
    <row r="1" spans="1:8" x14ac:dyDescent="0.25">
      <c r="A1" s="1" t="str">
        <f>'Source (2)'!B1</f>
        <v>Smeta.RU  (495) 974-1589</v>
      </c>
    </row>
    <row r="2" spans="1:8" ht="14" x14ac:dyDescent="0.3">
      <c r="D2" s="4"/>
      <c r="E2" s="4"/>
    </row>
    <row r="3" spans="1:8" ht="14" x14ac:dyDescent="0.3">
      <c r="D3" s="4"/>
      <c r="E3" s="23" t="s">
        <v>0</v>
      </c>
    </row>
    <row r="4" spans="1:8" ht="14" x14ac:dyDescent="0.3">
      <c r="D4" s="23"/>
      <c r="E4" s="23"/>
    </row>
    <row r="5" spans="1:8" ht="14" x14ac:dyDescent="0.3">
      <c r="D5" s="69" t="s">
        <v>47</v>
      </c>
      <c r="E5" s="69"/>
    </row>
    <row r="6" spans="1:8" ht="14" x14ac:dyDescent="0.3">
      <c r="D6" s="23"/>
      <c r="E6" s="23"/>
    </row>
    <row r="7" spans="1:8" ht="14" x14ac:dyDescent="0.3">
      <c r="D7" s="69" t="s">
        <v>47</v>
      </c>
      <c r="E7" s="69"/>
    </row>
    <row r="8" spans="1:8" ht="14" x14ac:dyDescent="0.3">
      <c r="D8" s="23"/>
      <c r="E8" s="23"/>
    </row>
    <row r="9" spans="1:8" ht="14" x14ac:dyDescent="0.3">
      <c r="D9" s="23" t="s">
        <v>48</v>
      </c>
      <c r="E9" s="4"/>
    </row>
    <row r="10" spans="1:8" ht="14" x14ac:dyDescent="0.3">
      <c r="D10" s="4"/>
      <c r="E10" s="4"/>
    </row>
    <row r="12" spans="1:8" ht="15.5" x14ac:dyDescent="0.25">
      <c r="B12" s="88" t="str">
        <f>CONCATENATE("Ведомость объемов работ ", IF('Source (2)'!AN15&lt;&gt;"", 'Source (2)'!AN15," "))</f>
        <v xml:space="preserve">Ведомость объемов работ  </v>
      </c>
      <c r="C12" s="88"/>
      <c r="D12" s="88"/>
      <c r="E12" s="88"/>
    </row>
    <row r="13" spans="1:8" ht="14" x14ac:dyDescent="0.25">
      <c r="B13" s="89" t="str">
        <f>CONCATENATE('Source (2)'!F12, " ", 'Source (2)'!G12)</f>
        <v>Г43 в ценах 2022г. Г19 к.2 -ремонт АБП</v>
      </c>
      <c r="C13" s="89"/>
      <c r="D13" s="89"/>
      <c r="E13" s="89"/>
    </row>
    <row r="14" spans="1:8" hidden="1" x14ac:dyDescent="0.25"/>
    <row r="16" spans="1:8" ht="70" x14ac:dyDescent="0.25">
      <c r="A16" s="25" t="s">
        <v>52</v>
      </c>
      <c r="B16" s="25" t="s">
        <v>57</v>
      </c>
      <c r="C16" s="25" t="s">
        <v>8</v>
      </c>
      <c r="D16" s="25" t="s">
        <v>9</v>
      </c>
      <c r="E16" s="25" t="s">
        <v>53</v>
      </c>
      <c r="F16" s="25" t="s">
        <v>58</v>
      </c>
      <c r="G16" s="25" t="s">
        <v>59</v>
      </c>
      <c r="H16" s="25" t="s">
        <v>54</v>
      </c>
    </row>
    <row r="17" spans="1:8" ht="14" x14ac:dyDescent="0.25">
      <c r="A17" s="25">
        <v>1</v>
      </c>
      <c r="B17" s="25">
        <v>2</v>
      </c>
      <c r="C17" s="25">
        <v>3</v>
      </c>
      <c r="D17" s="25">
        <v>4</v>
      </c>
      <c r="E17" s="25">
        <v>5</v>
      </c>
      <c r="F17" s="25">
        <v>6</v>
      </c>
      <c r="G17" s="25">
        <v>7</v>
      </c>
      <c r="H17" s="25">
        <v>8</v>
      </c>
    </row>
    <row r="18" spans="1:8" ht="16.5" x14ac:dyDescent="0.35">
      <c r="A18" s="85" t="str">
        <f>CONCATENATE("Локальная смета: ", 'Source (2)'!G20)</f>
        <v>Локальная смета: Новая локальная смета</v>
      </c>
      <c r="B18" s="85"/>
      <c r="C18" s="85"/>
      <c r="D18" s="85"/>
      <c r="E18" s="85"/>
      <c r="F18" s="85"/>
      <c r="G18" s="85"/>
      <c r="H18" s="85"/>
    </row>
    <row r="19" spans="1:8" ht="16.5" x14ac:dyDescent="0.35">
      <c r="A19" s="85" t="str">
        <f>CONCATENATE("Раздел: ", 'Source (2)'!G24)</f>
        <v>Раздел: Ремонт дорожно-тропиночной сети с асфальтобетонным покрытием  - 1294 м2</v>
      </c>
      <c r="B19" s="85"/>
      <c r="C19" s="85"/>
      <c r="D19" s="85"/>
      <c r="E19" s="85"/>
      <c r="F19" s="85"/>
      <c r="G19" s="85"/>
      <c r="H19" s="85"/>
    </row>
    <row r="20" spans="1:8" ht="42" x14ac:dyDescent="0.25">
      <c r="A20" s="25">
        <v>1</v>
      </c>
      <c r="B20" s="25" t="str">
        <f>'Source (2)'!E28</f>
        <v>1</v>
      </c>
      <c r="C20" s="35" t="str">
        <f>'Source (2)'!G28</f>
        <v>Срезка поверхностного слоя асфальтобетонных дорожных покрытий методом холодного фрезерования при ширине барабана фрезы 2000 (2100) мм толщиной 6 см, без препятствий</v>
      </c>
      <c r="D20" s="25" t="s">
        <v>60</v>
      </c>
      <c r="E20" s="36">
        <f>'Source (2)'!I28</f>
        <v>12.94</v>
      </c>
      <c r="F20" s="25" t="str">
        <f>'Source (2)'!U24</f>
        <v/>
      </c>
      <c r="G20" s="25" t="str">
        <f>"=1294/"&amp;"100"</f>
        <v>=1294/100</v>
      </c>
      <c r="H20" s="35"/>
    </row>
    <row r="21" spans="1:8" ht="42" x14ac:dyDescent="0.25">
      <c r="A21" s="25">
        <v>2</v>
      </c>
      <c r="B21" s="25" t="str">
        <f>'Source (2)'!E29</f>
        <v>2</v>
      </c>
      <c r="C21" s="35" t="str">
        <f>'Source (2)'!G29</f>
        <v>Срезка поверхностного слоя асфальтобетонных дорожных покрытий методом холодного фрезерования при ширине барабана фрезы 2000 (2100) мм, добавляется или исключается на 1 см</v>
      </c>
      <c r="D21" s="25" t="s">
        <v>60</v>
      </c>
      <c r="E21" s="36">
        <f>'Source (2)'!I29</f>
        <v>-12.94</v>
      </c>
      <c r="F21" s="25" t="str">
        <f>'Source (2)'!U24</f>
        <v/>
      </c>
      <c r="G21" s="25" t="str">
        <f>"=-"&amp;"1294/"&amp;"100"</f>
        <v>=-1294/100</v>
      </c>
      <c r="H21" s="35"/>
    </row>
    <row r="22" spans="1:8" ht="28" x14ac:dyDescent="0.25">
      <c r="A22" s="25">
        <v>3</v>
      </c>
      <c r="B22" s="25" t="str">
        <f>'Source (2)'!E30</f>
        <v>3</v>
      </c>
      <c r="C22" s="35" t="str">
        <f>'Source (2)'!G30</f>
        <v>Исправление профиля щебеночных оснований с добавлением нового материала (1294м2х0,3=388,2м2)</v>
      </c>
      <c r="D22" s="25" t="s">
        <v>61</v>
      </c>
      <c r="E22" s="36">
        <f>'Source (2)'!I30</f>
        <v>0.38819999999999999</v>
      </c>
      <c r="F22" s="25" t="str">
        <f>'Source (2)'!U24</f>
        <v/>
      </c>
      <c r="G22" s="25" t="str">
        <f>"=388,2/"&amp;"1000"</f>
        <v>=388,2/1000</v>
      </c>
      <c r="H22" s="35"/>
    </row>
    <row r="23" spans="1:8" ht="28" x14ac:dyDescent="0.25">
      <c r="A23" s="25">
        <v>3.1</v>
      </c>
      <c r="B23" s="25" t="str">
        <f>'Source (2)'!E31</f>
        <v>3,1</v>
      </c>
      <c r="C23" s="35" t="str">
        <f>'Source (2)'!G31</f>
        <v>Щебень из естественного камня для строительных работ, марка 1200-800, фракция 10-20 мм</v>
      </c>
      <c r="D23" s="25" t="s">
        <v>62</v>
      </c>
      <c r="E23" s="36">
        <f>'Source (2)'!I31</f>
        <v>-4.4642999999999997</v>
      </c>
      <c r="F23" s="25" t="str">
        <f>'Source (2)'!U24</f>
        <v/>
      </c>
      <c r="G23" s="25"/>
      <c r="H23" s="35"/>
    </row>
    <row r="24" spans="1:8" ht="28" x14ac:dyDescent="0.25">
      <c r="A24" s="25">
        <v>3.2</v>
      </c>
      <c r="B24" s="25" t="str">
        <f>'Source (2)'!E32</f>
        <v>3,2</v>
      </c>
      <c r="C24" s="35" t="str">
        <f>'Source (2)'!G32</f>
        <v>Щебень из естественного камня для строительных работ, марка 1200-800, фракция 20-40 мм</v>
      </c>
      <c r="D24" s="25" t="s">
        <v>62</v>
      </c>
      <c r="E24" s="36">
        <f>'Source (2)'!I32</f>
        <v>-21.350999999999999</v>
      </c>
      <c r="F24" s="25" t="str">
        <f>'Source (2)'!U24</f>
        <v/>
      </c>
      <c r="G24" s="25"/>
      <c r="H24" s="35"/>
    </row>
    <row r="25" spans="1:8" ht="28" x14ac:dyDescent="0.25">
      <c r="A25" s="25">
        <v>3.3</v>
      </c>
      <c r="B25" s="25" t="str">
        <f>'Source (2)'!E33</f>
        <v>3,3</v>
      </c>
      <c r="C25" s="35" t="str">
        <f>'Source (2)'!G33</f>
        <v>Щебень из естественного камня для строительных работ, марка 600-400, фракция 20-40 мм</v>
      </c>
      <c r="D25" s="25" t="s">
        <v>62</v>
      </c>
      <c r="E25" s="36">
        <f>'Source (2)'!I33</f>
        <v>21.350999999999999</v>
      </c>
      <c r="F25" s="25" t="str">
        <f>'Source (2)'!U24</f>
        <v/>
      </c>
      <c r="G25" s="25"/>
      <c r="H25" s="35"/>
    </row>
    <row r="26" spans="1:8" ht="42" x14ac:dyDescent="0.25">
      <c r="A26" s="25">
        <v>4</v>
      </c>
      <c r="B26" s="25" t="str">
        <f>'Source (2)'!E34</f>
        <v>4</v>
      </c>
      <c r="C26" s="35" t="str">
        <f>'Source (2)'!G34</f>
        <v>Перевозка строительного мусора автосамосвалами грузоподъемностью до 10 т на расстояние 1 км - при механизированной погрузке (1294м2*0,05*2,4т=155,28т)</v>
      </c>
      <c r="D26" s="25" t="s">
        <v>63</v>
      </c>
      <c r="E26" s="36">
        <f>'Source (2)'!I34</f>
        <v>155.28</v>
      </c>
      <c r="F26" s="25" t="str">
        <f>'Source (2)'!U24</f>
        <v/>
      </c>
      <c r="G26" s="25">
        <f>'Source (2)'!I34</f>
        <v>155.28</v>
      </c>
      <c r="H26" s="35"/>
    </row>
    <row r="27" spans="1:8" ht="28" x14ac:dyDescent="0.25">
      <c r="A27" s="25">
        <v>5</v>
      </c>
      <c r="B27" s="25" t="str">
        <f>'Source (2)'!E35</f>
        <v>5</v>
      </c>
      <c r="C27" s="35" t="str">
        <f>'Source (2)'!G35</f>
        <v>Перевозка строительного мусора автосамосвалами грузоподъемностью до 10 т - добавляется на каждый последующий 1 км до 100 км</v>
      </c>
      <c r="D27" s="25" t="s">
        <v>63</v>
      </c>
      <c r="E27" s="36">
        <f>'Source (2)'!I35</f>
        <v>155.28</v>
      </c>
      <c r="F27" s="25" t="str">
        <f>'Source (2)'!U24</f>
        <v/>
      </c>
      <c r="G27" s="25">
        <f>'Source (2)'!I35</f>
        <v>155.28</v>
      </c>
      <c r="H27" s="35"/>
    </row>
    <row r="28" spans="1:8" ht="42" x14ac:dyDescent="0.25">
      <c r="A28" s="25">
        <v>6</v>
      </c>
      <c r="B28" s="25" t="str">
        <f>'Source (2)'!E36</f>
        <v>6</v>
      </c>
      <c r="C28" s="35" t="str">
        <f>'Source (2)'!G36</f>
        <v>Устройство асфальтобетонных покрытий дорожек и тротуаров двухслойных, верхний слой из песчаной асфальтобетонной смеси толщиной 3 см (толщина 5 см)</v>
      </c>
      <c r="D28" s="25" t="s">
        <v>60</v>
      </c>
      <c r="E28" s="36">
        <f>'Source (2)'!I36</f>
        <v>12.94</v>
      </c>
      <c r="F28" s="25" t="str">
        <f>'Source (2)'!U24</f>
        <v/>
      </c>
      <c r="G28" s="25" t="str">
        <f>"=1294/"&amp;"100"</f>
        <v>=1294/100</v>
      </c>
      <c r="H28" s="35"/>
    </row>
    <row r="29" spans="1:8" ht="14" x14ac:dyDescent="0.25">
      <c r="A29" s="25">
        <v>6.1</v>
      </c>
      <c r="B29" s="25" t="str">
        <f>'Source (2)'!E37</f>
        <v>6,1</v>
      </c>
      <c r="C29" s="35" t="str">
        <f>'Source (2)'!G37</f>
        <v>Смеси асфальтобетонные дорожные горячие песчаные, тип Д, марка III</v>
      </c>
      <c r="D29" s="25" t="s">
        <v>63</v>
      </c>
      <c r="E29" s="36">
        <f>'Source (2)'!I37</f>
        <v>-92.391599999999997</v>
      </c>
      <c r="F29" s="25" t="str">
        <f>'Source (2)'!U24</f>
        <v/>
      </c>
      <c r="G29" s="25"/>
      <c r="H29" s="35"/>
    </row>
    <row r="30" spans="1:8" ht="14" x14ac:dyDescent="0.25">
      <c r="A30" s="25">
        <v>6.2</v>
      </c>
      <c r="B30" s="25" t="str">
        <f>'Source (2)'!E38</f>
        <v>6,2</v>
      </c>
      <c r="C30" s="35" t="str">
        <f>'Source (2)'!G38</f>
        <v>Смеси асфальтобетонные дорожные горячие песчаные, тип Д, марка II</v>
      </c>
      <c r="D30" s="25" t="s">
        <v>63</v>
      </c>
      <c r="E30" s="36">
        <f>'Source (2)'!I38</f>
        <v>151.00980000000001</v>
      </c>
      <c r="F30" s="25" t="str">
        <f>'Source (2)'!U24</f>
        <v/>
      </c>
      <c r="G30" s="25"/>
      <c r="H30" s="35"/>
    </row>
    <row r="31" spans="1:8" ht="16.5" x14ac:dyDescent="0.35">
      <c r="A31" s="85" t="str">
        <f>CONCATENATE("Раздел: ", 'Source (2)'!G80)</f>
        <v>Раздел: Устройство бортового камня</v>
      </c>
      <c r="B31" s="85"/>
      <c r="C31" s="85"/>
      <c r="D31" s="85"/>
      <c r="E31" s="85"/>
      <c r="F31" s="85"/>
      <c r="G31" s="85"/>
      <c r="H31" s="85"/>
    </row>
    <row r="32" spans="1:8" ht="14" x14ac:dyDescent="0.25">
      <c r="A32" s="25">
        <v>7</v>
      </c>
      <c r="B32" s="25" t="str">
        <f>'Source (2)'!E84</f>
        <v>7</v>
      </c>
      <c r="C32" s="35" t="str">
        <f>'Source (2)'!G84</f>
        <v>Замена бортового камня бетонного во дворовых территориях</v>
      </c>
      <c r="D32" s="25" t="s">
        <v>64</v>
      </c>
      <c r="E32" s="36">
        <f>'Source (2)'!I84</f>
        <v>262</v>
      </c>
      <c r="F32" s="25" t="str">
        <f>'Source (2)'!U80</f>
        <v/>
      </c>
      <c r="G32" s="25">
        <f>'Source (2)'!I84</f>
        <v>262</v>
      </c>
      <c r="H32" s="35"/>
    </row>
    <row r="33" spans="1:8" ht="14" x14ac:dyDescent="0.25">
      <c r="A33" s="25">
        <v>7.1</v>
      </c>
      <c r="B33" s="25" t="str">
        <f>'Source (2)'!E85</f>
        <v>7,1</v>
      </c>
      <c r="C33" s="35" t="str">
        <f>'Source (2)'!G85</f>
        <v>Растворы цементные, марка 100</v>
      </c>
      <c r="D33" s="25" t="s">
        <v>62</v>
      </c>
      <c r="E33" s="36">
        <f>'Source (2)'!I85</f>
        <v>-0.15720000000000001</v>
      </c>
      <c r="F33" s="25" t="str">
        <f>'Source (2)'!U80</f>
        <v/>
      </c>
      <c r="G33" s="25"/>
      <c r="H33" s="35"/>
    </row>
    <row r="34" spans="1:8" ht="14" x14ac:dyDescent="0.25">
      <c r="A34" s="25">
        <v>7.2</v>
      </c>
      <c r="B34" s="25" t="str">
        <f>'Source (2)'!E86</f>
        <v>7,2</v>
      </c>
      <c r="C34" s="35" t="str">
        <f>'Source (2)'!G86</f>
        <v>Масса мусора</v>
      </c>
      <c r="D34" s="25" t="s">
        <v>63</v>
      </c>
      <c r="E34" s="36">
        <f>'Source (2)'!I86</f>
        <v>-64.451999999999998</v>
      </c>
      <c r="F34" s="25" t="str">
        <f>'Source (2)'!U80</f>
        <v/>
      </c>
      <c r="G34" s="25"/>
      <c r="H34" s="35"/>
    </row>
    <row r="35" spans="1:8" ht="28" x14ac:dyDescent="0.25">
      <c r="A35" s="25">
        <v>8</v>
      </c>
      <c r="B35" s="25" t="str">
        <f>'Source (2)'!E87</f>
        <v>8</v>
      </c>
      <c r="C35" s="35" t="str">
        <f>'Source (2)'!G87</f>
        <v>Перевозка строительного мусора автосамосвалами грузоподъемностью до 10 т на расстояние 1 км - при механизированной погрузке</v>
      </c>
      <c r="D35" s="25" t="s">
        <v>63</v>
      </c>
      <c r="E35" s="36">
        <f>'Source (2)'!I87</f>
        <v>64.451999999999998</v>
      </c>
      <c r="F35" s="25" t="str">
        <f>'Source (2)'!U80</f>
        <v/>
      </c>
      <c r="G35" s="25">
        <f>'Source (2)'!I87</f>
        <v>64.451999999999998</v>
      </c>
      <c r="H35" s="35"/>
    </row>
    <row r="36" spans="1:8" ht="28" x14ac:dyDescent="0.25">
      <c r="A36" s="25">
        <v>9</v>
      </c>
      <c r="B36" s="25" t="str">
        <f>'Source (2)'!E88</f>
        <v>9</v>
      </c>
      <c r="C36" s="35" t="str">
        <f>'Source (2)'!G88</f>
        <v>Перевозка строительного мусора автосамосвалами грузоподъемностью до 10 т - добавляется на каждый последующий 1 км до 100 км</v>
      </c>
      <c r="D36" s="25" t="s">
        <v>63</v>
      </c>
      <c r="E36" s="36">
        <f>'Source (2)'!I88</f>
        <v>64.451999999999998</v>
      </c>
      <c r="F36" s="25" t="str">
        <f>'Source (2)'!U80</f>
        <v/>
      </c>
      <c r="G36" s="25">
        <f>'Source (2)'!I88</f>
        <v>64.451999999999998</v>
      </c>
      <c r="H36" s="35"/>
    </row>
    <row r="37" spans="1:8" ht="28" x14ac:dyDescent="0.25">
      <c r="A37" s="25">
        <v>10</v>
      </c>
      <c r="B37" s="25" t="str">
        <f>'Source (2)'!E89</f>
        <v>10</v>
      </c>
      <c r="C37" s="35" t="str">
        <f>'Source (2)'!G89</f>
        <v>Установка бортовых камней бетонных марки БР 100.30.15 при других видах покрытий</v>
      </c>
      <c r="D37" s="25" t="s">
        <v>65</v>
      </c>
      <c r="E37" s="36">
        <f>'Source (2)'!I89</f>
        <v>2.36</v>
      </c>
      <c r="F37" s="25" t="str">
        <f>'Source (2)'!U80</f>
        <v/>
      </c>
      <c r="G37" s="25" t="str">
        <f>"=236/"&amp;"100"</f>
        <v>=236/100</v>
      </c>
      <c r="H37" s="35"/>
    </row>
    <row r="38" spans="1:8" ht="14" x14ac:dyDescent="0.25">
      <c r="A38" s="25">
        <v>10.1</v>
      </c>
      <c r="B38" s="25" t="str">
        <f>'Source (2)'!E90</f>
        <v>10,1</v>
      </c>
      <c r="C38" s="35" t="str">
        <f>'Source (2)'!G90</f>
        <v>Растворы цементные, марка 100</v>
      </c>
      <c r="D38" s="25" t="s">
        <v>62</v>
      </c>
      <c r="E38" s="36">
        <f>'Source (2)'!I90</f>
        <v>-0.1416</v>
      </c>
      <c r="F38" s="25" t="str">
        <f>'Source (2)'!U80</f>
        <v/>
      </c>
      <c r="G38" s="25"/>
      <c r="H38" s="35"/>
    </row>
    <row r="39" spans="1:8" ht="42" x14ac:dyDescent="0.25">
      <c r="A39" s="25">
        <v>11</v>
      </c>
      <c r="B39" s="25" t="str">
        <f>'Source (2)'!E91</f>
        <v>11</v>
      </c>
      <c r="C39" s="35" t="str">
        <f>'Source (2)'!G91</f>
        <v>Устройство демпфирующего теплоизоляционного материала типа "Изолонтейп Дор" между бортовыми камнями при установке и ремонте бетонного или гранитного бортового камня</v>
      </c>
      <c r="D39" s="25" t="s">
        <v>66</v>
      </c>
      <c r="E39" s="36">
        <f>'Source (2)'!I91</f>
        <v>4.9800000000000004</v>
      </c>
      <c r="F39" s="25" t="str">
        <f>'Source (2)'!U80</f>
        <v/>
      </c>
      <c r="G39" s="25" t="str">
        <f>"=498/"&amp;"100"</f>
        <v>=498/100</v>
      </c>
      <c r="H39" s="35"/>
    </row>
    <row r="40" spans="1:8" ht="16.5" x14ac:dyDescent="0.35">
      <c r="A40" s="85" t="str">
        <f>CONCATENATE("Раздел: ", 'Source (2)'!G133)</f>
        <v>Раздел: Устройство малых архитектурных форм</v>
      </c>
      <c r="B40" s="85"/>
      <c r="C40" s="85"/>
      <c r="D40" s="85"/>
      <c r="E40" s="85"/>
      <c r="F40" s="85"/>
      <c r="G40" s="85"/>
      <c r="H40" s="85"/>
    </row>
    <row r="41" spans="1:8" ht="42" x14ac:dyDescent="0.25">
      <c r="A41" s="25">
        <v>12</v>
      </c>
      <c r="B41" s="25" t="str">
        <f>'Source (2)'!E137</f>
        <v>12</v>
      </c>
      <c r="C41" s="35" t="str">
        <f>'Source (2)'!G137</f>
        <v>Диван ДП-6 деревянный на каркасе из металлического уголка с ножками из металлической трубы, окрашенный цветными эмалями, размеры 2000х900х650 мм</v>
      </c>
      <c r="D41" s="25" t="s">
        <v>67</v>
      </c>
      <c r="E41" s="36">
        <f>'Source (2)'!I137</f>
        <v>0</v>
      </c>
      <c r="F41" s="25" t="str">
        <f>'Source (2)'!U133</f>
        <v/>
      </c>
      <c r="G41" s="25">
        <f>'Source (2)'!I137</f>
        <v>0</v>
      </c>
      <c r="H41" s="35"/>
    </row>
    <row r="42" spans="1:8" ht="28" x14ac:dyDescent="0.25">
      <c r="A42" s="25">
        <v>13</v>
      </c>
      <c r="B42" s="25" t="str">
        <f>'Source (2)'!E138</f>
        <v>13</v>
      </c>
      <c r="C42" s="35" t="str">
        <f>'Source (2)'!G138</f>
        <v>Урна опрокидывающаяся металлическая круглая на ножках из стальной трубы, 300х300х950 мм</v>
      </c>
      <c r="D42" s="25" t="s">
        <v>67</v>
      </c>
      <c r="E42" s="36">
        <f>'Source (2)'!I138</f>
        <v>0</v>
      </c>
      <c r="F42" s="25" t="str">
        <f>'Source (2)'!U133</f>
        <v/>
      </c>
      <c r="G42" s="25">
        <f>'Source (2)'!I138</f>
        <v>0</v>
      </c>
      <c r="H42" s="35"/>
    </row>
    <row r="43" spans="1:8" ht="16.5" x14ac:dyDescent="0.35">
      <c r="A43" s="85" t="str">
        <f>CONCATENATE("Раздел: ", 'Source (2)'!G180)</f>
        <v>Раздел: Ремонт газонов -300м2</v>
      </c>
      <c r="B43" s="85"/>
      <c r="C43" s="85"/>
      <c r="D43" s="85"/>
      <c r="E43" s="85"/>
      <c r="F43" s="85"/>
      <c r="G43" s="85"/>
      <c r="H43" s="85"/>
    </row>
    <row r="44" spans="1:8" ht="28" x14ac:dyDescent="0.25">
      <c r="A44" s="25">
        <v>14</v>
      </c>
      <c r="B44" s="25" t="str">
        <f>'Source (2)'!E184</f>
        <v>14</v>
      </c>
      <c r="C44" s="35" t="str">
        <f>'Source (2)'!G184</f>
        <v>Подготовка почвы для устройства партерного и обыкновенного газонов с внесением растительной земли слоем 15 см механизированным способом</v>
      </c>
      <c r="D44" s="25" t="s">
        <v>60</v>
      </c>
      <c r="E44" s="36">
        <f>'Source (2)'!I184</f>
        <v>2.25</v>
      </c>
      <c r="F44" s="25" t="str">
        <f>'Source (2)'!U180</f>
        <v/>
      </c>
      <c r="G44" s="25" t="str">
        <f>"=225/"&amp;"100"</f>
        <v>=225/100</v>
      </c>
      <c r="H44" s="35"/>
    </row>
    <row r="45" spans="1:8" ht="28" x14ac:dyDescent="0.25">
      <c r="A45" s="25">
        <v>15</v>
      </c>
      <c r="B45" s="25" t="str">
        <f>'Source (2)'!E185</f>
        <v>15</v>
      </c>
      <c r="C45" s="35" t="str">
        <f>'Source (2)'!G185</f>
        <v>Подготовка почвы для устройства партерного и обыкновенного газонов с внесением растительной земли слоем 15 см вручную</v>
      </c>
      <c r="D45" s="25" t="s">
        <v>60</v>
      </c>
      <c r="E45" s="36">
        <f>'Source (2)'!I185</f>
        <v>0.75</v>
      </c>
      <c r="F45" s="25" t="str">
        <f>'Source (2)'!U180</f>
        <v/>
      </c>
      <c r="G45" s="25" t="str">
        <f>"=75/"&amp;"100"</f>
        <v>=75/100</v>
      </c>
      <c r="H45" s="35"/>
    </row>
    <row r="46" spans="1:8" ht="28" x14ac:dyDescent="0.25">
      <c r="A46" s="25">
        <v>16</v>
      </c>
      <c r="B46" s="25" t="str">
        <f>'Source (2)'!E186</f>
        <v>16</v>
      </c>
      <c r="C46" s="35" t="str">
        <f>'Source (2)'!G186</f>
        <v>Подготовка почвы для устройства партерного и обыкновенного газонов на каждые 5 см изменения толщины слоя добавлять или исключать</v>
      </c>
      <c r="D46" s="25" t="s">
        <v>60</v>
      </c>
      <c r="E46" s="36">
        <f>'Source (2)'!I186</f>
        <v>-3</v>
      </c>
      <c r="F46" s="25" t="str">
        <f>'Source (2)'!U180</f>
        <v/>
      </c>
      <c r="G46" s="25" t="str">
        <f>"=-"&amp;"300/"&amp;"100"</f>
        <v>=-300/100</v>
      </c>
      <c r="H46" s="35"/>
    </row>
    <row r="47" spans="1:8" ht="14" x14ac:dyDescent="0.25">
      <c r="A47" s="8">
        <v>17</v>
      </c>
      <c r="B47" s="8" t="str">
        <f>'Source (2)'!E187</f>
        <v>17</v>
      </c>
      <c r="C47" s="37" t="str">
        <f>'Source (2)'!G187</f>
        <v>Посев газонов партерных, мавританских, и обыкновенных вручную</v>
      </c>
      <c r="D47" s="8" t="s">
        <v>60</v>
      </c>
      <c r="E47" s="38">
        <f>'Source (2)'!I187</f>
        <v>3</v>
      </c>
      <c r="F47" s="8" t="str">
        <f>'Source (2)'!U180</f>
        <v/>
      </c>
      <c r="G47" s="8" t="str">
        <f>"=300/"&amp;"100"</f>
        <v>=300/100</v>
      </c>
      <c r="H47" s="37"/>
    </row>
    <row r="50" spans="2:5" ht="14" x14ac:dyDescent="0.3">
      <c r="B50" s="39" t="s">
        <v>69</v>
      </c>
      <c r="C50" s="4"/>
      <c r="D50" s="39" t="s">
        <v>70</v>
      </c>
      <c r="E50" s="19"/>
    </row>
  </sheetData>
  <mergeCells count="9">
    <mergeCell ref="A31:H31"/>
    <mergeCell ref="A40:H40"/>
    <mergeCell ref="A43:H43"/>
    <mergeCell ref="D5:E5"/>
    <mergeCell ref="D7:E7"/>
    <mergeCell ref="B12:E12"/>
    <mergeCell ref="B13:E13"/>
    <mergeCell ref="A18:H18"/>
    <mergeCell ref="A19:H19"/>
  </mergeCells>
  <pageMargins left="0.4" right="0.2" top="0.2" bottom="0.4" header="0.2" footer="0.2"/>
  <pageSetup paperSize="9" scale="59" fitToHeight="0" orientation="portrait" r:id="rId1"/>
  <headerFooter>
    <oddHeader>&amp;L&amp;8</oddHeader>
    <oddFooter>&amp;R&amp;P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B13FF-4146-477A-9D6D-A497A02F6A94}">
  <sheetPr>
    <pageSetUpPr fitToPage="1"/>
  </sheetPr>
  <dimension ref="A2:Q59"/>
  <sheetViews>
    <sheetView workbookViewId="0">
      <selection activeCell="I192" sqref="I192"/>
    </sheetView>
  </sheetViews>
  <sheetFormatPr defaultColWidth="9.1796875" defaultRowHeight="12.5" x14ac:dyDescent="0.25"/>
  <cols>
    <col min="1" max="1" width="18.7265625" style="2" customWidth="1"/>
    <col min="2" max="2" width="40.7265625" style="2" customWidth="1"/>
    <col min="3" max="6" width="12.7265625" style="2" customWidth="1"/>
    <col min="7" max="14" width="9.1796875" style="2"/>
    <col min="15" max="15" width="109.7265625" style="2" hidden="1" customWidth="1"/>
    <col min="16" max="18" width="0" style="2" hidden="1" customWidth="1"/>
    <col min="19" max="16384" width="9.1796875" style="2"/>
  </cols>
  <sheetData>
    <row r="2" spans="1:17" ht="16.5" x14ac:dyDescent="0.25">
      <c r="A2" s="92" t="s">
        <v>71</v>
      </c>
      <c r="B2" s="93"/>
      <c r="C2" s="93"/>
      <c r="D2" s="93"/>
      <c r="E2" s="93"/>
      <c r="F2" s="93"/>
    </row>
    <row r="3" spans="1:17" ht="16.5" x14ac:dyDescent="0.25">
      <c r="A3" s="92" t="str">
        <f>CONCATENATE("Объект: ",IF('Source (2)'!G259&lt;&gt;"Новый объект", 'Source (2)'!G259, ""))</f>
        <v>Объект: Г19 к.2 -ремонт АБП</v>
      </c>
      <c r="B3" s="93"/>
      <c r="C3" s="93"/>
      <c r="D3" s="93"/>
      <c r="E3" s="93"/>
      <c r="F3" s="93"/>
    </row>
    <row r="4" spans="1:17" x14ac:dyDescent="0.25">
      <c r="A4" s="83" t="s">
        <v>72</v>
      </c>
      <c r="B4" s="83" t="s">
        <v>73</v>
      </c>
      <c r="C4" s="83" t="s">
        <v>9</v>
      </c>
      <c r="D4" s="83" t="s">
        <v>74</v>
      </c>
      <c r="E4" s="97" t="s">
        <v>75</v>
      </c>
      <c r="F4" s="98"/>
    </row>
    <row r="5" spans="1:17" x14ac:dyDescent="0.25">
      <c r="A5" s="84"/>
      <c r="B5" s="84"/>
      <c r="C5" s="84"/>
      <c r="D5" s="84"/>
      <c r="E5" s="99"/>
      <c r="F5" s="100"/>
    </row>
    <row r="6" spans="1:17" ht="14" x14ac:dyDescent="0.25">
      <c r="A6" s="96"/>
      <c r="B6" s="96"/>
      <c r="C6" s="96"/>
      <c r="D6" s="96"/>
      <c r="E6" s="8" t="s">
        <v>76</v>
      </c>
      <c r="F6" s="8" t="s">
        <v>77</v>
      </c>
    </row>
    <row r="7" spans="1:17" ht="14" x14ac:dyDescent="0.25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</row>
    <row r="8" spans="1:17" ht="16.5" x14ac:dyDescent="0.25">
      <c r="A8" s="92" t="str">
        <f>CONCATENATE("Локальная смета: ",IF('Source (2)'!G22&lt;&gt;"Новая локальная смета", 'Source (2)'!G22, ""))</f>
        <v xml:space="preserve">Локальная смета: </v>
      </c>
      <c r="B8" s="93"/>
      <c r="C8" s="93"/>
      <c r="D8" s="93"/>
      <c r="E8" s="93"/>
      <c r="F8" s="93"/>
    </row>
    <row r="9" spans="1:17" ht="16.5" x14ac:dyDescent="0.25">
      <c r="A9" s="92" t="str">
        <f>CONCATENATE("Раздел: ",IF('Source (2)'!G26&lt;&gt;"Новый раздел", 'Source (2)'!G26, ""))</f>
        <v>Раздел: Ремонт дорожно-тропиночной сети с асфальтобетонным покрытием  - 1294 м2</v>
      </c>
      <c r="B9" s="93"/>
      <c r="C9" s="93"/>
      <c r="D9" s="93"/>
      <c r="E9" s="93"/>
      <c r="F9" s="93"/>
      <c r="O9" s="40" t="s">
        <v>396</v>
      </c>
    </row>
    <row r="10" spans="1:17" ht="14" x14ac:dyDescent="0.25">
      <c r="A10" s="94" t="s">
        <v>79</v>
      </c>
      <c r="B10" s="95"/>
      <c r="C10" s="95"/>
      <c r="D10" s="95"/>
      <c r="E10" s="95"/>
      <c r="F10" s="95"/>
    </row>
    <row r="11" spans="1:17" ht="28" x14ac:dyDescent="0.3">
      <c r="A11" s="41" t="s">
        <v>80</v>
      </c>
      <c r="B11" s="32" t="s">
        <v>81</v>
      </c>
      <c r="C11" s="32" t="s">
        <v>82</v>
      </c>
      <c r="D11" s="33" t="e">
        <f>ROUND(SUMIF([2]RV_DATA!Z8:'[2]RV_DATA'!Z31, 2019294988, [2]RV_DATA!I8:'[2]RV_DATA'!I31), 6)</f>
        <v>#REF!</v>
      </c>
      <c r="E11" s="42">
        <f>ROUND([2]RV_DATA!K14, 6)</f>
        <v>1208.6099999999999</v>
      </c>
      <c r="F11" s="42" t="e">
        <f>ROUND(SUMIF([2]RV_DATA!Z8:'[2]RV_DATA'!Z31, 2019294988, [2]RV_DATA!M8:'[2]RV_DATA'!M31), 6)</f>
        <v>#REF!</v>
      </c>
      <c r="Q11" s="2">
        <v>2</v>
      </c>
    </row>
    <row r="12" spans="1:17" ht="70" x14ac:dyDescent="0.3">
      <c r="A12" s="41" t="s">
        <v>83</v>
      </c>
      <c r="B12" s="32" t="s">
        <v>84</v>
      </c>
      <c r="C12" s="32" t="s">
        <v>82</v>
      </c>
      <c r="D12" s="33" t="e">
        <f>ROUND(SUMIF([2]RV_DATA!Z8:'[2]RV_DATA'!Z31, 1314952838, [2]RV_DATA!I8:'[2]RV_DATA'!I31), 6)</f>
        <v>#REF!</v>
      </c>
      <c r="E12" s="42">
        <f>ROUND([2]RV_DATA!K13, 6)</f>
        <v>987.45</v>
      </c>
      <c r="F12" s="42" t="e">
        <f>ROUND(SUMIF([2]RV_DATA!Z8:'[2]RV_DATA'!Z31, 1314952838, [2]RV_DATA!M8:'[2]RV_DATA'!M31), 6)</f>
        <v>#REF!</v>
      </c>
      <c r="Q12" s="2">
        <v>2</v>
      </c>
    </row>
    <row r="13" spans="1:17" ht="28" x14ac:dyDescent="0.3">
      <c r="A13" s="41" t="s">
        <v>85</v>
      </c>
      <c r="B13" s="32" t="s">
        <v>86</v>
      </c>
      <c r="C13" s="32" t="s">
        <v>82</v>
      </c>
      <c r="D13" s="33" t="e">
        <f>ROUND(SUMIF([2]RV_DATA!Z8:'[2]RV_DATA'!Z31, 1824656456, [2]RV_DATA!I8:'[2]RV_DATA'!I31), 6)</f>
        <v>#REF!</v>
      </c>
      <c r="E13" s="42">
        <f>ROUND([2]RV_DATA!K27, 6)</f>
        <v>1070.1199999999999</v>
      </c>
      <c r="F13" s="42" t="e">
        <f>ROUND(SUMIF([2]RV_DATA!Z8:'[2]RV_DATA'!Z31, 1824656456, [2]RV_DATA!M8:'[2]RV_DATA'!M31), 6)</f>
        <v>#REF!</v>
      </c>
      <c r="Q13" s="2">
        <v>2</v>
      </c>
    </row>
    <row r="14" spans="1:17" ht="28" x14ac:dyDescent="0.3">
      <c r="A14" s="41" t="s">
        <v>87</v>
      </c>
      <c r="B14" s="32" t="s">
        <v>88</v>
      </c>
      <c r="C14" s="32" t="s">
        <v>82</v>
      </c>
      <c r="D14" s="33" t="e">
        <f>ROUND(SUMIF([2]RV_DATA!Z8:'[2]RV_DATA'!Z31, -256044164, [2]RV_DATA!I8:'[2]RV_DATA'!I31), 6)</f>
        <v>#REF!</v>
      </c>
      <c r="E14" s="42">
        <f>ROUND([2]RV_DATA!K26, 6)</f>
        <v>1080.76</v>
      </c>
      <c r="F14" s="42" t="e">
        <f>ROUND(SUMIF([2]RV_DATA!Z8:'[2]RV_DATA'!Z31, -256044164, [2]RV_DATA!M8:'[2]RV_DATA'!M31), 6)</f>
        <v>#REF!</v>
      </c>
      <c r="Q14" s="2">
        <v>2</v>
      </c>
    </row>
    <row r="15" spans="1:17" ht="28" x14ac:dyDescent="0.3">
      <c r="A15" s="41" t="s">
        <v>89</v>
      </c>
      <c r="B15" s="32" t="s">
        <v>90</v>
      </c>
      <c r="C15" s="32" t="s">
        <v>82</v>
      </c>
      <c r="D15" s="33" t="e">
        <f>ROUND(SUMIF([2]RV_DATA!Z8:'[2]RV_DATA'!Z31, -48088149, [2]RV_DATA!I8:'[2]RV_DATA'!I31), 6)</f>
        <v>#REF!</v>
      </c>
      <c r="E15" s="42">
        <f>ROUND([2]RV_DATA!K24, 6)</f>
        <v>780.77</v>
      </c>
      <c r="F15" s="42" t="e">
        <f>ROUND(SUMIF([2]RV_DATA!Z8:'[2]RV_DATA'!Z31, -48088149, [2]RV_DATA!M8:'[2]RV_DATA'!M31), 6)</f>
        <v>#REF!</v>
      </c>
      <c r="Q15" s="2">
        <v>2</v>
      </c>
    </row>
    <row r="16" spans="1:17" ht="14" x14ac:dyDescent="0.3">
      <c r="A16" s="41" t="s">
        <v>91</v>
      </c>
      <c r="B16" s="32" t="s">
        <v>92</v>
      </c>
      <c r="C16" s="32" t="s">
        <v>82</v>
      </c>
      <c r="D16" s="33" t="e">
        <f>ROUND(SUMIF([2]RV_DATA!Z8:'[2]RV_DATA'!Z31, -1515012402, [2]RV_DATA!I8:'[2]RV_DATA'!I31), 6)</f>
        <v>#REF!</v>
      </c>
      <c r="E16" s="42">
        <f>ROUND([2]RV_DATA!K12, 6)</f>
        <v>6.02</v>
      </c>
      <c r="F16" s="42" t="e">
        <f>ROUND(SUMIF([2]RV_DATA!Z8:'[2]RV_DATA'!Z31, -1515012402, [2]RV_DATA!M8:'[2]RV_DATA'!M31), 6)</f>
        <v>#REF!</v>
      </c>
      <c r="Q16" s="2">
        <v>2</v>
      </c>
    </row>
    <row r="17" spans="1:17" ht="42" x14ac:dyDescent="0.3">
      <c r="A17" s="41" t="s">
        <v>93</v>
      </c>
      <c r="B17" s="32" t="s">
        <v>94</v>
      </c>
      <c r="C17" s="32" t="s">
        <v>82</v>
      </c>
      <c r="D17" s="33" t="e">
        <f>ROUND(SUMIF([2]RV_DATA!Z8:'[2]RV_DATA'!Z31, -1370074042, [2]RV_DATA!I8:'[2]RV_DATA'!I31), 6)</f>
        <v>#REF!</v>
      </c>
      <c r="E17" s="42">
        <f>ROUND([2]RV_DATA!K11, 6)</f>
        <v>7834.05</v>
      </c>
      <c r="F17" s="42" t="e">
        <f>ROUND(SUMIF([2]RV_DATA!Z8:'[2]RV_DATA'!Z31, -1370074042, [2]RV_DATA!M8:'[2]RV_DATA'!M31), 6)</f>
        <v>#REF!</v>
      </c>
      <c r="Q17" s="2">
        <v>2</v>
      </c>
    </row>
    <row r="18" spans="1:17" ht="28" x14ac:dyDescent="0.3">
      <c r="A18" s="41" t="s">
        <v>95</v>
      </c>
      <c r="B18" s="32" t="s">
        <v>96</v>
      </c>
      <c r="C18" s="32" t="s">
        <v>82</v>
      </c>
      <c r="D18" s="33" t="e">
        <f>ROUND(SUMIF([2]RV_DATA!Z8:'[2]RV_DATA'!Z31, -785264835, [2]RV_DATA!I8:'[2]RV_DATA'!I31), 6)</f>
        <v>#REF!</v>
      </c>
      <c r="E18" s="42">
        <f>ROUND([2]RV_DATA!K23, 6)</f>
        <v>1331.87</v>
      </c>
      <c r="F18" s="42" t="e">
        <f>ROUND(SUMIF([2]RV_DATA!Z8:'[2]RV_DATA'!Z31, -785264835, [2]RV_DATA!M8:'[2]RV_DATA'!M31), 6)</f>
        <v>#REF!</v>
      </c>
      <c r="Q18" s="2">
        <v>2</v>
      </c>
    </row>
    <row r="19" spans="1:17" ht="28" x14ac:dyDescent="0.3">
      <c r="A19" s="41" t="s">
        <v>97</v>
      </c>
      <c r="B19" s="32" t="s">
        <v>98</v>
      </c>
      <c r="C19" s="32" t="s">
        <v>82</v>
      </c>
      <c r="D19" s="33" t="e">
        <f>ROUND(SUMIF([2]RV_DATA!Z8:'[2]RV_DATA'!Z31, -4085501, [2]RV_DATA!I8:'[2]RV_DATA'!I31), 6)</f>
        <v>#REF!</v>
      </c>
      <c r="E19" s="42">
        <f>ROUND([2]RV_DATA!K22, 6)</f>
        <v>1364.68</v>
      </c>
      <c r="F19" s="42" t="e">
        <f>ROUND(SUMIF([2]RV_DATA!Z8:'[2]RV_DATA'!Z31, -4085501, [2]RV_DATA!M8:'[2]RV_DATA'!M31), 6)</f>
        <v>#REF!</v>
      </c>
      <c r="Q19" s="2">
        <v>2</v>
      </c>
    </row>
    <row r="20" spans="1:17" ht="28" x14ac:dyDescent="0.3">
      <c r="A20" s="41" t="s">
        <v>99</v>
      </c>
      <c r="B20" s="32" t="s">
        <v>100</v>
      </c>
      <c r="C20" s="32" t="s">
        <v>82</v>
      </c>
      <c r="D20" s="33" t="e">
        <f>ROUND(SUMIF([2]RV_DATA!Z8:'[2]RV_DATA'!Z31, 1228350729, [2]RV_DATA!I8:'[2]RV_DATA'!I31), 6)</f>
        <v>#REF!</v>
      </c>
      <c r="E20" s="42">
        <f>ROUND([2]RV_DATA!K21, 6)</f>
        <v>1888.15</v>
      </c>
      <c r="F20" s="42" t="e">
        <f>ROUND(SUMIF([2]RV_DATA!Z8:'[2]RV_DATA'!Z31, 1228350729, [2]RV_DATA!M8:'[2]RV_DATA'!M31), 6)</f>
        <v>#REF!</v>
      </c>
      <c r="Q20" s="2">
        <v>2</v>
      </c>
    </row>
    <row r="21" spans="1:17" ht="28" x14ac:dyDescent="0.3">
      <c r="A21" s="41" t="s">
        <v>101</v>
      </c>
      <c r="B21" s="32" t="s">
        <v>102</v>
      </c>
      <c r="C21" s="32" t="s">
        <v>82</v>
      </c>
      <c r="D21" s="33" t="e">
        <f>ROUND(SUMIF([2]RV_DATA!Z8:'[2]RV_DATA'!Z31, -1406234508, [2]RV_DATA!I8:'[2]RV_DATA'!I31), 6)</f>
        <v>#REF!</v>
      </c>
      <c r="E21" s="42">
        <f>ROUND([2]RV_DATA!K20, 6)</f>
        <v>1586.43</v>
      </c>
      <c r="F21" s="42" t="e">
        <f>ROUND(SUMIF([2]RV_DATA!Z8:'[2]RV_DATA'!Z31, -1406234508, [2]RV_DATA!M8:'[2]RV_DATA'!M31), 6)</f>
        <v>#REF!</v>
      </c>
      <c r="Q21" s="2">
        <v>2</v>
      </c>
    </row>
    <row r="22" spans="1:17" ht="28" x14ac:dyDescent="0.3">
      <c r="A22" s="41" t="s">
        <v>103</v>
      </c>
      <c r="B22" s="32" t="s">
        <v>104</v>
      </c>
      <c r="C22" s="32" t="s">
        <v>82</v>
      </c>
      <c r="D22" s="33" t="e">
        <f>ROUND(SUMIF([2]RV_DATA!Z8:'[2]RV_DATA'!Z31, -1246492657, [2]RV_DATA!I8:'[2]RV_DATA'!I31), 6)</f>
        <v>#REF!</v>
      </c>
      <c r="E22" s="42">
        <f>ROUND([2]RV_DATA!K10, 6)</f>
        <v>1383.17</v>
      </c>
      <c r="F22" s="42" t="e">
        <f>ROUND(SUMIF([2]RV_DATA!Z8:'[2]RV_DATA'!Z31, -1246492657, [2]RV_DATA!M8:'[2]RV_DATA'!M31), 6)</f>
        <v>#REF!</v>
      </c>
      <c r="Q22" s="2">
        <v>2</v>
      </c>
    </row>
    <row r="23" spans="1:17" ht="14" x14ac:dyDescent="0.3">
      <c r="A23" s="90" t="s">
        <v>105</v>
      </c>
      <c r="B23" s="90"/>
      <c r="C23" s="90"/>
      <c r="D23" s="90"/>
      <c r="E23" s="91" t="e">
        <f>SUMIF(Q11:Q22, 2, F11:F22)</f>
        <v>#REF!</v>
      </c>
      <c r="F23" s="91"/>
    </row>
    <row r="24" spans="1:17" ht="14" x14ac:dyDescent="0.25">
      <c r="A24" s="94" t="s">
        <v>106</v>
      </c>
      <c r="B24" s="95"/>
      <c r="C24" s="95"/>
      <c r="D24" s="95"/>
      <c r="E24" s="95"/>
      <c r="F24" s="95"/>
    </row>
    <row r="25" spans="1:17" ht="42" x14ac:dyDescent="0.3">
      <c r="A25" s="41" t="s">
        <v>107</v>
      </c>
      <c r="B25" s="32" t="s">
        <v>108</v>
      </c>
      <c r="C25" s="32" t="s">
        <v>62</v>
      </c>
      <c r="D25" s="33" t="e">
        <f>ROUND(SUMIF([2]RV_DATA!Z8:'[2]RV_DATA'!Z31, 1599901582, [2]RV_DATA!I8:'[2]RV_DATA'!I31), 6)</f>
        <v>#REF!</v>
      </c>
      <c r="E25" s="42">
        <f>ROUND([2]RV_DATA!K25, 6)</f>
        <v>1232.5</v>
      </c>
      <c r="F25" s="42" t="e">
        <f>ROUND(SUMIF([2]RV_DATA!Z8:'[2]RV_DATA'!Z31, 1599901582, [2]RV_DATA!M8:'[2]RV_DATA'!M31), 6)</f>
        <v>#REF!</v>
      </c>
      <c r="Q25" s="2">
        <v>3</v>
      </c>
    </row>
    <row r="26" spans="1:17" ht="28" x14ac:dyDescent="0.3">
      <c r="A26" s="41" t="s">
        <v>109</v>
      </c>
      <c r="B26" s="32" t="s">
        <v>110</v>
      </c>
      <c r="C26" s="32" t="s">
        <v>63</v>
      </c>
      <c r="D26" s="33" t="e">
        <f>ROUND(SUMIF([2]RV_DATA!Z8:'[2]RV_DATA'!Z31, 294508000, [2]RV_DATA!I8:'[2]RV_DATA'!I31), 6)</f>
        <v>#REF!</v>
      </c>
      <c r="E26" s="42">
        <f>ROUND([2]RV_DATA!K30, 6)</f>
        <v>34834.18</v>
      </c>
      <c r="F26" s="42" t="e">
        <f>ROUND(SUMIF([2]RV_DATA!Z8:'[2]RV_DATA'!Z31, 294508000, [2]RV_DATA!M8:'[2]RV_DATA'!M31), 6)</f>
        <v>#REF!</v>
      </c>
      <c r="Q26" s="2">
        <v>3</v>
      </c>
    </row>
    <row r="27" spans="1:17" ht="14" x14ac:dyDescent="0.3">
      <c r="A27" s="41" t="s">
        <v>111</v>
      </c>
      <c r="B27" s="32" t="s">
        <v>112</v>
      </c>
      <c r="C27" s="32" t="s">
        <v>62</v>
      </c>
      <c r="D27" s="33" t="e">
        <f>ROUND(SUMIF([2]RV_DATA!Z8:'[2]RV_DATA'!Z31, 743170984, [2]RV_DATA!I8:'[2]RV_DATA'!I31), 6)</f>
        <v>#REF!</v>
      </c>
      <c r="E27" s="42">
        <f>ROUND([2]RV_DATA!K9, 6)</f>
        <v>36.31</v>
      </c>
      <c r="F27" s="42" t="e">
        <f>ROUND(SUMIF([2]RV_DATA!Z8:'[2]RV_DATA'!Z31, 743170984, [2]RV_DATA!M8:'[2]RV_DATA'!M31), 6)</f>
        <v>#REF!</v>
      </c>
      <c r="Q27" s="2">
        <v>3</v>
      </c>
    </row>
    <row r="28" spans="1:17" ht="28" x14ac:dyDescent="0.3">
      <c r="A28" s="41" t="s">
        <v>113</v>
      </c>
      <c r="B28" s="32" t="s">
        <v>114</v>
      </c>
      <c r="C28" s="32" t="s">
        <v>67</v>
      </c>
      <c r="D28" s="33" t="e">
        <f>ROUND(SUMIF([2]RV_DATA!Z8:'[2]RV_DATA'!Z31, -1733748040, [2]RV_DATA!I8:'[2]RV_DATA'!I31), 6)</f>
        <v>#REF!</v>
      </c>
      <c r="E28" s="42">
        <f>ROUND([2]RV_DATA!K8, 6)</f>
        <v>256.22000000000003</v>
      </c>
      <c r="F28" s="42" t="e">
        <f>ROUND(SUMIF([2]RV_DATA!Z8:'[2]RV_DATA'!Z31, -1733748040, [2]RV_DATA!M8:'[2]RV_DATA'!M31), 6)</f>
        <v>#REF!</v>
      </c>
      <c r="Q28" s="2">
        <v>3</v>
      </c>
    </row>
    <row r="29" spans="1:17" ht="14" x14ac:dyDescent="0.3">
      <c r="A29" s="90" t="s">
        <v>115</v>
      </c>
      <c r="B29" s="90"/>
      <c r="C29" s="90"/>
      <c r="D29" s="90"/>
      <c r="E29" s="91" t="e">
        <f>SUMIF(Q25:Q28, 3, F25:F28)</f>
        <v>#REF!</v>
      </c>
      <c r="F29" s="91"/>
    </row>
    <row r="30" spans="1:17" ht="16.5" x14ac:dyDescent="0.25">
      <c r="A30" s="92" t="str">
        <f>CONCATENATE("Раздел: ",IF('Source (2)'!G82&lt;&gt;"Новый раздел", 'Source (2)'!G82, ""))</f>
        <v>Раздел: Устройство бортового камня</v>
      </c>
      <c r="B30" s="93"/>
      <c r="C30" s="93"/>
      <c r="D30" s="93"/>
      <c r="E30" s="93"/>
      <c r="F30" s="93"/>
    </row>
    <row r="31" spans="1:17" ht="14" x14ac:dyDescent="0.25">
      <c r="A31" s="94" t="s">
        <v>79</v>
      </c>
      <c r="B31" s="95"/>
      <c r="C31" s="95"/>
      <c r="D31" s="95"/>
      <c r="E31" s="95"/>
      <c r="F31" s="95"/>
    </row>
    <row r="32" spans="1:17" ht="28" x14ac:dyDescent="0.3">
      <c r="A32" s="41" t="s">
        <v>116</v>
      </c>
      <c r="B32" s="32" t="s">
        <v>117</v>
      </c>
      <c r="C32" s="32" t="s">
        <v>82</v>
      </c>
      <c r="D32" s="33" t="e">
        <f>ROUND(SUMIF([2]RV_DATA!Z33:'[2]RV_DATA'!Z45, -1152603303, [2]RV_DATA!I33:'[2]RV_DATA'!I45), 6)</f>
        <v>#REF!</v>
      </c>
      <c r="E32" s="42">
        <f>ROUND([2]RV_DATA!K38, 6)</f>
        <v>493.52</v>
      </c>
      <c r="F32" s="42" t="e">
        <f>ROUND(SUMIF([2]RV_DATA!Z33:'[2]RV_DATA'!Z45, -1152603303, [2]RV_DATA!M33:'[2]RV_DATA'!M45), 6)</f>
        <v>#REF!</v>
      </c>
      <c r="Q32" s="2">
        <v>2</v>
      </c>
    </row>
    <row r="33" spans="1:17" ht="28" x14ac:dyDescent="0.3">
      <c r="A33" s="41" t="s">
        <v>85</v>
      </c>
      <c r="B33" s="32" t="s">
        <v>86</v>
      </c>
      <c r="C33" s="32" t="s">
        <v>82</v>
      </c>
      <c r="D33" s="33" t="e">
        <f>ROUND(SUMIF([2]RV_DATA!Z33:'[2]RV_DATA'!Z45, 1824656456, [2]RV_DATA!I33:'[2]RV_DATA'!I45), 6)</f>
        <v>#REF!</v>
      </c>
      <c r="E33" s="42">
        <f>ROUND([2]RV_DATA!K40, 6)</f>
        <v>1070.1199999999999</v>
      </c>
      <c r="F33" s="42" t="e">
        <f>ROUND(SUMIF([2]RV_DATA!Z33:'[2]RV_DATA'!Z45, 1824656456, [2]RV_DATA!M33:'[2]RV_DATA'!M45), 6)</f>
        <v>#REF!</v>
      </c>
      <c r="Q33" s="2">
        <v>2</v>
      </c>
    </row>
    <row r="34" spans="1:17" ht="28" x14ac:dyDescent="0.3">
      <c r="A34" s="41" t="s">
        <v>87</v>
      </c>
      <c r="B34" s="32" t="s">
        <v>88</v>
      </c>
      <c r="C34" s="32" t="s">
        <v>82</v>
      </c>
      <c r="D34" s="33" t="e">
        <f>ROUND(SUMIF([2]RV_DATA!Z33:'[2]RV_DATA'!Z45, -256044164, [2]RV_DATA!I33:'[2]RV_DATA'!I45), 6)</f>
        <v>#REF!</v>
      </c>
      <c r="E34" s="42">
        <f>ROUND([2]RV_DATA!K39, 6)</f>
        <v>1080.76</v>
      </c>
      <c r="F34" s="42" t="e">
        <f>ROUND(SUMIF([2]RV_DATA!Z33:'[2]RV_DATA'!Z45, -256044164, [2]RV_DATA!M33:'[2]RV_DATA'!M45), 6)</f>
        <v>#REF!</v>
      </c>
      <c r="Q34" s="2">
        <v>2</v>
      </c>
    </row>
    <row r="35" spans="1:17" ht="42" x14ac:dyDescent="0.3">
      <c r="A35" s="41" t="s">
        <v>118</v>
      </c>
      <c r="B35" s="32" t="s">
        <v>119</v>
      </c>
      <c r="C35" s="32" t="s">
        <v>82</v>
      </c>
      <c r="D35" s="33" t="e">
        <f>ROUND(SUMIF([2]RV_DATA!Z33:'[2]RV_DATA'!Z45, -459960526, [2]RV_DATA!I33:'[2]RV_DATA'!I45), 6)</f>
        <v>#REF!</v>
      </c>
      <c r="E35" s="42">
        <f>ROUND([2]RV_DATA!K37, 6)</f>
        <v>1153.51</v>
      </c>
      <c r="F35" s="42" t="e">
        <f>ROUND(SUMIF([2]RV_DATA!Z33:'[2]RV_DATA'!Z45, -459960526, [2]RV_DATA!M33:'[2]RV_DATA'!M45), 6)</f>
        <v>#REF!</v>
      </c>
      <c r="Q35" s="2">
        <v>2</v>
      </c>
    </row>
    <row r="36" spans="1:17" ht="14" x14ac:dyDescent="0.3">
      <c r="A36" s="41" t="s">
        <v>91</v>
      </c>
      <c r="B36" s="32" t="s">
        <v>92</v>
      </c>
      <c r="C36" s="32" t="s">
        <v>82</v>
      </c>
      <c r="D36" s="33" t="e">
        <f>ROUND(SUMIF([2]RV_DATA!Z33:'[2]RV_DATA'!Z45, -1515012402, [2]RV_DATA!I33:'[2]RV_DATA'!I45), 6)</f>
        <v>#REF!</v>
      </c>
      <c r="E36" s="42">
        <f>ROUND([2]RV_DATA!K36, 6)</f>
        <v>6.02</v>
      </c>
      <c r="F36" s="42" t="e">
        <f>ROUND(SUMIF([2]RV_DATA!Z33:'[2]RV_DATA'!Z45, -1515012402, [2]RV_DATA!M33:'[2]RV_DATA'!M45), 6)</f>
        <v>#REF!</v>
      </c>
      <c r="Q36" s="2">
        <v>2</v>
      </c>
    </row>
    <row r="37" spans="1:17" ht="42" x14ac:dyDescent="0.3">
      <c r="A37" s="41" t="s">
        <v>120</v>
      </c>
      <c r="B37" s="32" t="s">
        <v>121</v>
      </c>
      <c r="C37" s="32" t="s">
        <v>82</v>
      </c>
      <c r="D37" s="33" t="e">
        <f>ROUND(SUMIF([2]RV_DATA!Z33:'[2]RV_DATA'!Z45, 2111206009, [2]RV_DATA!I33:'[2]RV_DATA'!I45), 6)</f>
        <v>#REF!</v>
      </c>
      <c r="E37" s="42">
        <f>ROUND([2]RV_DATA!K35, 6)</f>
        <v>857.91</v>
      </c>
      <c r="F37" s="42" t="e">
        <f>ROUND(SUMIF([2]RV_DATA!Z33:'[2]RV_DATA'!Z45, 2111206009, [2]RV_DATA!M33:'[2]RV_DATA'!M45), 6)</f>
        <v>#REF!</v>
      </c>
      <c r="Q37" s="2">
        <v>2</v>
      </c>
    </row>
    <row r="38" spans="1:17" ht="14" x14ac:dyDescent="0.3">
      <c r="A38" s="90" t="s">
        <v>105</v>
      </c>
      <c r="B38" s="90"/>
      <c r="C38" s="90"/>
      <c r="D38" s="90"/>
      <c r="E38" s="91" t="e">
        <f>SUMIF(Q32:Q37, 2, F32:F37)</f>
        <v>#REF!</v>
      </c>
      <c r="F38" s="91"/>
    </row>
    <row r="39" spans="1:17" ht="14" x14ac:dyDescent="0.25">
      <c r="A39" s="94" t="s">
        <v>106</v>
      </c>
      <c r="B39" s="95"/>
      <c r="C39" s="95"/>
      <c r="D39" s="95"/>
      <c r="E39" s="95"/>
      <c r="F39" s="95"/>
    </row>
    <row r="40" spans="1:17" ht="56" x14ac:dyDescent="0.3">
      <c r="A40" s="41" t="s">
        <v>122</v>
      </c>
      <c r="B40" s="32" t="s">
        <v>123</v>
      </c>
      <c r="C40" s="32" t="s">
        <v>67</v>
      </c>
      <c r="D40" s="33" t="e">
        <f>ROUND(SUMIF([2]RV_DATA!Z33:'[2]RV_DATA'!Z45, -1336401491, [2]RV_DATA!I33:'[2]RV_DATA'!I45), 6)</f>
        <v>#REF!</v>
      </c>
      <c r="E40" s="42">
        <f>ROUND([2]RV_DATA!K45, 6)</f>
        <v>140.25</v>
      </c>
      <c r="F40" s="42" t="e">
        <f>ROUND(SUMIF([2]RV_DATA!Z33:'[2]RV_DATA'!Z45, -1336401491, [2]RV_DATA!M33:'[2]RV_DATA'!M45), 6)</f>
        <v>#REF!</v>
      </c>
      <c r="Q40" s="2">
        <v>3</v>
      </c>
    </row>
    <row r="41" spans="1:17" ht="56" x14ac:dyDescent="0.3">
      <c r="A41" s="41" t="s">
        <v>124</v>
      </c>
      <c r="B41" s="32" t="s">
        <v>125</v>
      </c>
      <c r="C41" s="32" t="s">
        <v>62</v>
      </c>
      <c r="D41" s="33" t="e">
        <f>ROUND(SUMIF([2]RV_DATA!Z33:'[2]RV_DATA'!Z45, -1473608290, [2]RV_DATA!I33:'[2]RV_DATA'!I45), 6)</f>
        <v>#REF!</v>
      </c>
      <c r="E41" s="42">
        <f>ROUND([2]RV_DATA!K34, 6)</f>
        <v>3886.23</v>
      </c>
      <c r="F41" s="42" t="e">
        <f>ROUND(SUMIF([2]RV_DATA!Z33:'[2]RV_DATA'!Z45, -1473608290, [2]RV_DATA!M33:'[2]RV_DATA'!M45), 6)</f>
        <v>#REF!</v>
      </c>
      <c r="Q41" s="2">
        <v>3</v>
      </c>
    </row>
    <row r="42" spans="1:17" ht="56" x14ac:dyDescent="0.3">
      <c r="A42" s="41" t="s">
        <v>126</v>
      </c>
      <c r="B42" s="32" t="s">
        <v>127</v>
      </c>
      <c r="C42" s="32" t="s">
        <v>62</v>
      </c>
      <c r="D42" s="33" t="e">
        <f>ROUND(SUMIF([2]RV_DATA!Z33:'[2]RV_DATA'!Z45, -462793493, [2]RV_DATA!I33:'[2]RV_DATA'!I45), 6)</f>
        <v>#REF!</v>
      </c>
      <c r="E42" s="42">
        <f>ROUND([2]RV_DATA!K44, 6)</f>
        <v>3917.3</v>
      </c>
      <c r="F42" s="42" t="e">
        <f>ROUND(SUMIF([2]RV_DATA!Z33:'[2]RV_DATA'!Z45, -462793493, [2]RV_DATA!M33:'[2]RV_DATA'!M45), 6)</f>
        <v>#REF!</v>
      </c>
      <c r="Q42" s="2">
        <v>3</v>
      </c>
    </row>
    <row r="43" spans="1:17" ht="28" x14ac:dyDescent="0.3">
      <c r="A43" s="41" t="s">
        <v>128</v>
      </c>
      <c r="B43" s="32" t="s">
        <v>129</v>
      </c>
      <c r="C43" s="32" t="s">
        <v>62</v>
      </c>
      <c r="D43" s="33" t="e">
        <f>ROUND(SUMIF([2]RV_DATA!Z33:'[2]RV_DATA'!Z45, -718781211, [2]RV_DATA!I33:'[2]RV_DATA'!I45), 6)</f>
        <v>#REF!</v>
      </c>
      <c r="E43" s="42">
        <f>ROUND([2]RV_DATA!K33, 6)</f>
        <v>7871.69</v>
      </c>
      <c r="F43" s="42" t="e">
        <f>ROUND(SUMIF([2]RV_DATA!Z33:'[2]RV_DATA'!Z45, -718781211, [2]RV_DATA!M33:'[2]RV_DATA'!M45), 6)</f>
        <v>#REF!</v>
      </c>
      <c r="Q43" s="2">
        <v>3</v>
      </c>
    </row>
    <row r="44" spans="1:17" ht="14" x14ac:dyDescent="0.3">
      <c r="A44" s="90" t="s">
        <v>115</v>
      </c>
      <c r="B44" s="90"/>
      <c r="C44" s="90"/>
      <c r="D44" s="90"/>
      <c r="E44" s="91" t="e">
        <f>SUMIF(Q40:Q43, 3, F40:F43)</f>
        <v>#REF!</v>
      </c>
      <c r="F44" s="91"/>
    </row>
    <row r="45" spans="1:17" ht="16.5" x14ac:dyDescent="0.25">
      <c r="A45" s="92" t="str">
        <f>CONCATENATE("Раздел: ",IF('Source (2)'!G135&lt;&gt;"Новый раздел", 'Source (2)'!G135, ""))</f>
        <v>Раздел: Устройство малых архитектурных форм</v>
      </c>
      <c r="B45" s="93"/>
      <c r="C45" s="93"/>
      <c r="D45" s="93"/>
      <c r="E45" s="93"/>
      <c r="F45" s="93"/>
    </row>
    <row r="46" spans="1:17" ht="14" x14ac:dyDescent="0.25">
      <c r="A46" s="94" t="s">
        <v>106</v>
      </c>
      <c r="B46" s="95"/>
      <c r="C46" s="95"/>
      <c r="D46" s="95"/>
      <c r="E46" s="95"/>
      <c r="F46" s="95"/>
    </row>
    <row r="47" spans="1:17" ht="42" x14ac:dyDescent="0.3">
      <c r="A47" s="41" t="s">
        <v>130</v>
      </c>
      <c r="B47" s="32" t="s">
        <v>131</v>
      </c>
      <c r="C47" s="32" t="s">
        <v>67</v>
      </c>
      <c r="D47" s="33" t="e">
        <f>ROUND(SUMIF([2]RV_DATA!Z47:'[2]RV_DATA'!Z48, 1633630556, [2]RV_DATA!I47:'[2]RV_DATA'!I48), 6)</f>
        <v>#VALUE!</v>
      </c>
      <c r="E47" s="42">
        <f>ROUND([2]RV_DATA!K48, 6)</f>
        <v>2812.5</v>
      </c>
      <c r="F47" s="42" t="e">
        <f>ROUND(SUMIF([2]RV_DATA!Z47:'[2]RV_DATA'!Z48, 1633630556, [2]RV_DATA!M47:'[2]RV_DATA'!M48), 6)</f>
        <v>#VALUE!</v>
      </c>
      <c r="Q47" s="2">
        <v>3</v>
      </c>
    </row>
    <row r="48" spans="1:17" ht="70" x14ac:dyDescent="0.3">
      <c r="A48" s="41" t="s">
        <v>132</v>
      </c>
      <c r="B48" s="32" t="s">
        <v>133</v>
      </c>
      <c r="C48" s="32" t="s">
        <v>67</v>
      </c>
      <c r="D48" s="33" t="e">
        <f>ROUND(SUMIF([2]RV_DATA!Z47:'[2]RV_DATA'!Z48, -1123188272, [2]RV_DATA!I47:'[2]RV_DATA'!I48), 6)</f>
        <v>#VALUE!</v>
      </c>
      <c r="E48" s="42">
        <f>ROUND([2]RV_DATA!K47, 6)</f>
        <v>20600</v>
      </c>
      <c r="F48" s="42" t="e">
        <f>ROUND(SUMIF([2]RV_DATA!Z47:'[2]RV_DATA'!Z48, -1123188272, [2]RV_DATA!M47:'[2]RV_DATA'!M48), 6)</f>
        <v>#VALUE!</v>
      </c>
      <c r="Q48" s="2">
        <v>3</v>
      </c>
    </row>
    <row r="49" spans="1:17" ht="14" x14ac:dyDescent="0.3">
      <c r="A49" s="90" t="s">
        <v>115</v>
      </c>
      <c r="B49" s="90"/>
      <c r="C49" s="90"/>
      <c r="D49" s="90"/>
      <c r="E49" s="91" t="e">
        <f>SUMIF(Q47:Q48, 3, F47:F48)</f>
        <v>#VALUE!</v>
      </c>
      <c r="F49" s="91"/>
    </row>
    <row r="50" spans="1:17" ht="16.5" x14ac:dyDescent="0.25">
      <c r="A50" s="92" t="str">
        <f>CONCATENATE("Раздел: ",IF('Source (2)'!G182&lt;&gt;"Новый раздел", 'Source (2)'!G182, ""))</f>
        <v>Раздел: Ремонт газонов -300м2</v>
      </c>
      <c r="B50" s="93"/>
      <c r="C50" s="93"/>
      <c r="D50" s="93"/>
      <c r="E50" s="93"/>
      <c r="F50" s="93"/>
    </row>
    <row r="51" spans="1:17" ht="14" x14ac:dyDescent="0.25">
      <c r="A51" s="94" t="s">
        <v>79</v>
      </c>
      <c r="B51" s="95"/>
      <c r="C51" s="95"/>
      <c r="D51" s="95"/>
      <c r="E51" s="95"/>
      <c r="F51" s="95"/>
    </row>
    <row r="52" spans="1:17" ht="14" x14ac:dyDescent="0.3">
      <c r="A52" s="41" t="s">
        <v>134</v>
      </c>
      <c r="B52" s="32" t="s">
        <v>135</v>
      </c>
      <c r="C52" s="32" t="s">
        <v>82</v>
      </c>
      <c r="D52" s="33" t="e">
        <f>ROUND(SUMIF([2]RV_DATA!Z50:'[2]RV_DATA'!Z56, -1477563123, [2]RV_DATA!I50:'[2]RV_DATA'!I56), 6)</f>
        <v>#REF!</v>
      </c>
      <c r="E52" s="42">
        <f>ROUND([2]RV_DATA!K52, 6)</f>
        <v>17.07</v>
      </c>
      <c r="F52" s="42" t="e">
        <f>ROUND(SUMIF([2]RV_DATA!Z50:'[2]RV_DATA'!Z56, -1477563123, [2]RV_DATA!M50:'[2]RV_DATA'!M56), 6)</f>
        <v>#REF!</v>
      </c>
      <c r="Q52" s="2">
        <v>2</v>
      </c>
    </row>
    <row r="53" spans="1:17" ht="28" x14ac:dyDescent="0.3">
      <c r="A53" s="41" t="s">
        <v>136</v>
      </c>
      <c r="B53" s="32" t="s">
        <v>137</v>
      </c>
      <c r="C53" s="32" t="s">
        <v>82</v>
      </c>
      <c r="D53" s="33" t="e">
        <f>ROUND(SUMIF([2]RV_DATA!Z50:'[2]RV_DATA'!Z56, -1222050215, [2]RV_DATA!I50:'[2]RV_DATA'!I56), 6)</f>
        <v>#REF!</v>
      </c>
      <c r="E53" s="42">
        <f>ROUND([2]RV_DATA!K51, 6)</f>
        <v>1060.5899999999999</v>
      </c>
      <c r="F53" s="42" t="e">
        <f>ROUND(SUMIF([2]RV_DATA!Z50:'[2]RV_DATA'!Z56, -1222050215, [2]RV_DATA!M50:'[2]RV_DATA'!M56), 6)</f>
        <v>#REF!</v>
      </c>
      <c r="Q53" s="2">
        <v>2</v>
      </c>
    </row>
    <row r="54" spans="1:17" ht="14" x14ac:dyDescent="0.3">
      <c r="A54" s="90" t="s">
        <v>105</v>
      </c>
      <c r="B54" s="90"/>
      <c r="C54" s="90"/>
      <c r="D54" s="90"/>
      <c r="E54" s="91" t="e">
        <f>SUMIF(Q52:Q53, 2, F52:F53)</f>
        <v>#REF!</v>
      </c>
      <c r="F54" s="91"/>
    </row>
    <row r="55" spans="1:17" ht="14" x14ac:dyDescent="0.25">
      <c r="A55" s="94" t="s">
        <v>106</v>
      </c>
      <c r="B55" s="95"/>
      <c r="C55" s="95"/>
      <c r="D55" s="95"/>
      <c r="E55" s="95"/>
      <c r="F55" s="95"/>
    </row>
    <row r="56" spans="1:17" ht="14" x14ac:dyDescent="0.3">
      <c r="A56" s="41" t="s">
        <v>111</v>
      </c>
      <c r="B56" s="32" t="s">
        <v>112</v>
      </c>
      <c r="C56" s="32" t="s">
        <v>62</v>
      </c>
      <c r="D56" s="33" t="e">
        <f>ROUND(SUMIF([2]RV_DATA!Z50:'[2]RV_DATA'!Z56, 743170984, [2]RV_DATA!I50:'[2]RV_DATA'!I56), 6)</f>
        <v>#REF!</v>
      </c>
      <c r="E56" s="42">
        <f>ROUND([2]RV_DATA!K56, 6)</f>
        <v>36.31</v>
      </c>
      <c r="F56" s="42" t="e">
        <f>ROUND(SUMIF([2]RV_DATA!Z50:'[2]RV_DATA'!Z56, 743170984, [2]RV_DATA!M50:'[2]RV_DATA'!M56), 6)</f>
        <v>#REF!</v>
      </c>
      <c r="Q56" s="2">
        <v>3</v>
      </c>
    </row>
    <row r="57" spans="1:17" ht="28" x14ac:dyDescent="0.3">
      <c r="A57" s="41" t="s">
        <v>138</v>
      </c>
      <c r="B57" s="32" t="s">
        <v>139</v>
      </c>
      <c r="C57" s="32" t="s">
        <v>140</v>
      </c>
      <c r="D57" s="33" t="e">
        <f>ROUND(SUMIF([2]RV_DATA!Z50:'[2]RV_DATA'!Z56, 864576860, [2]RV_DATA!I50:'[2]RV_DATA'!I56), 6)</f>
        <v>#REF!</v>
      </c>
      <c r="E57" s="42">
        <f>ROUND([2]RV_DATA!K55, 6)</f>
        <v>331.36</v>
      </c>
      <c r="F57" s="42" t="e">
        <f>ROUND(SUMIF([2]RV_DATA!Z50:'[2]RV_DATA'!Z56, 864576860, [2]RV_DATA!M50:'[2]RV_DATA'!M56), 6)</f>
        <v>#REF!</v>
      </c>
      <c r="Q57" s="2">
        <v>3</v>
      </c>
    </row>
    <row r="58" spans="1:17" ht="14" x14ac:dyDescent="0.3">
      <c r="A58" s="41" t="s">
        <v>141</v>
      </c>
      <c r="B58" s="32" t="s">
        <v>142</v>
      </c>
      <c r="C58" s="32" t="s">
        <v>62</v>
      </c>
      <c r="D58" s="33" t="e">
        <f>ROUND(SUMIF([2]RV_DATA!Z50:'[2]RV_DATA'!Z56, -2147437159, [2]RV_DATA!I50:'[2]RV_DATA'!I56), 6)</f>
        <v>#REF!</v>
      </c>
      <c r="E58" s="42">
        <f>ROUND([2]RV_DATA!K50, 6)</f>
        <v>790.5</v>
      </c>
      <c r="F58" s="42" t="e">
        <f>ROUND(SUMIF([2]RV_DATA!Z50:'[2]RV_DATA'!Z56, -2147437159, [2]RV_DATA!M50:'[2]RV_DATA'!M56), 6)</f>
        <v>#REF!</v>
      </c>
      <c r="Q58" s="2">
        <v>3</v>
      </c>
    </row>
    <row r="59" spans="1:17" ht="14" x14ac:dyDescent="0.3">
      <c r="A59" s="90" t="s">
        <v>115</v>
      </c>
      <c r="B59" s="90"/>
      <c r="C59" s="90"/>
      <c r="D59" s="90"/>
      <c r="E59" s="91" t="e">
        <f>SUMIF(Q56:Q58, 3, F56:F58)</f>
        <v>#REF!</v>
      </c>
      <c r="F59" s="91"/>
    </row>
  </sheetData>
  <mergeCells count="33">
    <mergeCell ref="A24:F24"/>
    <mergeCell ref="A2:F2"/>
    <mergeCell ref="A3:F3"/>
    <mergeCell ref="A4:A6"/>
    <mergeCell ref="B4:B6"/>
    <mergeCell ref="C4:C6"/>
    <mergeCell ref="D4:D6"/>
    <mergeCell ref="E4:F5"/>
    <mergeCell ref="A8:F8"/>
    <mergeCell ref="A9:F9"/>
    <mergeCell ref="A10:F10"/>
    <mergeCell ref="A23:D23"/>
    <mergeCell ref="E23:F23"/>
    <mergeCell ref="A29:D29"/>
    <mergeCell ref="E29:F29"/>
    <mergeCell ref="A30:F30"/>
    <mergeCell ref="A31:F31"/>
    <mergeCell ref="A38:D38"/>
    <mergeCell ref="E38:F38"/>
    <mergeCell ref="A59:D59"/>
    <mergeCell ref="E59:F59"/>
    <mergeCell ref="A39:F39"/>
    <mergeCell ref="A44:D44"/>
    <mergeCell ref="E44:F44"/>
    <mergeCell ref="A45:F45"/>
    <mergeCell ref="A46:F46"/>
    <mergeCell ref="A49:D49"/>
    <mergeCell ref="E49:F49"/>
    <mergeCell ref="A50:F50"/>
    <mergeCell ref="A51:F51"/>
    <mergeCell ref="A54:D54"/>
    <mergeCell ref="E54:F54"/>
    <mergeCell ref="A55:F55"/>
  </mergeCells>
  <pageMargins left="0.6" right="0.4" top="0.65" bottom="0.4" header="0.4" footer="0.4"/>
  <pageSetup paperSize="9" scale="85" fitToHeight="0" orientation="portrait" r:id="rId1"/>
  <headerFooter>
    <oddHeader>&amp;C&amp;P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9D31C-FBCA-43B1-B263-7F65E2C1537B}">
  <dimension ref="A1:IK306"/>
  <sheetViews>
    <sheetView topLeftCell="A256" workbookViewId="0">
      <selection activeCell="I192" sqref="I192"/>
    </sheetView>
  </sheetViews>
  <sheetFormatPr defaultColWidth="9.1796875" defaultRowHeight="12.5" x14ac:dyDescent="0.25"/>
  <cols>
    <col min="1" max="256" width="9.1796875" style="2" customWidth="1"/>
    <col min="257" max="16384" width="9.1796875" style="2"/>
  </cols>
  <sheetData>
    <row r="1" spans="1:133" x14ac:dyDescent="0.25">
      <c r="A1" s="2">
        <v>0</v>
      </c>
      <c r="B1" s="2" t="s">
        <v>162</v>
      </c>
      <c r="D1" s="2" t="s">
        <v>163</v>
      </c>
      <c r="F1" s="2">
        <v>0</v>
      </c>
      <c r="G1" s="2">
        <v>0</v>
      </c>
      <c r="H1" s="2">
        <v>0</v>
      </c>
      <c r="I1" s="2" t="s">
        <v>164</v>
      </c>
      <c r="J1" s="2" t="s">
        <v>30</v>
      </c>
      <c r="K1" s="2">
        <v>1</v>
      </c>
      <c r="L1" s="2">
        <v>53533</v>
      </c>
      <c r="M1" s="2">
        <v>10</v>
      </c>
      <c r="N1" s="2">
        <v>11</v>
      </c>
      <c r="O1" s="2">
        <v>5</v>
      </c>
      <c r="P1" s="2">
        <v>1</v>
      </c>
      <c r="Q1" s="2">
        <v>0</v>
      </c>
    </row>
    <row r="12" spans="1:133" ht="13" x14ac:dyDescent="0.3">
      <c r="A12" s="43">
        <v>1</v>
      </c>
      <c r="B12" s="43">
        <v>302</v>
      </c>
      <c r="C12" s="43">
        <v>0</v>
      </c>
      <c r="D12" s="43">
        <f>ROW(A259)</f>
        <v>259</v>
      </c>
      <c r="E12" s="43">
        <v>0</v>
      </c>
      <c r="F12" s="43" t="s">
        <v>165</v>
      </c>
      <c r="G12" s="43" t="s">
        <v>397</v>
      </c>
      <c r="H12" s="43" t="s">
        <v>30</v>
      </c>
      <c r="I12" s="43">
        <v>0</v>
      </c>
      <c r="J12" s="43" t="s">
        <v>30</v>
      </c>
      <c r="K12" s="43">
        <v>0</v>
      </c>
      <c r="L12" s="43">
        <v>0</v>
      </c>
      <c r="M12" s="43">
        <v>2</v>
      </c>
      <c r="N12" s="43"/>
      <c r="O12" s="43">
        <v>0</v>
      </c>
      <c r="P12" s="43">
        <v>0</v>
      </c>
      <c r="Q12" s="43">
        <v>0</v>
      </c>
      <c r="R12" s="43">
        <v>108</v>
      </c>
      <c r="S12" s="43"/>
      <c r="T12" s="43">
        <v>1</v>
      </c>
      <c r="U12" s="43" t="s">
        <v>30</v>
      </c>
      <c r="V12" s="43">
        <v>0</v>
      </c>
      <c r="W12" s="43" t="s">
        <v>30</v>
      </c>
      <c r="X12" s="43" t="s">
        <v>30</v>
      </c>
      <c r="Y12" s="43" t="s">
        <v>30</v>
      </c>
      <c r="Z12" s="43" t="s">
        <v>30</v>
      </c>
      <c r="AA12" s="43" t="s">
        <v>30</v>
      </c>
      <c r="AB12" s="43" t="s">
        <v>30</v>
      </c>
      <c r="AC12" s="43" t="s">
        <v>30</v>
      </c>
      <c r="AD12" s="43" t="s">
        <v>30</v>
      </c>
      <c r="AE12" s="43" t="s">
        <v>30</v>
      </c>
      <c r="AF12" s="43" t="s">
        <v>30</v>
      </c>
      <c r="AG12" s="43" t="s">
        <v>30</v>
      </c>
      <c r="AH12" s="43" t="s">
        <v>30</v>
      </c>
      <c r="AI12" s="43" t="s">
        <v>30</v>
      </c>
      <c r="AJ12" s="43" t="s">
        <v>30</v>
      </c>
      <c r="AK12" s="43"/>
      <c r="AL12" s="43" t="s">
        <v>30</v>
      </c>
      <c r="AM12" s="43" t="s">
        <v>30</v>
      </c>
      <c r="AN12" s="43" t="s">
        <v>30</v>
      </c>
      <c r="AO12" s="43"/>
      <c r="AP12" s="43" t="s">
        <v>30</v>
      </c>
      <c r="AQ12" s="43" t="s">
        <v>30</v>
      </c>
      <c r="AR12" s="43" t="s">
        <v>30</v>
      </c>
      <c r="AS12" s="43"/>
      <c r="AT12" s="43"/>
      <c r="AU12" s="43"/>
      <c r="AV12" s="43"/>
      <c r="AW12" s="43"/>
      <c r="AX12" s="43" t="s">
        <v>30</v>
      </c>
      <c r="AY12" s="43" t="s">
        <v>30</v>
      </c>
      <c r="AZ12" s="43" t="s">
        <v>30</v>
      </c>
      <c r="BA12" s="43"/>
      <c r="BB12" s="43">
        <v>0</v>
      </c>
      <c r="BC12" s="43"/>
      <c r="BD12" s="43"/>
      <c r="BE12" s="43"/>
      <c r="BF12" s="43"/>
      <c r="BG12" s="43"/>
      <c r="BH12" s="43" t="s">
        <v>167</v>
      </c>
      <c r="BI12" s="43" t="s">
        <v>168</v>
      </c>
      <c r="BJ12" s="43">
        <v>1</v>
      </c>
      <c r="BK12" s="43">
        <v>1</v>
      </c>
      <c r="BL12" s="43">
        <v>0</v>
      </c>
      <c r="BM12" s="43">
        <v>0</v>
      </c>
      <c r="BN12" s="43">
        <v>1</v>
      </c>
      <c r="BO12" s="43">
        <v>0</v>
      </c>
      <c r="BP12" s="43">
        <v>6</v>
      </c>
      <c r="BQ12" s="43">
        <v>2</v>
      </c>
      <c r="BR12" s="43">
        <v>1</v>
      </c>
      <c r="BS12" s="43">
        <v>1</v>
      </c>
      <c r="BT12" s="43">
        <v>0</v>
      </c>
      <c r="BU12" s="43">
        <v>0</v>
      </c>
      <c r="BV12" s="43">
        <v>0</v>
      </c>
      <c r="BW12" s="43">
        <v>0</v>
      </c>
      <c r="BX12" s="43">
        <v>0</v>
      </c>
      <c r="BY12" s="43" t="s">
        <v>169</v>
      </c>
      <c r="BZ12" s="43" t="s">
        <v>170</v>
      </c>
      <c r="CA12" s="43" t="s">
        <v>171</v>
      </c>
      <c r="CB12" s="43" t="s">
        <v>171</v>
      </c>
      <c r="CC12" s="43" t="s">
        <v>171</v>
      </c>
      <c r="CD12" s="43" t="s">
        <v>171</v>
      </c>
      <c r="CE12" s="43" t="s">
        <v>172</v>
      </c>
      <c r="CF12" s="43">
        <v>0</v>
      </c>
      <c r="CG12" s="43">
        <v>0</v>
      </c>
      <c r="CH12" s="43">
        <v>8</v>
      </c>
      <c r="CI12" s="43" t="s">
        <v>30</v>
      </c>
      <c r="CJ12" s="43" t="s">
        <v>30</v>
      </c>
      <c r="CK12" s="43">
        <v>0</v>
      </c>
      <c r="CL12" s="43"/>
      <c r="CM12" s="43"/>
      <c r="CN12" s="43"/>
      <c r="CO12" s="43"/>
      <c r="CP12" s="43"/>
      <c r="CQ12" s="43"/>
      <c r="CR12" s="43"/>
      <c r="CS12" s="43"/>
      <c r="CT12" s="43"/>
      <c r="CU12" s="43"/>
      <c r="CV12" s="43"/>
      <c r="CW12" s="43"/>
      <c r="CX12" s="43"/>
      <c r="CY12" s="43"/>
      <c r="CZ12" s="43"/>
      <c r="DA12" s="43"/>
      <c r="DB12" s="43"/>
      <c r="DC12" s="43"/>
      <c r="DD12" s="43"/>
      <c r="DE12" s="43"/>
      <c r="DF12" s="43"/>
      <c r="DG12" s="43"/>
      <c r="DH12" s="43"/>
      <c r="DI12" s="43"/>
      <c r="DJ12" s="43"/>
      <c r="DK12" s="43"/>
      <c r="DL12" s="43"/>
      <c r="DM12" s="43"/>
      <c r="DN12" s="43"/>
      <c r="DO12" s="43"/>
      <c r="DP12" s="43"/>
      <c r="DQ12" s="43"/>
      <c r="DR12" s="43"/>
      <c r="DS12" s="43"/>
      <c r="DT12" s="43"/>
      <c r="DU12" s="43"/>
      <c r="DV12" s="43"/>
      <c r="DW12" s="43"/>
      <c r="DX12" s="43"/>
      <c r="DY12" s="43"/>
      <c r="DZ12" s="43"/>
      <c r="EA12" s="43"/>
      <c r="EB12" s="43"/>
      <c r="EC12" s="43">
        <v>0</v>
      </c>
    </row>
    <row r="15" spans="1:133" ht="13" x14ac:dyDescent="0.3">
      <c r="A15" s="43">
        <v>15</v>
      </c>
      <c r="B15" s="43">
        <v>1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43"/>
      <c r="BX15" s="43"/>
      <c r="BY15" s="43"/>
      <c r="BZ15" s="43"/>
      <c r="CA15" s="43"/>
      <c r="CB15" s="43"/>
      <c r="CC15" s="43"/>
      <c r="CD15" s="43"/>
      <c r="CE15" s="43"/>
      <c r="CF15" s="43"/>
      <c r="CG15" s="43"/>
      <c r="CH15" s="43"/>
      <c r="CI15" s="43"/>
      <c r="CJ15" s="43"/>
      <c r="CK15" s="43"/>
      <c r="CL15" s="43"/>
      <c r="CM15" s="43"/>
      <c r="CN15" s="43"/>
      <c r="CO15" s="43"/>
      <c r="CP15" s="43"/>
      <c r="CQ15" s="43"/>
      <c r="CR15" s="43"/>
      <c r="CS15" s="43"/>
      <c r="CT15" s="43"/>
      <c r="CU15" s="43"/>
      <c r="CV15" s="43"/>
      <c r="CW15" s="43"/>
      <c r="CX15" s="43"/>
      <c r="CY15" s="43"/>
      <c r="CZ15" s="43"/>
      <c r="DA15" s="43"/>
      <c r="DB15" s="43"/>
      <c r="DC15" s="43"/>
      <c r="DD15" s="43"/>
      <c r="DE15" s="43"/>
      <c r="DF15" s="43"/>
      <c r="DG15" s="43"/>
      <c r="DH15" s="43"/>
      <c r="DI15" s="43"/>
      <c r="DJ15" s="43"/>
      <c r="DK15" s="43"/>
      <c r="DL15" s="43"/>
      <c r="DM15" s="43"/>
      <c r="DN15" s="43"/>
      <c r="DO15" s="43"/>
      <c r="DP15" s="43"/>
      <c r="DQ15" s="43"/>
      <c r="DR15" s="43"/>
      <c r="DS15" s="43"/>
      <c r="DT15" s="43"/>
      <c r="DU15" s="43"/>
      <c r="DV15" s="43"/>
      <c r="DW15" s="43"/>
      <c r="DX15" s="43"/>
      <c r="DY15" s="43"/>
      <c r="DZ15" s="43"/>
      <c r="EA15" s="43"/>
      <c r="EB15" s="43"/>
      <c r="EC15" s="43"/>
    </row>
    <row r="18" spans="1:245" ht="13" x14ac:dyDescent="0.3">
      <c r="A18" s="44">
        <v>52</v>
      </c>
      <c r="B18" s="44">
        <f t="shared" ref="B18:G18" si="0">B259</f>
        <v>302</v>
      </c>
      <c r="C18" s="44">
        <f t="shared" si="0"/>
        <v>1</v>
      </c>
      <c r="D18" s="44">
        <f t="shared" si="0"/>
        <v>12</v>
      </c>
      <c r="E18" s="44">
        <f t="shared" si="0"/>
        <v>0</v>
      </c>
      <c r="F18" s="44" t="str">
        <f t="shared" si="0"/>
        <v>Г43 в ценах 2022г.</v>
      </c>
      <c r="G18" s="44" t="str">
        <f t="shared" si="0"/>
        <v>Г19 к.2 -ремонт АБП</v>
      </c>
      <c r="H18" s="44"/>
      <c r="I18" s="44"/>
      <c r="J18" s="44"/>
      <c r="K18" s="44"/>
      <c r="L18" s="44"/>
      <c r="M18" s="44"/>
      <c r="N18" s="44"/>
      <c r="O18" s="44">
        <f t="shared" ref="O18:BZ18" si="1">O259</f>
        <v>1508635.42</v>
      </c>
      <c r="P18" s="44">
        <f t="shared" si="1"/>
        <v>889980.22</v>
      </c>
      <c r="Q18" s="44">
        <f t="shared" si="1"/>
        <v>477991.65</v>
      </c>
      <c r="R18" s="44">
        <f t="shared" si="1"/>
        <v>242709.12</v>
      </c>
      <c r="S18" s="44">
        <f t="shared" si="1"/>
        <v>140663.54999999999</v>
      </c>
      <c r="T18" s="44">
        <f t="shared" si="1"/>
        <v>0</v>
      </c>
      <c r="U18" s="44">
        <f t="shared" si="1"/>
        <v>648.00717799999995</v>
      </c>
      <c r="V18" s="44">
        <f t="shared" si="1"/>
        <v>0</v>
      </c>
      <c r="W18" s="44">
        <f t="shared" si="1"/>
        <v>0</v>
      </c>
      <c r="X18" s="44">
        <f t="shared" si="1"/>
        <v>98464.49</v>
      </c>
      <c r="Y18" s="44">
        <f t="shared" si="1"/>
        <v>14066.36</v>
      </c>
      <c r="Z18" s="44">
        <f t="shared" si="1"/>
        <v>0</v>
      </c>
      <c r="AA18" s="44">
        <f t="shared" si="1"/>
        <v>0</v>
      </c>
      <c r="AB18" s="44">
        <f t="shared" si="1"/>
        <v>0</v>
      </c>
      <c r="AC18" s="44">
        <f t="shared" si="1"/>
        <v>0</v>
      </c>
      <c r="AD18" s="44">
        <f t="shared" si="1"/>
        <v>0</v>
      </c>
      <c r="AE18" s="44">
        <f t="shared" si="1"/>
        <v>0</v>
      </c>
      <c r="AF18" s="44">
        <f t="shared" si="1"/>
        <v>0</v>
      </c>
      <c r="AG18" s="44">
        <f t="shared" si="1"/>
        <v>0</v>
      </c>
      <c r="AH18" s="44">
        <f t="shared" si="1"/>
        <v>0</v>
      </c>
      <c r="AI18" s="44">
        <f t="shared" si="1"/>
        <v>0</v>
      </c>
      <c r="AJ18" s="44">
        <f t="shared" si="1"/>
        <v>0</v>
      </c>
      <c r="AK18" s="44">
        <f t="shared" si="1"/>
        <v>0</v>
      </c>
      <c r="AL18" s="44">
        <f t="shared" si="1"/>
        <v>0</v>
      </c>
      <c r="AM18" s="44">
        <f t="shared" si="1"/>
        <v>0</v>
      </c>
      <c r="AN18" s="44">
        <f t="shared" si="1"/>
        <v>0</v>
      </c>
      <c r="AO18" s="44">
        <f t="shared" si="1"/>
        <v>0</v>
      </c>
      <c r="AP18" s="44">
        <f t="shared" si="1"/>
        <v>0</v>
      </c>
      <c r="AQ18" s="44">
        <f t="shared" si="1"/>
        <v>0</v>
      </c>
      <c r="AR18" s="44">
        <f t="shared" si="1"/>
        <v>1682458.56</v>
      </c>
      <c r="AS18" s="44">
        <f t="shared" si="1"/>
        <v>0</v>
      </c>
      <c r="AT18" s="44">
        <f t="shared" si="1"/>
        <v>0</v>
      </c>
      <c r="AU18" s="44">
        <f t="shared" si="1"/>
        <v>1682458.56</v>
      </c>
      <c r="AV18" s="44">
        <f t="shared" si="1"/>
        <v>889980.22</v>
      </c>
      <c r="AW18" s="44">
        <f t="shared" si="1"/>
        <v>889980.22</v>
      </c>
      <c r="AX18" s="44">
        <f t="shared" si="1"/>
        <v>0</v>
      </c>
      <c r="AY18" s="44">
        <f t="shared" si="1"/>
        <v>889980.22</v>
      </c>
      <c r="AZ18" s="44">
        <f t="shared" si="1"/>
        <v>0</v>
      </c>
      <c r="BA18" s="44">
        <f t="shared" si="1"/>
        <v>0</v>
      </c>
      <c r="BB18" s="44">
        <f t="shared" si="1"/>
        <v>0</v>
      </c>
      <c r="BC18" s="44">
        <f t="shared" si="1"/>
        <v>0</v>
      </c>
      <c r="BD18" s="44">
        <f t="shared" si="1"/>
        <v>0</v>
      </c>
      <c r="BE18" s="44">
        <f t="shared" si="1"/>
        <v>0</v>
      </c>
      <c r="BF18" s="44">
        <f t="shared" si="1"/>
        <v>0</v>
      </c>
      <c r="BG18" s="44">
        <f t="shared" si="1"/>
        <v>0</v>
      </c>
      <c r="BH18" s="44">
        <f t="shared" si="1"/>
        <v>0</v>
      </c>
      <c r="BI18" s="44">
        <f t="shared" si="1"/>
        <v>0</v>
      </c>
      <c r="BJ18" s="44">
        <f t="shared" si="1"/>
        <v>0</v>
      </c>
      <c r="BK18" s="44">
        <f t="shared" si="1"/>
        <v>0</v>
      </c>
      <c r="BL18" s="44">
        <f t="shared" si="1"/>
        <v>0</v>
      </c>
      <c r="BM18" s="44">
        <f t="shared" si="1"/>
        <v>0</v>
      </c>
      <c r="BN18" s="44">
        <f t="shared" si="1"/>
        <v>0</v>
      </c>
      <c r="BO18" s="44">
        <f t="shared" si="1"/>
        <v>0</v>
      </c>
      <c r="BP18" s="44">
        <f t="shared" si="1"/>
        <v>0</v>
      </c>
      <c r="BQ18" s="44">
        <f t="shared" si="1"/>
        <v>0</v>
      </c>
      <c r="BR18" s="44">
        <f t="shared" si="1"/>
        <v>0</v>
      </c>
      <c r="BS18" s="44">
        <f t="shared" si="1"/>
        <v>0</v>
      </c>
      <c r="BT18" s="44">
        <f t="shared" si="1"/>
        <v>0</v>
      </c>
      <c r="BU18" s="44">
        <f t="shared" si="1"/>
        <v>0</v>
      </c>
      <c r="BV18" s="44">
        <f t="shared" si="1"/>
        <v>0</v>
      </c>
      <c r="BW18" s="44">
        <f t="shared" si="1"/>
        <v>0</v>
      </c>
      <c r="BX18" s="44">
        <f t="shared" si="1"/>
        <v>0</v>
      </c>
      <c r="BY18" s="44">
        <f t="shared" si="1"/>
        <v>0</v>
      </c>
      <c r="BZ18" s="44">
        <f t="shared" si="1"/>
        <v>0</v>
      </c>
      <c r="CA18" s="44">
        <f t="shared" ref="CA18:EL18" si="2">CA259</f>
        <v>0</v>
      </c>
      <c r="CB18" s="44">
        <f t="shared" si="2"/>
        <v>0</v>
      </c>
      <c r="CC18" s="44">
        <f t="shared" si="2"/>
        <v>0</v>
      </c>
      <c r="CD18" s="44">
        <f t="shared" si="2"/>
        <v>0</v>
      </c>
      <c r="CE18" s="44">
        <f t="shared" si="2"/>
        <v>0</v>
      </c>
      <c r="CF18" s="44">
        <f t="shared" si="2"/>
        <v>0</v>
      </c>
      <c r="CG18" s="44">
        <f t="shared" si="2"/>
        <v>0</v>
      </c>
      <c r="CH18" s="44">
        <f t="shared" si="2"/>
        <v>0</v>
      </c>
      <c r="CI18" s="44">
        <f t="shared" si="2"/>
        <v>0</v>
      </c>
      <c r="CJ18" s="44">
        <f t="shared" si="2"/>
        <v>0</v>
      </c>
      <c r="CK18" s="44">
        <f t="shared" si="2"/>
        <v>0</v>
      </c>
      <c r="CL18" s="44">
        <f t="shared" si="2"/>
        <v>0</v>
      </c>
      <c r="CM18" s="44">
        <f t="shared" si="2"/>
        <v>0</v>
      </c>
      <c r="CN18" s="44">
        <f t="shared" si="2"/>
        <v>0</v>
      </c>
      <c r="CO18" s="44">
        <f t="shared" si="2"/>
        <v>0</v>
      </c>
      <c r="CP18" s="44">
        <f t="shared" si="2"/>
        <v>0</v>
      </c>
      <c r="CQ18" s="44">
        <f t="shared" si="2"/>
        <v>0</v>
      </c>
      <c r="CR18" s="44">
        <f t="shared" si="2"/>
        <v>0</v>
      </c>
      <c r="CS18" s="44">
        <f t="shared" si="2"/>
        <v>0</v>
      </c>
      <c r="CT18" s="44">
        <f t="shared" si="2"/>
        <v>0</v>
      </c>
      <c r="CU18" s="44">
        <f t="shared" si="2"/>
        <v>0</v>
      </c>
      <c r="CV18" s="44">
        <f t="shared" si="2"/>
        <v>0</v>
      </c>
      <c r="CW18" s="44">
        <f t="shared" si="2"/>
        <v>0</v>
      </c>
      <c r="CX18" s="44">
        <f t="shared" si="2"/>
        <v>0</v>
      </c>
      <c r="CY18" s="44">
        <f t="shared" si="2"/>
        <v>0</v>
      </c>
      <c r="CZ18" s="44">
        <f t="shared" si="2"/>
        <v>0</v>
      </c>
      <c r="DA18" s="44">
        <f t="shared" si="2"/>
        <v>0</v>
      </c>
      <c r="DB18" s="44">
        <f t="shared" si="2"/>
        <v>0</v>
      </c>
      <c r="DC18" s="44">
        <f t="shared" si="2"/>
        <v>0</v>
      </c>
      <c r="DD18" s="44">
        <f t="shared" si="2"/>
        <v>0</v>
      </c>
      <c r="DE18" s="44">
        <f t="shared" si="2"/>
        <v>0</v>
      </c>
      <c r="DF18" s="44">
        <f t="shared" si="2"/>
        <v>0</v>
      </c>
      <c r="DG18" s="45">
        <f t="shared" si="2"/>
        <v>0</v>
      </c>
      <c r="DH18" s="45">
        <f t="shared" si="2"/>
        <v>0</v>
      </c>
      <c r="DI18" s="45">
        <f t="shared" si="2"/>
        <v>0</v>
      </c>
      <c r="DJ18" s="45">
        <f t="shared" si="2"/>
        <v>0</v>
      </c>
      <c r="DK18" s="45">
        <f t="shared" si="2"/>
        <v>0</v>
      </c>
      <c r="DL18" s="45">
        <f t="shared" si="2"/>
        <v>0</v>
      </c>
      <c r="DM18" s="45">
        <f t="shared" si="2"/>
        <v>0</v>
      </c>
      <c r="DN18" s="45">
        <f t="shared" si="2"/>
        <v>0</v>
      </c>
      <c r="DO18" s="45">
        <f t="shared" si="2"/>
        <v>0</v>
      </c>
      <c r="DP18" s="45">
        <f t="shared" si="2"/>
        <v>0</v>
      </c>
      <c r="DQ18" s="45">
        <f t="shared" si="2"/>
        <v>0</v>
      </c>
      <c r="DR18" s="45">
        <f t="shared" si="2"/>
        <v>0</v>
      </c>
      <c r="DS18" s="45">
        <f t="shared" si="2"/>
        <v>0</v>
      </c>
      <c r="DT18" s="45">
        <f t="shared" si="2"/>
        <v>0</v>
      </c>
      <c r="DU18" s="45">
        <f t="shared" si="2"/>
        <v>0</v>
      </c>
      <c r="DV18" s="45">
        <f t="shared" si="2"/>
        <v>0</v>
      </c>
      <c r="DW18" s="45">
        <f t="shared" si="2"/>
        <v>0</v>
      </c>
      <c r="DX18" s="45">
        <f t="shared" si="2"/>
        <v>0</v>
      </c>
      <c r="DY18" s="45">
        <f t="shared" si="2"/>
        <v>0</v>
      </c>
      <c r="DZ18" s="45">
        <f t="shared" si="2"/>
        <v>0</v>
      </c>
      <c r="EA18" s="45">
        <f t="shared" si="2"/>
        <v>0</v>
      </c>
      <c r="EB18" s="45">
        <f t="shared" si="2"/>
        <v>0</v>
      </c>
      <c r="EC18" s="45">
        <f t="shared" si="2"/>
        <v>0</v>
      </c>
      <c r="ED18" s="45">
        <f t="shared" si="2"/>
        <v>0</v>
      </c>
      <c r="EE18" s="45">
        <f t="shared" si="2"/>
        <v>0</v>
      </c>
      <c r="EF18" s="45">
        <f t="shared" si="2"/>
        <v>0</v>
      </c>
      <c r="EG18" s="45">
        <f t="shared" si="2"/>
        <v>0</v>
      </c>
      <c r="EH18" s="45">
        <f t="shared" si="2"/>
        <v>0</v>
      </c>
      <c r="EI18" s="45">
        <f t="shared" si="2"/>
        <v>0</v>
      </c>
      <c r="EJ18" s="45">
        <f t="shared" si="2"/>
        <v>0</v>
      </c>
      <c r="EK18" s="45">
        <f t="shared" si="2"/>
        <v>0</v>
      </c>
      <c r="EL18" s="45">
        <f t="shared" si="2"/>
        <v>0</v>
      </c>
      <c r="EM18" s="45">
        <f t="shared" ref="EM18:GX18" si="3">EM259</f>
        <v>0</v>
      </c>
      <c r="EN18" s="45">
        <f t="shared" si="3"/>
        <v>0</v>
      </c>
      <c r="EO18" s="45">
        <f t="shared" si="3"/>
        <v>0</v>
      </c>
      <c r="EP18" s="45">
        <f t="shared" si="3"/>
        <v>0</v>
      </c>
      <c r="EQ18" s="45">
        <f t="shared" si="3"/>
        <v>0</v>
      </c>
      <c r="ER18" s="45">
        <f t="shared" si="3"/>
        <v>0</v>
      </c>
      <c r="ES18" s="45">
        <f t="shared" si="3"/>
        <v>0</v>
      </c>
      <c r="ET18" s="45">
        <f t="shared" si="3"/>
        <v>0</v>
      </c>
      <c r="EU18" s="45">
        <f t="shared" si="3"/>
        <v>0</v>
      </c>
      <c r="EV18" s="45">
        <f t="shared" si="3"/>
        <v>0</v>
      </c>
      <c r="EW18" s="45">
        <f t="shared" si="3"/>
        <v>0</v>
      </c>
      <c r="EX18" s="45">
        <f t="shared" si="3"/>
        <v>0</v>
      </c>
      <c r="EY18" s="45">
        <f t="shared" si="3"/>
        <v>0</v>
      </c>
      <c r="EZ18" s="45">
        <f t="shared" si="3"/>
        <v>0</v>
      </c>
      <c r="FA18" s="45">
        <f t="shared" si="3"/>
        <v>0</v>
      </c>
      <c r="FB18" s="45">
        <f t="shared" si="3"/>
        <v>0</v>
      </c>
      <c r="FC18" s="45">
        <f t="shared" si="3"/>
        <v>0</v>
      </c>
      <c r="FD18" s="45">
        <f t="shared" si="3"/>
        <v>0</v>
      </c>
      <c r="FE18" s="45">
        <f t="shared" si="3"/>
        <v>0</v>
      </c>
      <c r="FF18" s="45">
        <f t="shared" si="3"/>
        <v>0</v>
      </c>
      <c r="FG18" s="45">
        <f t="shared" si="3"/>
        <v>0</v>
      </c>
      <c r="FH18" s="45">
        <f t="shared" si="3"/>
        <v>0</v>
      </c>
      <c r="FI18" s="45">
        <f t="shared" si="3"/>
        <v>0</v>
      </c>
      <c r="FJ18" s="45">
        <f t="shared" si="3"/>
        <v>0</v>
      </c>
      <c r="FK18" s="45">
        <f t="shared" si="3"/>
        <v>0</v>
      </c>
      <c r="FL18" s="45">
        <f t="shared" si="3"/>
        <v>0</v>
      </c>
      <c r="FM18" s="45">
        <f t="shared" si="3"/>
        <v>0</v>
      </c>
      <c r="FN18" s="45">
        <f t="shared" si="3"/>
        <v>0</v>
      </c>
      <c r="FO18" s="45">
        <f t="shared" si="3"/>
        <v>0</v>
      </c>
      <c r="FP18" s="45">
        <f t="shared" si="3"/>
        <v>0</v>
      </c>
      <c r="FQ18" s="45">
        <f t="shared" si="3"/>
        <v>0</v>
      </c>
      <c r="FR18" s="45">
        <f t="shared" si="3"/>
        <v>0</v>
      </c>
      <c r="FS18" s="45">
        <f t="shared" si="3"/>
        <v>0</v>
      </c>
      <c r="FT18" s="45">
        <f t="shared" si="3"/>
        <v>0</v>
      </c>
      <c r="FU18" s="45">
        <f t="shared" si="3"/>
        <v>0</v>
      </c>
      <c r="FV18" s="45">
        <f t="shared" si="3"/>
        <v>0</v>
      </c>
      <c r="FW18" s="45">
        <f t="shared" si="3"/>
        <v>0</v>
      </c>
      <c r="FX18" s="45">
        <f t="shared" si="3"/>
        <v>0</v>
      </c>
      <c r="FY18" s="45">
        <f t="shared" si="3"/>
        <v>0</v>
      </c>
      <c r="FZ18" s="45">
        <f t="shared" si="3"/>
        <v>0</v>
      </c>
      <c r="GA18" s="45">
        <f t="shared" si="3"/>
        <v>0</v>
      </c>
      <c r="GB18" s="45">
        <f t="shared" si="3"/>
        <v>0</v>
      </c>
      <c r="GC18" s="45">
        <f t="shared" si="3"/>
        <v>0</v>
      </c>
      <c r="GD18" s="45">
        <f t="shared" si="3"/>
        <v>0</v>
      </c>
      <c r="GE18" s="45">
        <f t="shared" si="3"/>
        <v>0</v>
      </c>
      <c r="GF18" s="45">
        <f t="shared" si="3"/>
        <v>0</v>
      </c>
      <c r="GG18" s="45">
        <f t="shared" si="3"/>
        <v>0</v>
      </c>
      <c r="GH18" s="45">
        <f t="shared" si="3"/>
        <v>0</v>
      </c>
      <c r="GI18" s="45">
        <f t="shared" si="3"/>
        <v>0</v>
      </c>
      <c r="GJ18" s="45">
        <f t="shared" si="3"/>
        <v>0</v>
      </c>
      <c r="GK18" s="45">
        <f t="shared" si="3"/>
        <v>0</v>
      </c>
      <c r="GL18" s="45">
        <f t="shared" si="3"/>
        <v>0</v>
      </c>
      <c r="GM18" s="45">
        <f t="shared" si="3"/>
        <v>0</v>
      </c>
      <c r="GN18" s="45">
        <f t="shared" si="3"/>
        <v>0</v>
      </c>
      <c r="GO18" s="45">
        <f t="shared" si="3"/>
        <v>0</v>
      </c>
      <c r="GP18" s="45">
        <f t="shared" si="3"/>
        <v>0</v>
      </c>
      <c r="GQ18" s="45">
        <f t="shared" si="3"/>
        <v>0</v>
      </c>
      <c r="GR18" s="45">
        <f t="shared" si="3"/>
        <v>0</v>
      </c>
      <c r="GS18" s="45">
        <f t="shared" si="3"/>
        <v>0</v>
      </c>
      <c r="GT18" s="45">
        <f t="shared" si="3"/>
        <v>0</v>
      </c>
      <c r="GU18" s="45">
        <f t="shared" si="3"/>
        <v>0</v>
      </c>
      <c r="GV18" s="45">
        <f t="shared" si="3"/>
        <v>0</v>
      </c>
      <c r="GW18" s="45">
        <f t="shared" si="3"/>
        <v>0</v>
      </c>
      <c r="GX18" s="45">
        <f t="shared" si="3"/>
        <v>0</v>
      </c>
    </row>
    <row r="20" spans="1:245" ht="13" x14ac:dyDescent="0.3">
      <c r="A20" s="43">
        <v>3</v>
      </c>
      <c r="B20" s="43">
        <v>1</v>
      </c>
      <c r="C20" s="43"/>
      <c r="D20" s="43">
        <f>ROW(A219)</f>
        <v>219</v>
      </c>
      <c r="E20" s="43"/>
      <c r="F20" s="43" t="s">
        <v>173</v>
      </c>
      <c r="G20" s="43" t="s">
        <v>173</v>
      </c>
      <c r="H20" s="43" t="s">
        <v>30</v>
      </c>
      <c r="I20" s="43">
        <v>0</v>
      </c>
      <c r="J20" s="43" t="s">
        <v>30</v>
      </c>
      <c r="K20" s="43">
        <v>0</v>
      </c>
      <c r="L20" s="43" t="s">
        <v>30</v>
      </c>
      <c r="M20" s="43" t="s">
        <v>30</v>
      </c>
      <c r="N20" s="43"/>
      <c r="O20" s="43"/>
      <c r="P20" s="43"/>
      <c r="Q20" s="43"/>
      <c r="R20" s="43"/>
      <c r="S20" s="43">
        <v>0</v>
      </c>
      <c r="T20" s="43"/>
      <c r="U20" s="43" t="s">
        <v>30</v>
      </c>
      <c r="V20" s="43">
        <v>0</v>
      </c>
      <c r="W20" s="43"/>
      <c r="X20" s="43"/>
      <c r="Y20" s="43"/>
      <c r="Z20" s="43"/>
      <c r="AA20" s="43"/>
      <c r="AB20" s="43" t="s">
        <v>30</v>
      </c>
      <c r="AC20" s="43" t="s">
        <v>30</v>
      </c>
      <c r="AD20" s="43" t="s">
        <v>30</v>
      </c>
      <c r="AE20" s="43" t="s">
        <v>30</v>
      </c>
      <c r="AF20" s="43" t="s">
        <v>30</v>
      </c>
      <c r="AG20" s="43" t="s">
        <v>30</v>
      </c>
      <c r="AH20" s="43"/>
      <c r="AI20" s="43"/>
      <c r="AJ20" s="43"/>
      <c r="AK20" s="43"/>
      <c r="AL20" s="43"/>
      <c r="AM20" s="43"/>
      <c r="AN20" s="43"/>
      <c r="AO20" s="43"/>
      <c r="AP20" s="43" t="s">
        <v>30</v>
      </c>
      <c r="AQ20" s="43" t="s">
        <v>30</v>
      </c>
      <c r="AR20" s="43" t="s">
        <v>30</v>
      </c>
      <c r="AS20" s="43"/>
      <c r="AT20" s="43"/>
      <c r="AU20" s="43"/>
      <c r="AV20" s="43"/>
      <c r="AW20" s="43"/>
      <c r="AX20" s="43"/>
      <c r="AY20" s="43"/>
      <c r="AZ20" s="43" t="s">
        <v>30</v>
      </c>
      <c r="BA20" s="43"/>
      <c r="BB20" s="43" t="s">
        <v>30</v>
      </c>
      <c r="BC20" s="43" t="s">
        <v>30</v>
      </c>
      <c r="BD20" s="43" t="s">
        <v>30</v>
      </c>
      <c r="BE20" s="43" t="s">
        <v>30</v>
      </c>
      <c r="BF20" s="43" t="s">
        <v>30</v>
      </c>
      <c r="BG20" s="43" t="s">
        <v>30</v>
      </c>
      <c r="BH20" s="43" t="s">
        <v>30</v>
      </c>
      <c r="BI20" s="43" t="s">
        <v>30</v>
      </c>
      <c r="BJ20" s="43" t="s">
        <v>30</v>
      </c>
      <c r="BK20" s="43" t="s">
        <v>30</v>
      </c>
      <c r="BL20" s="43" t="s">
        <v>30</v>
      </c>
      <c r="BM20" s="43" t="s">
        <v>30</v>
      </c>
      <c r="BN20" s="43" t="s">
        <v>30</v>
      </c>
      <c r="BO20" s="43" t="s">
        <v>30</v>
      </c>
      <c r="BP20" s="43" t="s">
        <v>30</v>
      </c>
      <c r="BQ20" s="43"/>
      <c r="BR20" s="43"/>
      <c r="BS20" s="43"/>
      <c r="BT20" s="43"/>
      <c r="BU20" s="43"/>
      <c r="BV20" s="43"/>
      <c r="BW20" s="43"/>
      <c r="BX20" s="43">
        <v>0</v>
      </c>
      <c r="BY20" s="43"/>
      <c r="BZ20" s="43"/>
      <c r="CA20" s="43"/>
      <c r="CB20" s="43"/>
      <c r="CC20" s="43"/>
      <c r="CD20" s="43"/>
      <c r="CE20" s="43"/>
      <c r="CF20" s="43">
        <v>0</v>
      </c>
      <c r="CG20" s="43">
        <v>0</v>
      </c>
      <c r="CH20" s="43"/>
      <c r="CI20" s="43" t="s">
        <v>30</v>
      </c>
      <c r="CJ20" s="43" t="s">
        <v>30</v>
      </c>
      <c r="CK20" s="2" t="s">
        <v>30</v>
      </c>
      <c r="CL20" s="2" t="s">
        <v>30</v>
      </c>
      <c r="CM20" s="2" t="s">
        <v>30</v>
      </c>
      <c r="CN20" s="2" t="s">
        <v>30</v>
      </c>
      <c r="CO20" s="2" t="s">
        <v>30</v>
      </c>
      <c r="CP20" s="2" t="s">
        <v>30</v>
      </c>
      <c r="CQ20" s="2" t="s">
        <v>30</v>
      </c>
    </row>
    <row r="22" spans="1:245" ht="13" x14ac:dyDescent="0.3">
      <c r="A22" s="44">
        <v>52</v>
      </c>
      <c r="B22" s="44">
        <f t="shared" ref="B22:G22" si="4">B219</f>
        <v>1</v>
      </c>
      <c r="C22" s="44">
        <f t="shared" si="4"/>
        <v>3</v>
      </c>
      <c r="D22" s="44">
        <f t="shared" si="4"/>
        <v>20</v>
      </c>
      <c r="E22" s="44">
        <f t="shared" si="4"/>
        <v>0</v>
      </c>
      <c r="F22" s="44" t="str">
        <f t="shared" si="4"/>
        <v>Новая локальная смета</v>
      </c>
      <c r="G22" s="44" t="str">
        <f t="shared" si="4"/>
        <v>Новая локальная смета</v>
      </c>
      <c r="H22" s="44"/>
      <c r="I22" s="44"/>
      <c r="J22" s="44"/>
      <c r="K22" s="44"/>
      <c r="L22" s="44"/>
      <c r="M22" s="44"/>
      <c r="N22" s="44"/>
      <c r="O22" s="44">
        <f t="shared" ref="O22:BZ22" si="5">O219</f>
        <v>1508635.42</v>
      </c>
      <c r="P22" s="44">
        <f t="shared" si="5"/>
        <v>889980.22</v>
      </c>
      <c r="Q22" s="44">
        <f t="shared" si="5"/>
        <v>477991.65</v>
      </c>
      <c r="R22" s="44">
        <f t="shared" si="5"/>
        <v>242709.12</v>
      </c>
      <c r="S22" s="44">
        <f t="shared" si="5"/>
        <v>140663.54999999999</v>
      </c>
      <c r="T22" s="44">
        <f t="shared" si="5"/>
        <v>0</v>
      </c>
      <c r="U22" s="44">
        <f t="shared" si="5"/>
        <v>648.00717799999995</v>
      </c>
      <c r="V22" s="44">
        <f t="shared" si="5"/>
        <v>0</v>
      </c>
      <c r="W22" s="44">
        <f t="shared" si="5"/>
        <v>0</v>
      </c>
      <c r="X22" s="44">
        <f t="shared" si="5"/>
        <v>98464.49</v>
      </c>
      <c r="Y22" s="44">
        <f t="shared" si="5"/>
        <v>14066.36</v>
      </c>
      <c r="Z22" s="44">
        <f t="shared" si="5"/>
        <v>0</v>
      </c>
      <c r="AA22" s="44">
        <f t="shared" si="5"/>
        <v>0</v>
      </c>
      <c r="AB22" s="44">
        <f t="shared" si="5"/>
        <v>0</v>
      </c>
      <c r="AC22" s="44">
        <f t="shared" si="5"/>
        <v>0</v>
      </c>
      <c r="AD22" s="44">
        <f t="shared" si="5"/>
        <v>0</v>
      </c>
      <c r="AE22" s="44">
        <f t="shared" si="5"/>
        <v>0</v>
      </c>
      <c r="AF22" s="44">
        <f t="shared" si="5"/>
        <v>0</v>
      </c>
      <c r="AG22" s="44">
        <f t="shared" si="5"/>
        <v>0</v>
      </c>
      <c r="AH22" s="44">
        <f t="shared" si="5"/>
        <v>0</v>
      </c>
      <c r="AI22" s="44">
        <f t="shared" si="5"/>
        <v>0</v>
      </c>
      <c r="AJ22" s="44">
        <f t="shared" si="5"/>
        <v>0</v>
      </c>
      <c r="AK22" s="44">
        <f t="shared" si="5"/>
        <v>0</v>
      </c>
      <c r="AL22" s="44">
        <f t="shared" si="5"/>
        <v>0</v>
      </c>
      <c r="AM22" s="44">
        <f t="shared" si="5"/>
        <v>0</v>
      </c>
      <c r="AN22" s="44">
        <f t="shared" si="5"/>
        <v>0</v>
      </c>
      <c r="AO22" s="44">
        <f t="shared" si="5"/>
        <v>0</v>
      </c>
      <c r="AP22" s="44">
        <f t="shared" si="5"/>
        <v>0</v>
      </c>
      <c r="AQ22" s="44">
        <f t="shared" si="5"/>
        <v>0</v>
      </c>
      <c r="AR22" s="44">
        <f t="shared" si="5"/>
        <v>1682458.56</v>
      </c>
      <c r="AS22" s="44">
        <f t="shared" si="5"/>
        <v>0</v>
      </c>
      <c r="AT22" s="44">
        <f t="shared" si="5"/>
        <v>0</v>
      </c>
      <c r="AU22" s="44">
        <f t="shared" si="5"/>
        <v>1682458.56</v>
      </c>
      <c r="AV22" s="44">
        <f t="shared" si="5"/>
        <v>889980.22</v>
      </c>
      <c r="AW22" s="44">
        <f t="shared" si="5"/>
        <v>889980.22</v>
      </c>
      <c r="AX22" s="44">
        <f t="shared" si="5"/>
        <v>0</v>
      </c>
      <c r="AY22" s="44">
        <f t="shared" si="5"/>
        <v>889980.22</v>
      </c>
      <c r="AZ22" s="44">
        <f t="shared" si="5"/>
        <v>0</v>
      </c>
      <c r="BA22" s="44">
        <f t="shared" si="5"/>
        <v>0</v>
      </c>
      <c r="BB22" s="44">
        <f t="shared" si="5"/>
        <v>0</v>
      </c>
      <c r="BC22" s="44">
        <f t="shared" si="5"/>
        <v>0</v>
      </c>
      <c r="BD22" s="44">
        <f t="shared" si="5"/>
        <v>0</v>
      </c>
      <c r="BE22" s="44">
        <f t="shared" si="5"/>
        <v>0</v>
      </c>
      <c r="BF22" s="44">
        <f t="shared" si="5"/>
        <v>0</v>
      </c>
      <c r="BG22" s="44">
        <f t="shared" si="5"/>
        <v>0</v>
      </c>
      <c r="BH22" s="44">
        <f t="shared" si="5"/>
        <v>0</v>
      </c>
      <c r="BI22" s="44">
        <f t="shared" si="5"/>
        <v>0</v>
      </c>
      <c r="BJ22" s="44">
        <f t="shared" si="5"/>
        <v>0</v>
      </c>
      <c r="BK22" s="44">
        <f t="shared" si="5"/>
        <v>0</v>
      </c>
      <c r="BL22" s="44">
        <f t="shared" si="5"/>
        <v>0</v>
      </c>
      <c r="BM22" s="44">
        <f t="shared" si="5"/>
        <v>0</v>
      </c>
      <c r="BN22" s="44">
        <f t="shared" si="5"/>
        <v>0</v>
      </c>
      <c r="BO22" s="44">
        <f t="shared" si="5"/>
        <v>0</v>
      </c>
      <c r="BP22" s="44">
        <f t="shared" si="5"/>
        <v>0</v>
      </c>
      <c r="BQ22" s="44">
        <f t="shared" si="5"/>
        <v>0</v>
      </c>
      <c r="BR22" s="44">
        <f t="shared" si="5"/>
        <v>0</v>
      </c>
      <c r="BS22" s="44">
        <f t="shared" si="5"/>
        <v>0</v>
      </c>
      <c r="BT22" s="44">
        <f t="shared" si="5"/>
        <v>0</v>
      </c>
      <c r="BU22" s="44">
        <f t="shared" si="5"/>
        <v>0</v>
      </c>
      <c r="BV22" s="44">
        <f t="shared" si="5"/>
        <v>0</v>
      </c>
      <c r="BW22" s="44">
        <f t="shared" si="5"/>
        <v>0</v>
      </c>
      <c r="BX22" s="44">
        <f t="shared" si="5"/>
        <v>0</v>
      </c>
      <c r="BY22" s="44">
        <f t="shared" si="5"/>
        <v>0</v>
      </c>
      <c r="BZ22" s="44">
        <f t="shared" si="5"/>
        <v>0</v>
      </c>
      <c r="CA22" s="44">
        <f t="shared" ref="CA22:EL22" si="6">CA219</f>
        <v>0</v>
      </c>
      <c r="CB22" s="44">
        <f t="shared" si="6"/>
        <v>0</v>
      </c>
      <c r="CC22" s="44">
        <f t="shared" si="6"/>
        <v>0</v>
      </c>
      <c r="CD22" s="44">
        <f t="shared" si="6"/>
        <v>0</v>
      </c>
      <c r="CE22" s="44">
        <f t="shared" si="6"/>
        <v>0</v>
      </c>
      <c r="CF22" s="44">
        <f t="shared" si="6"/>
        <v>0</v>
      </c>
      <c r="CG22" s="44">
        <f t="shared" si="6"/>
        <v>0</v>
      </c>
      <c r="CH22" s="44">
        <f t="shared" si="6"/>
        <v>0</v>
      </c>
      <c r="CI22" s="44">
        <f t="shared" si="6"/>
        <v>0</v>
      </c>
      <c r="CJ22" s="44">
        <f t="shared" si="6"/>
        <v>0</v>
      </c>
      <c r="CK22" s="44">
        <f t="shared" si="6"/>
        <v>0</v>
      </c>
      <c r="CL22" s="44">
        <f t="shared" si="6"/>
        <v>0</v>
      </c>
      <c r="CM22" s="44">
        <f t="shared" si="6"/>
        <v>0</v>
      </c>
      <c r="CN22" s="44">
        <f t="shared" si="6"/>
        <v>0</v>
      </c>
      <c r="CO22" s="44">
        <f t="shared" si="6"/>
        <v>0</v>
      </c>
      <c r="CP22" s="44">
        <f t="shared" si="6"/>
        <v>0</v>
      </c>
      <c r="CQ22" s="44">
        <f t="shared" si="6"/>
        <v>0</v>
      </c>
      <c r="CR22" s="44">
        <f t="shared" si="6"/>
        <v>0</v>
      </c>
      <c r="CS22" s="44">
        <f t="shared" si="6"/>
        <v>0</v>
      </c>
      <c r="CT22" s="44">
        <f t="shared" si="6"/>
        <v>0</v>
      </c>
      <c r="CU22" s="44">
        <f t="shared" si="6"/>
        <v>0</v>
      </c>
      <c r="CV22" s="44">
        <f t="shared" si="6"/>
        <v>0</v>
      </c>
      <c r="CW22" s="44">
        <f t="shared" si="6"/>
        <v>0</v>
      </c>
      <c r="CX22" s="44">
        <f t="shared" si="6"/>
        <v>0</v>
      </c>
      <c r="CY22" s="44">
        <f t="shared" si="6"/>
        <v>0</v>
      </c>
      <c r="CZ22" s="44">
        <f t="shared" si="6"/>
        <v>0</v>
      </c>
      <c r="DA22" s="44">
        <f t="shared" si="6"/>
        <v>0</v>
      </c>
      <c r="DB22" s="44">
        <f t="shared" si="6"/>
        <v>0</v>
      </c>
      <c r="DC22" s="44">
        <f t="shared" si="6"/>
        <v>0</v>
      </c>
      <c r="DD22" s="44">
        <f t="shared" si="6"/>
        <v>0</v>
      </c>
      <c r="DE22" s="44">
        <f t="shared" si="6"/>
        <v>0</v>
      </c>
      <c r="DF22" s="44">
        <f t="shared" si="6"/>
        <v>0</v>
      </c>
      <c r="DG22" s="45">
        <f t="shared" si="6"/>
        <v>0</v>
      </c>
      <c r="DH22" s="45">
        <f t="shared" si="6"/>
        <v>0</v>
      </c>
      <c r="DI22" s="45">
        <f t="shared" si="6"/>
        <v>0</v>
      </c>
      <c r="DJ22" s="45">
        <f t="shared" si="6"/>
        <v>0</v>
      </c>
      <c r="DK22" s="45">
        <f t="shared" si="6"/>
        <v>0</v>
      </c>
      <c r="DL22" s="45">
        <f t="shared" si="6"/>
        <v>0</v>
      </c>
      <c r="DM22" s="45">
        <f t="shared" si="6"/>
        <v>0</v>
      </c>
      <c r="DN22" s="45">
        <f t="shared" si="6"/>
        <v>0</v>
      </c>
      <c r="DO22" s="45">
        <f t="shared" si="6"/>
        <v>0</v>
      </c>
      <c r="DP22" s="45">
        <f t="shared" si="6"/>
        <v>0</v>
      </c>
      <c r="DQ22" s="45">
        <f t="shared" si="6"/>
        <v>0</v>
      </c>
      <c r="DR22" s="45">
        <f t="shared" si="6"/>
        <v>0</v>
      </c>
      <c r="DS22" s="45">
        <f t="shared" si="6"/>
        <v>0</v>
      </c>
      <c r="DT22" s="45">
        <f t="shared" si="6"/>
        <v>0</v>
      </c>
      <c r="DU22" s="45">
        <f t="shared" si="6"/>
        <v>0</v>
      </c>
      <c r="DV22" s="45">
        <f t="shared" si="6"/>
        <v>0</v>
      </c>
      <c r="DW22" s="45">
        <f t="shared" si="6"/>
        <v>0</v>
      </c>
      <c r="DX22" s="45">
        <f t="shared" si="6"/>
        <v>0</v>
      </c>
      <c r="DY22" s="45">
        <f t="shared" si="6"/>
        <v>0</v>
      </c>
      <c r="DZ22" s="45">
        <f t="shared" si="6"/>
        <v>0</v>
      </c>
      <c r="EA22" s="45">
        <f t="shared" si="6"/>
        <v>0</v>
      </c>
      <c r="EB22" s="45">
        <f t="shared" si="6"/>
        <v>0</v>
      </c>
      <c r="EC22" s="45">
        <f t="shared" si="6"/>
        <v>0</v>
      </c>
      <c r="ED22" s="45">
        <f t="shared" si="6"/>
        <v>0</v>
      </c>
      <c r="EE22" s="45">
        <f t="shared" si="6"/>
        <v>0</v>
      </c>
      <c r="EF22" s="45">
        <f t="shared" si="6"/>
        <v>0</v>
      </c>
      <c r="EG22" s="45">
        <f t="shared" si="6"/>
        <v>0</v>
      </c>
      <c r="EH22" s="45">
        <f t="shared" si="6"/>
        <v>0</v>
      </c>
      <c r="EI22" s="45">
        <f t="shared" si="6"/>
        <v>0</v>
      </c>
      <c r="EJ22" s="45">
        <f t="shared" si="6"/>
        <v>0</v>
      </c>
      <c r="EK22" s="45">
        <f t="shared" si="6"/>
        <v>0</v>
      </c>
      <c r="EL22" s="45">
        <f t="shared" si="6"/>
        <v>0</v>
      </c>
      <c r="EM22" s="45">
        <f t="shared" ref="EM22:GX22" si="7">EM219</f>
        <v>0</v>
      </c>
      <c r="EN22" s="45">
        <f t="shared" si="7"/>
        <v>0</v>
      </c>
      <c r="EO22" s="45">
        <f t="shared" si="7"/>
        <v>0</v>
      </c>
      <c r="EP22" s="45">
        <f t="shared" si="7"/>
        <v>0</v>
      </c>
      <c r="EQ22" s="45">
        <f t="shared" si="7"/>
        <v>0</v>
      </c>
      <c r="ER22" s="45">
        <f t="shared" si="7"/>
        <v>0</v>
      </c>
      <c r="ES22" s="45">
        <f t="shared" si="7"/>
        <v>0</v>
      </c>
      <c r="ET22" s="45">
        <f t="shared" si="7"/>
        <v>0</v>
      </c>
      <c r="EU22" s="45">
        <f t="shared" si="7"/>
        <v>0</v>
      </c>
      <c r="EV22" s="45">
        <f t="shared" si="7"/>
        <v>0</v>
      </c>
      <c r="EW22" s="45">
        <f t="shared" si="7"/>
        <v>0</v>
      </c>
      <c r="EX22" s="45">
        <f t="shared" si="7"/>
        <v>0</v>
      </c>
      <c r="EY22" s="45">
        <f t="shared" si="7"/>
        <v>0</v>
      </c>
      <c r="EZ22" s="45">
        <f t="shared" si="7"/>
        <v>0</v>
      </c>
      <c r="FA22" s="45">
        <f t="shared" si="7"/>
        <v>0</v>
      </c>
      <c r="FB22" s="45">
        <f t="shared" si="7"/>
        <v>0</v>
      </c>
      <c r="FC22" s="45">
        <f t="shared" si="7"/>
        <v>0</v>
      </c>
      <c r="FD22" s="45">
        <f t="shared" si="7"/>
        <v>0</v>
      </c>
      <c r="FE22" s="45">
        <f t="shared" si="7"/>
        <v>0</v>
      </c>
      <c r="FF22" s="45">
        <f t="shared" si="7"/>
        <v>0</v>
      </c>
      <c r="FG22" s="45">
        <f t="shared" si="7"/>
        <v>0</v>
      </c>
      <c r="FH22" s="45">
        <f t="shared" si="7"/>
        <v>0</v>
      </c>
      <c r="FI22" s="45">
        <f t="shared" si="7"/>
        <v>0</v>
      </c>
      <c r="FJ22" s="45">
        <f t="shared" si="7"/>
        <v>0</v>
      </c>
      <c r="FK22" s="45">
        <f t="shared" si="7"/>
        <v>0</v>
      </c>
      <c r="FL22" s="45">
        <f t="shared" si="7"/>
        <v>0</v>
      </c>
      <c r="FM22" s="45">
        <f t="shared" si="7"/>
        <v>0</v>
      </c>
      <c r="FN22" s="45">
        <f t="shared" si="7"/>
        <v>0</v>
      </c>
      <c r="FO22" s="45">
        <f t="shared" si="7"/>
        <v>0</v>
      </c>
      <c r="FP22" s="45">
        <f t="shared" si="7"/>
        <v>0</v>
      </c>
      <c r="FQ22" s="45">
        <f t="shared" si="7"/>
        <v>0</v>
      </c>
      <c r="FR22" s="45">
        <f t="shared" si="7"/>
        <v>0</v>
      </c>
      <c r="FS22" s="45">
        <f t="shared" si="7"/>
        <v>0</v>
      </c>
      <c r="FT22" s="45">
        <f t="shared" si="7"/>
        <v>0</v>
      </c>
      <c r="FU22" s="45">
        <f t="shared" si="7"/>
        <v>0</v>
      </c>
      <c r="FV22" s="45">
        <f t="shared" si="7"/>
        <v>0</v>
      </c>
      <c r="FW22" s="45">
        <f t="shared" si="7"/>
        <v>0</v>
      </c>
      <c r="FX22" s="45">
        <f t="shared" si="7"/>
        <v>0</v>
      </c>
      <c r="FY22" s="45">
        <f t="shared" si="7"/>
        <v>0</v>
      </c>
      <c r="FZ22" s="45">
        <f t="shared" si="7"/>
        <v>0</v>
      </c>
      <c r="GA22" s="45">
        <f t="shared" si="7"/>
        <v>0</v>
      </c>
      <c r="GB22" s="45">
        <f t="shared" si="7"/>
        <v>0</v>
      </c>
      <c r="GC22" s="45">
        <f t="shared" si="7"/>
        <v>0</v>
      </c>
      <c r="GD22" s="45">
        <f t="shared" si="7"/>
        <v>0</v>
      </c>
      <c r="GE22" s="45">
        <f t="shared" si="7"/>
        <v>0</v>
      </c>
      <c r="GF22" s="45">
        <f t="shared" si="7"/>
        <v>0</v>
      </c>
      <c r="GG22" s="45">
        <f t="shared" si="7"/>
        <v>0</v>
      </c>
      <c r="GH22" s="45">
        <f t="shared" si="7"/>
        <v>0</v>
      </c>
      <c r="GI22" s="45">
        <f t="shared" si="7"/>
        <v>0</v>
      </c>
      <c r="GJ22" s="45">
        <f t="shared" si="7"/>
        <v>0</v>
      </c>
      <c r="GK22" s="45">
        <f t="shared" si="7"/>
        <v>0</v>
      </c>
      <c r="GL22" s="45">
        <f t="shared" si="7"/>
        <v>0</v>
      </c>
      <c r="GM22" s="45">
        <f t="shared" si="7"/>
        <v>0</v>
      </c>
      <c r="GN22" s="45">
        <f t="shared" si="7"/>
        <v>0</v>
      </c>
      <c r="GO22" s="45">
        <f t="shared" si="7"/>
        <v>0</v>
      </c>
      <c r="GP22" s="45">
        <f t="shared" si="7"/>
        <v>0</v>
      </c>
      <c r="GQ22" s="45">
        <f t="shared" si="7"/>
        <v>0</v>
      </c>
      <c r="GR22" s="45">
        <f t="shared" si="7"/>
        <v>0</v>
      </c>
      <c r="GS22" s="45">
        <f t="shared" si="7"/>
        <v>0</v>
      </c>
      <c r="GT22" s="45">
        <f t="shared" si="7"/>
        <v>0</v>
      </c>
      <c r="GU22" s="45">
        <f t="shared" si="7"/>
        <v>0</v>
      </c>
      <c r="GV22" s="45">
        <f t="shared" si="7"/>
        <v>0</v>
      </c>
      <c r="GW22" s="45">
        <f t="shared" si="7"/>
        <v>0</v>
      </c>
      <c r="GX22" s="45">
        <f t="shared" si="7"/>
        <v>0</v>
      </c>
    </row>
    <row r="24" spans="1:245" ht="13" x14ac:dyDescent="0.3">
      <c r="A24" s="43">
        <v>4</v>
      </c>
      <c r="B24" s="43">
        <v>1</v>
      </c>
      <c r="C24" s="43"/>
      <c r="D24" s="43">
        <f>ROW(A40)</f>
        <v>40</v>
      </c>
      <c r="E24" s="43"/>
      <c r="F24" s="43" t="s">
        <v>174</v>
      </c>
      <c r="G24" s="43" t="s">
        <v>398</v>
      </c>
      <c r="H24" s="43" t="s">
        <v>30</v>
      </c>
      <c r="I24" s="43">
        <v>0</v>
      </c>
      <c r="J24" s="43"/>
      <c r="K24" s="43">
        <v>-1</v>
      </c>
      <c r="L24" s="43"/>
      <c r="M24" s="43" t="s">
        <v>30</v>
      </c>
      <c r="N24" s="43"/>
      <c r="O24" s="43"/>
      <c r="P24" s="43"/>
      <c r="Q24" s="43"/>
      <c r="R24" s="43"/>
      <c r="S24" s="43">
        <v>0</v>
      </c>
      <c r="T24" s="43"/>
      <c r="U24" s="43" t="s">
        <v>30</v>
      </c>
      <c r="V24" s="43">
        <v>0</v>
      </c>
      <c r="W24" s="43"/>
      <c r="X24" s="43"/>
      <c r="Y24" s="43"/>
      <c r="Z24" s="43"/>
      <c r="AA24" s="43"/>
      <c r="AB24" s="43" t="s">
        <v>30</v>
      </c>
      <c r="AC24" s="43" t="s">
        <v>30</v>
      </c>
      <c r="AD24" s="43" t="s">
        <v>30</v>
      </c>
      <c r="AE24" s="43" t="s">
        <v>30</v>
      </c>
      <c r="AF24" s="43" t="s">
        <v>30</v>
      </c>
      <c r="AG24" s="43" t="s">
        <v>30</v>
      </c>
      <c r="AH24" s="43"/>
      <c r="AI24" s="43"/>
      <c r="AJ24" s="43"/>
      <c r="AK24" s="43"/>
      <c r="AL24" s="43"/>
      <c r="AM24" s="43"/>
      <c r="AN24" s="43"/>
      <c r="AO24" s="43"/>
      <c r="AP24" s="43" t="s">
        <v>30</v>
      </c>
      <c r="AQ24" s="43" t="s">
        <v>30</v>
      </c>
      <c r="AR24" s="43" t="s">
        <v>30</v>
      </c>
      <c r="AS24" s="43"/>
      <c r="AT24" s="43"/>
      <c r="AU24" s="43"/>
      <c r="AV24" s="43"/>
      <c r="AW24" s="43"/>
      <c r="AX24" s="43"/>
      <c r="AY24" s="43"/>
      <c r="AZ24" s="43" t="s">
        <v>30</v>
      </c>
      <c r="BA24" s="43"/>
      <c r="BB24" s="43" t="s">
        <v>30</v>
      </c>
      <c r="BC24" s="43" t="s">
        <v>30</v>
      </c>
      <c r="BD24" s="43" t="s">
        <v>30</v>
      </c>
      <c r="BE24" s="43" t="s">
        <v>30</v>
      </c>
      <c r="BF24" s="43" t="s">
        <v>30</v>
      </c>
      <c r="BG24" s="43" t="s">
        <v>30</v>
      </c>
      <c r="BH24" s="43" t="s">
        <v>30</v>
      </c>
      <c r="BI24" s="43" t="s">
        <v>30</v>
      </c>
      <c r="BJ24" s="43" t="s">
        <v>30</v>
      </c>
      <c r="BK24" s="43" t="s">
        <v>30</v>
      </c>
      <c r="BL24" s="43" t="s">
        <v>30</v>
      </c>
      <c r="BM24" s="43" t="s">
        <v>30</v>
      </c>
      <c r="BN24" s="43" t="s">
        <v>30</v>
      </c>
      <c r="BO24" s="43" t="s">
        <v>30</v>
      </c>
      <c r="BP24" s="43" t="s">
        <v>30</v>
      </c>
      <c r="BQ24" s="43"/>
      <c r="BR24" s="43"/>
      <c r="BS24" s="43"/>
      <c r="BT24" s="43"/>
      <c r="BU24" s="43"/>
      <c r="BV24" s="43"/>
      <c r="BW24" s="43"/>
      <c r="BX24" s="43">
        <v>0</v>
      </c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>
        <v>0</v>
      </c>
    </row>
    <row r="26" spans="1:245" ht="13" x14ac:dyDescent="0.3">
      <c r="A26" s="44">
        <v>52</v>
      </c>
      <c r="B26" s="44">
        <f t="shared" ref="B26:G26" si="8">B40</f>
        <v>1</v>
      </c>
      <c r="C26" s="44">
        <f t="shared" si="8"/>
        <v>4</v>
      </c>
      <c r="D26" s="44">
        <f t="shared" si="8"/>
        <v>24</v>
      </c>
      <c r="E26" s="44">
        <f t="shared" si="8"/>
        <v>0</v>
      </c>
      <c r="F26" s="44" t="str">
        <f t="shared" si="8"/>
        <v>Новый раздел</v>
      </c>
      <c r="G26" s="44" t="str">
        <f t="shared" si="8"/>
        <v>Ремонт дорожно-тропиночной сети с асфальтобетонным покрытием  - 1294 м2</v>
      </c>
      <c r="H26" s="44"/>
      <c r="I26" s="44"/>
      <c r="J26" s="44"/>
      <c r="K26" s="44"/>
      <c r="L26" s="44"/>
      <c r="M26" s="44"/>
      <c r="N26" s="44"/>
      <c r="O26" s="44">
        <f t="shared" ref="O26:BZ26" si="9">O40</f>
        <v>872143.03</v>
      </c>
      <c r="P26" s="44">
        <f t="shared" si="9"/>
        <v>506865.56</v>
      </c>
      <c r="Q26" s="44">
        <f t="shared" si="9"/>
        <v>324348.17</v>
      </c>
      <c r="R26" s="44">
        <f t="shared" si="9"/>
        <v>158501.45000000001</v>
      </c>
      <c r="S26" s="44">
        <f t="shared" si="9"/>
        <v>40929.300000000003</v>
      </c>
      <c r="T26" s="44">
        <f t="shared" si="9"/>
        <v>0</v>
      </c>
      <c r="U26" s="44">
        <f t="shared" si="9"/>
        <v>176.87297799999999</v>
      </c>
      <c r="V26" s="44">
        <f t="shared" si="9"/>
        <v>0</v>
      </c>
      <c r="W26" s="44">
        <f t="shared" si="9"/>
        <v>0</v>
      </c>
      <c r="X26" s="44">
        <f t="shared" si="9"/>
        <v>28650.51</v>
      </c>
      <c r="Y26" s="44">
        <f t="shared" si="9"/>
        <v>4092.93</v>
      </c>
      <c r="Z26" s="44">
        <f t="shared" si="9"/>
        <v>0</v>
      </c>
      <c r="AA26" s="44">
        <f t="shared" si="9"/>
        <v>0</v>
      </c>
      <c r="AB26" s="44">
        <f t="shared" si="9"/>
        <v>872143.03</v>
      </c>
      <c r="AC26" s="44">
        <f t="shared" si="9"/>
        <v>506865.56</v>
      </c>
      <c r="AD26" s="44">
        <f t="shared" si="9"/>
        <v>324348.17</v>
      </c>
      <c r="AE26" s="44">
        <f t="shared" si="9"/>
        <v>158501.45000000001</v>
      </c>
      <c r="AF26" s="44">
        <f t="shared" si="9"/>
        <v>40929.300000000003</v>
      </c>
      <c r="AG26" s="44">
        <f t="shared" si="9"/>
        <v>0</v>
      </c>
      <c r="AH26" s="44">
        <f t="shared" si="9"/>
        <v>176.87297799999999</v>
      </c>
      <c r="AI26" s="44">
        <f t="shared" si="9"/>
        <v>0</v>
      </c>
      <c r="AJ26" s="44">
        <f t="shared" si="9"/>
        <v>0</v>
      </c>
      <c r="AK26" s="44">
        <f t="shared" si="9"/>
        <v>28650.51</v>
      </c>
      <c r="AL26" s="44">
        <f t="shared" si="9"/>
        <v>4092.93</v>
      </c>
      <c r="AM26" s="44">
        <f t="shared" si="9"/>
        <v>0</v>
      </c>
      <c r="AN26" s="44">
        <f t="shared" si="9"/>
        <v>0</v>
      </c>
      <c r="AO26" s="44">
        <f t="shared" si="9"/>
        <v>0</v>
      </c>
      <c r="AP26" s="44">
        <f t="shared" si="9"/>
        <v>0</v>
      </c>
      <c r="AQ26" s="44">
        <f t="shared" si="9"/>
        <v>0</v>
      </c>
      <c r="AR26" s="44">
        <f t="shared" si="9"/>
        <v>934143.16</v>
      </c>
      <c r="AS26" s="44">
        <f t="shared" si="9"/>
        <v>0</v>
      </c>
      <c r="AT26" s="44">
        <f t="shared" si="9"/>
        <v>0</v>
      </c>
      <c r="AU26" s="44">
        <f t="shared" si="9"/>
        <v>934143.16</v>
      </c>
      <c r="AV26" s="44">
        <f t="shared" si="9"/>
        <v>506865.56</v>
      </c>
      <c r="AW26" s="44">
        <f t="shared" si="9"/>
        <v>506865.56</v>
      </c>
      <c r="AX26" s="44">
        <f t="shared" si="9"/>
        <v>0</v>
      </c>
      <c r="AY26" s="44">
        <f t="shared" si="9"/>
        <v>506865.56</v>
      </c>
      <c r="AZ26" s="44">
        <f t="shared" si="9"/>
        <v>0</v>
      </c>
      <c r="BA26" s="44">
        <f t="shared" si="9"/>
        <v>0</v>
      </c>
      <c r="BB26" s="44">
        <f t="shared" si="9"/>
        <v>0</v>
      </c>
      <c r="BC26" s="44">
        <f t="shared" si="9"/>
        <v>0</v>
      </c>
      <c r="BD26" s="44">
        <f t="shared" si="9"/>
        <v>0</v>
      </c>
      <c r="BE26" s="44">
        <f t="shared" si="9"/>
        <v>0</v>
      </c>
      <c r="BF26" s="44">
        <f t="shared" si="9"/>
        <v>0</v>
      </c>
      <c r="BG26" s="44">
        <f t="shared" si="9"/>
        <v>0</v>
      </c>
      <c r="BH26" s="44">
        <f t="shared" si="9"/>
        <v>0</v>
      </c>
      <c r="BI26" s="44">
        <f t="shared" si="9"/>
        <v>0</v>
      </c>
      <c r="BJ26" s="44">
        <f t="shared" si="9"/>
        <v>0</v>
      </c>
      <c r="BK26" s="44">
        <f t="shared" si="9"/>
        <v>0</v>
      </c>
      <c r="BL26" s="44">
        <f t="shared" si="9"/>
        <v>0</v>
      </c>
      <c r="BM26" s="44">
        <f t="shared" si="9"/>
        <v>0</v>
      </c>
      <c r="BN26" s="44">
        <f t="shared" si="9"/>
        <v>0</v>
      </c>
      <c r="BO26" s="44">
        <f t="shared" si="9"/>
        <v>0</v>
      </c>
      <c r="BP26" s="44">
        <f t="shared" si="9"/>
        <v>0</v>
      </c>
      <c r="BQ26" s="44">
        <f t="shared" si="9"/>
        <v>0</v>
      </c>
      <c r="BR26" s="44">
        <f t="shared" si="9"/>
        <v>0</v>
      </c>
      <c r="BS26" s="44">
        <f t="shared" si="9"/>
        <v>0</v>
      </c>
      <c r="BT26" s="44">
        <f t="shared" si="9"/>
        <v>0</v>
      </c>
      <c r="BU26" s="44">
        <f t="shared" si="9"/>
        <v>0</v>
      </c>
      <c r="BV26" s="44">
        <f t="shared" si="9"/>
        <v>0</v>
      </c>
      <c r="BW26" s="44">
        <f t="shared" si="9"/>
        <v>0</v>
      </c>
      <c r="BX26" s="44">
        <f t="shared" si="9"/>
        <v>0</v>
      </c>
      <c r="BY26" s="44">
        <f t="shared" si="9"/>
        <v>0</v>
      </c>
      <c r="BZ26" s="44">
        <f t="shared" si="9"/>
        <v>0</v>
      </c>
      <c r="CA26" s="44">
        <f t="shared" ref="CA26:EL26" si="10">CA40</f>
        <v>934143.16</v>
      </c>
      <c r="CB26" s="44">
        <f t="shared" si="10"/>
        <v>0</v>
      </c>
      <c r="CC26" s="44">
        <f t="shared" si="10"/>
        <v>0</v>
      </c>
      <c r="CD26" s="44">
        <f t="shared" si="10"/>
        <v>934143.16</v>
      </c>
      <c r="CE26" s="44">
        <f t="shared" si="10"/>
        <v>506865.56</v>
      </c>
      <c r="CF26" s="44">
        <f t="shared" si="10"/>
        <v>506865.56</v>
      </c>
      <c r="CG26" s="44">
        <f t="shared" si="10"/>
        <v>0</v>
      </c>
      <c r="CH26" s="44">
        <f t="shared" si="10"/>
        <v>506865.56</v>
      </c>
      <c r="CI26" s="44">
        <f t="shared" si="10"/>
        <v>0</v>
      </c>
      <c r="CJ26" s="44">
        <f t="shared" si="10"/>
        <v>0</v>
      </c>
      <c r="CK26" s="44">
        <f t="shared" si="10"/>
        <v>0</v>
      </c>
      <c r="CL26" s="44">
        <f t="shared" si="10"/>
        <v>0</v>
      </c>
      <c r="CM26" s="44">
        <f t="shared" si="10"/>
        <v>0</v>
      </c>
      <c r="CN26" s="44">
        <f t="shared" si="10"/>
        <v>0</v>
      </c>
      <c r="CO26" s="44">
        <f t="shared" si="10"/>
        <v>0</v>
      </c>
      <c r="CP26" s="44">
        <f t="shared" si="10"/>
        <v>0</v>
      </c>
      <c r="CQ26" s="44">
        <f t="shared" si="10"/>
        <v>0</v>
      </c>
      <c r="CR26" s="44">
        <f t="shared" si="10"/>
        <v>0</v>
      </c>
      <c r="CS26" s="44">
        <f t="shared" si="10"/>
        <v>0</v>
      </c>
      <c r="CT26" s="44">
        <f t="shared" si="10"/>
        <v>0</v>
      </c>
      <c r="CU26" s="44">
        <f t="shared" si="10"/>
        <v>0</v>
      </c>
      <c r="CV26" s="44">
        <f t="shared" si="10"/>
        <v>0</v>
      </c>
      <c r="CW26" s="44">
        <f t="shared" si="10"/>
        <v>0</v>
      </c>
      <c r="CX26" s="44">
        <f t="shared" si="10"/>
        <v>0</v>
      </c>
      <c r="CY26" s="44">
        <f t="shared" si="10"/>
        <v>0</v>
      </c>
      <c r="CZ26" s="44">
        <f t="shared" si="10"/>
        <v>0</v>
      </c>
      <c r="DA26" s="44">
        <f t="shared" si="10"/>
        <v>0</v>
      </c>
      <c r="DB26" s="44">
        <f t="shared" si="10"/>
        <v>0</v>
      </c>
      <c r="DC26" s="44">
        <f t="shared" si="10"/>
        <v>0</v>
      </c>
      <c r="DD26" s="44">
        <f t="shared" si="10"/>
        <v>0</v>
      </c>
      <c r="DE26" s="44">
        <f t="shared" si="10"/>
        <v>0</v>
      </c>
      <c r="DF26" s="44">
        <f t="shared" si="10"/>
        <v>0</v>
      </c>
      <c r="DG26" s="45">
        <f t="shared" si="10"/>
        <v>0</v>
      </c>
      <c r="DH26" s="45">
        <f t="shared" si="10"/>
        <v>0</v>
      </c>
      <c r="DI26" s="45">
        <f t="shared" si="10"/>
        <v>0</v>
      </c>
      <c r="DJ26" s="45">
        <f t="shared" si="10"/>
        <v>0</v>
      </c>
      <c r="DK26" s="45">
        <f t="shared" si="10"/>
        <v>0</v>
      </c>
      <c r="DL26" s="45">
        <f t="shared" si="10"/>
        <v>0</v>
      </c>
      <c r="DM26" s="45">
        <f t="shared" si="10"/>
        <v>0</v>
      </c>
      <c r="DN26" s="45">
        <f t="shared" si="10"/>
        <v>0</v>
      </c>
      <c r="DO26" s="45">
        <f t="shared" si="10"/>
        <v>0</v>
      </c>
      <c r="DP26" s="45">
        <f t="shared" si="10"/>
        <v>0</v>
      </c>
      <c r="DQ26" s="45">
        <f t="shared" si="10"/>
        <v>0</v>
      </c>
      <c r="DR26" s="45">
        <f t="shared" si="10"/>
        <v>0</v>
      </c>
      <c r="DS26" s="45">
        <f t="shared" si="10"/>
        <v>0</v>
      </c>
      <c r="DT26" s="45">
        <f t="shared" si="10"/>
        <v>0</v>
      </c>
      <c r="DU26" s="45">
        <f t="shared" si="10"/>
        <v>0</v>
      </c>
      <c r="DV26" s="45">
        <f t="shared" si="10"/>
        <v>0</v>
      </c>
      <c r="DW26" s="45">
        <f t="shared" si="10"/>
        <v>0</v>
      </c>
      <c r="DX26" s="45">
        <f t="shared" si="10"/>
        <v>0</v>
      </c>
      <c r="DY26" s="45">
        <f t="shared" si="10"/>
        <v>0</v>
      </c>
      <c r="DZ26" s="45">
        <f t="shared" si="10"/>
        <v>0</v>
      </c>
      <c r="EA26" s="45">
        <f t="shared" si="10"/>
        <v>0</v>
      </c>
      <c r="EB26" s="45">
        <f t="shared" si="10"/>
        <v>0</v>
      </c>
      <c r="EC26" s="45">
        <f t="shared" si="10"/>
        <v>0</v>
      </c>
      <c r="ED26" s="45">
        <f t="shared" si="10"/>
        <v>0</v>
      </c>
      <c r="EE26" s="45">
        <f t="shared" si="10"/>
        <v>0</v>
      </c>
      <c r="EF26" s="45">
        <f t="shared" si="10"/>
        <v>0</v>
      </c>
      <c r="EG26" s="45">
        <f t="shared" si="10"/>
        <v>0</v>
      </c>
      <c r="EH26" s="45">
        <f t="shared" si="10"/>
        <v>0</v>
      </c>
      <c r="EI26" s="45">
        <f t="shared" si="10"/>
        <v>0</v>
      </c>
      <c r="EJ26" s="45">
        <f t="shared" si="10"/>
        <v>0</v>
      </c>
      <c r="EK26" s="45">
        <f t="shared" si="10"/>
        <v>0</v>
      </c>
      <c r="EL26" s="45">
        <f t="shared" si="10"/>
        <v>0</v>
      </c>
      <c r="EM26" s="45">
        <f t="shared" ref="EM26:GX26" si="11">EM40</f>
        <v>0</v>
      </c>
      <c r="EN26" s="45">
        <f t="shared" si="11"/>
        <v>0</v>
      </c>
      <c r="EO26" s="45">
        <f t="shared" si="11"/>
        <v>0</v>
      </c>
      <c r="EP26" s="45">
        <f t="shared" si="11"/>
        <v>0</v>
      </c>
      <c r="EQ26" s="45">
        <f t="shared" si="11"/>
        <v>0</v>
      </c>
      <c r="ER26" s="45">
        <f t="shared" si="11"/>
        <v>0</v>
      </c>
      <c r="ES26" s="45">
        <f t="shared" si="11"/>
        <v>0</v>
      </c>
      <c r="ET26" s="45">
        <f t="shared" si="11"/>
        <v>0</v>
      </c>
      <c r="EU26" s="45">
        <f t="shared" si="11"/>
        <v>0</v>
      </c>
      <c r="EV26" s="45">
        <f t="shared" si="11"/>
        <v>0</v>
      </c>
      <c r="EW26" s="45">
        <f t="shared" si="11"/>
        <v>0</v>
      </c>
      <c r="EX26" s="45">
        <f t="shared" si="11"/>
        <v>0</v>
      </c>
      <c r="EY26" s="45">
        <f t="shared" si="11"/>
        <v>0</v>
      </c>
      <c r="EZ26" s="45">
        <f t="shared" si="11"/>
        <v>0</v>
      </c>
      <c r="FA26" s="45">
        <f t="shared" si="11"/>
        <v>0</v>
      </c>
      <c r="FB26" s="45">
        <f t="shared" si="11"/>
        <v>0</v>
      </c>
      <c r="FC26" s="45">
        <f t="shared" si="11"/>
        <v>0</v>
      </c>
      <c r="FD26" s="45">
        <f t="shared" si="11"/>
        <v>0</v>
      </c>
      <c r="FE26" s="45">
        <f t="shared" si="11"/>
        <v>0</v>
      </c>
      <c r="FF26" s="45">
        <f t="shared" si="11"/>
        <v>0</v>
      </c>
      <c r="FG26" s="45">
        <f t="shared" si="11"/>
        <v>0</v>
      </c>
      <c r="FH26" s="45">
        <f t="shared" si="11"/>
        <v>0</v>
      </c>
      <c r="FI26" s="45">
        <f t="shared" si="11"/>
        <v>0</v>
      </c>
      <c r="FJ26" s="45">
        <f t="shared" si="11"/>
        <v>0</v>
      </c>
      <c r="FK26" s="45">
        <f t="shared" si="11"/>
        <v>0</v>
      </c>
      <c r="FL26" s="45">
        <f t="shared" si="11"/>
        <v>0</v>
      </c>
      <c r="FM26" s="45">
        <f t="shared" si="11"/>
        <v>0</v>
      </c>
      <c r="FN26" s="45">
        <f t="shared" si="11"/>
        <v>0</v>
      </c>
      <c r="FO26" s="45">
        <f t="shared" si="11"/>
        <v>0</v>
      </c>
      <c r="FP26" s="45">
        <f t="shared" si="11"/>
        <v>0</v>
      </c>
      <c r="FQ26" s="45">
        <f t="shared" si="11"/>
        <v>0</v>
      </c>
      <c r="FR26" s="45">
        <f t="shared" si="11"/>
        <v>0</v>
      </c>
      <c r="FS26" s="45">
        <f t="shared" si="11"/>
        <v>0</v>
      </c>
      <c r="FT26" s="45">
        <f t="shared" si="11"/>
        <v>0</v>
      </c>
      <c r="FU26" s="45">
        <f t="shared" si="11"/>
        <v>0</v>
      </c>
      <c r="FV26" s="45">
        <f t="shared" si="11"/>
        <v>0</v>
      </c>
      <c r="FW26" s="45">
        <f t="shared" si="11"/>
        <v>0</v>
      </c>
      <c r="FX26" s="45">
        <f t="shared" si="11"/>
        <v>0</v>
      </c>
      <c r="FY26" s="45">
        <f t="shared" si="11"/>
        <v>0</v>
      </c>
      <c r="FZ26" s="45">
        <f t="shared" si="11"/>
        <v>0</v>
      </c>
      <c r="GA26" s="45">
        <f t="shared" si="11"/>
        <v>0</v>
      </c>
      <c r="GB26" s="45">
        <f t="shared" si="11"/>
        <v>0</v>
      </c>
      <c r="GC26" s="45">
        <f t="shared" si="11"/>
        <v>0</v>
      </c>
      <c r="GD26" s="45">
        <f t="shared" si="11"/>
        <v>0</v>
      </c>
      <c r="GE26" s="45">
        <f t="shared" si="11"/>
        <v>0</v>
      </c>
      <c r="GF26" s="45">
        <f t="shared" si="11"/>
        <v>0</v>
      </c>
      <c r="GG26" s="45">
        <f t="shared" si="11"/>
        <v>0</v>
      </c>
      <c r="GH26" s="45">
        <f t="shared" si="11"/>
        <v>0</v>
      </c>
      <c r="GI26" s="45">
        <f t="shared" si="11"/>
        <v>0</v>
      </c>
      <c r="GJ26" s="45">
        <f t="shared" si="11"/>
        <v>0</v>
      </c>
      <c r="GK26" s="45">
        <f t="shared" si="11"/>
        <v>0</v>
      </c>
      <c r="GL26" s="45">
        <f t="shared" si="11"/>
        <v>0</v>
      </c>
      <c r="GM26" s="45">
        <f t="shared" si="11"/>
        <v>0</v>
      </c>
      <c r="GN26" s="45">
        <f t="shared" si="11"/>
        <v>0</v>
      </c>
      <c r="GO26" s="45">
        <f t="shared" si="11"/>
        <v>0</v>
      </c>
      <c r="GP26" s="45">
        <f t="shared" si="11"/>
        <v>0</v>
      </c>
      <c r="GQ26" s="45">
        <f t="shared" si="11"/>
        <v>0</v>
      </c>
      <c r="GR26" s="45">
        <f t="shared" si="11"/>
        <v>0</v>
      </c>
      <c r="GS26" s="45">
        <f t="shared" si="11"/>
        <v>0</v>
      </c>
      <c r="GT26" s="45">
        <f t="shared" si="11"/>
        <v>0</v>
      </c>
      <c r="GU26" s="45">
        <f t="shared" si="11"/>
        <v>0</v>
      </c>
      <c r="GV26" s="45">
        <f t="shared" si="11"/>
        <v>0</v>
      </c>
      <c r="GW26" s="45">
        <f t="shared" si="11"/>
        <v>0</v>
      </c>
      <c r="GX26" s="45">
        <f t="shared" si="11"/>
        <v>0</v>
      </c>
    </row>
    <row r="28" spans="1:245" x14ac:dyDescent="0.25">
      <c r="A28" s="2">
        <v>17</v>
      </c>
      <c r="B28" s="2">
        <v>1</v>
      </c>
      <c r="C28" s="2">
        <f>ROW('SmtRes (2)'!A8)</f>
        <v>8</v>
      </c>
      <c r="D28" s="2">
        <f>ROW('EtalonRes (2)'!A8)</f>
        <v>8</v>
      </c>
      <c r="E28" s="2" t="s">
        <v>176</v>
      </c>
      <c r="F28" s="2" t="s">
        <v>177</v>
      </c>
      <c r="G28" s="2" t="s">
        <v>178</v>
      </c>
      <c r="H28" s="2" t="s">
        <v>60</v>
      </c>
      <c r="I28" s="2">
        <f>ROUND(1294/100,9)</f>
        <v>12.94</v>
      </c>
      <c r="J28" s="2">
        <v>0</v>
      </c>
      <c r="K28" s="2">
        <f>ROUND(1294/100,9)</f>
        <v>12.94</v>
      </c>
      <c r="O28" s="2">
        <f t="shared" ref="O28:O38" si="12">ROUND(CP28,2)</f>
        <v>44276.55</v>
      </c>
      <c r="P28" s="2">
        <f t="shared" ref="P28:P38" si="13">ROUND(CQ28*I28,2)</f>
        <v>8414.11</v>
      </c>
      <c r="Q28" s="2">
        <f t="shared" ref="Q28:Q38" si="14">ROUND(CR28*I28,2)</f>
        <v>33532.199999999997</v>
      </c>
      <c r="R28" s="2">
        <f t="shared" ref="R28:R38" si="15">ROUND(CS28*I28,2)</f>
        <v>6599.4</v>
      </c>
      <c r="S28" s="2">
        <f t="shared" ref="S28:S38" si="16">ROUND(CT28*I28,2)</f>
        <v>2330.2399999999998</v>
      </c>
      <c r="T28" s="2">
        <f t="shared" ref="T28:T38" si="17">ROUND(CU28*I28,2)</f>
        <v>0</v>
      </c>
      <c r="U28" s="2">
        <f t="shared" ref="U28:U38" si="18">CV28*I28</f>
        <v>10.2226</v>
      </c>
      <c r="V28" s="2">
        <f t="shared" ref="V28:V38" si="19">CW28*I28</f>
        <v>0</v>
      </c>
      <c r="W28" s="2">
        <f t="shared" ref="W28:W38" si="20">ROUND(CX28*I28,2)</f>
        <v>0</v>
      </c>
      <c r="X28" s="2">
        <f t="shared" ref="X28:Y38" si="21">ROUND(CY28,2)</f>
        <v>1631.17</v>
      </c>
      <c r="Y28" s="2">
        <f t="shared" si="21"/>
        <v>233.02</v>
      </c>
      <c r="AA28" s="2">
        <v>52262273</v>
      </c>
      <c r="AB28" s="2">
        <f t="shared" ref="AB28:AB38" si="22">ROUND((AC28+AD28+AF28),6)</f>
        <v>3421.68</v>
      </c>
      <c r="AC28" s="2">
        <f t="shared" ref="AC28:AC34" si="23">ROUND((ES28),6)</f>
        <v>650.24</v>
      </c>
      <c r="AD28" s="2">
        <f t="shared" ref="AD28:AD34" si="24">ROUND((((ET28)-(EU28))+AE28),6)</f>
        <v>2591.36</v>
      </c>
      <c r="AE28" s="2">
        <f t="shared" ref="AE28:AF34" si="25">ROUND((EU28),6)</f>
        <v>510</v>
      </c>
      <c r="AF28" s="2">
        <f t="shared" si="25"/>
        <v>180.08</v>
      </c>
      <c r="AG28" s="2">
        <f t="shared" ref="AG28:AG38" si="26">ROUND((AP28),6)</f>
        <v>0</v>
      </c>
      <c r="AH28" s="2">
        <f t="shared" ref="AH28:AI34" si="27">(EW28)</f>
        <v>0.79</v>
      </c>
      <c r="AI28" s="2">
        <f t="shared" si="27"/>
        <v>0</v>
      </c>
      <c r="AJ28" s="2">
        <f t="shared" ref="AJ28:AJ38" si="28">(AS28)</f>
        <v>0</v>
      </c>
      <c r="AK28" s="2">
        <v>3421.68</v>
      </c>
      <c r="AL28" s="2">
        <v>650.24</v>
      </c>
      <c r="AM28" s="2">
        <v>2591.36</v>
      </c>
      <c r="AN28" s="2">
        <v>510</v>
      </c>
      <c r="AO28" s="2">
        <v>180.08</v>
      </c>
      <c r="AP28" s="2">
        <v>0</v>
      </c>
      <c r="AQ28" s="2">
        <v>0.79</v>
      </c>
      <c r="AR28" s="2">
        <v>0</v>
      </c>
      <c r="AS28" s="2">
        <v>0</v>
      </c>
      <c r="AT28" s="2">
        <v>70</v>
      </c>
      <c r="AU28" s="2">
        <v>10</v>
      </c>
      <c r="AV28" s="2">
        <v>1</v>
      </c>
      <c r="AW28" s="2">
        <v>1</v>
      </c>
      <c r="AZ28" s="2">
        <v>1</v>
      </c>
      <c r="BA28" s="2">
        <v>1</v>
      </c>
      <c r="BB28" s="2">
        <v>1</v>
      </c>
      <c r="BC28" s="2">
        <v>1</v>
      </c>
      <c r="BD28" s="2" t="s">
        <v>30</v>
      </c>
      <c r="BE28" s="2" t="s">
        <v>30</v>
      </c>
      <c r="BF28" s="2" t="s">
        <v>30</v>
      </c>
      <c r="BG28" s="2" t="s">
        <v>30</v>
      </c>
      <c r="BH28" s="2">
        <v>0</v>
      </c>
      <c r="BI28" s="2">
        <v>4</v>
      </c>
      <c r="BJ28" s="2" t="s">
        <v>179</v>
      </c>
      <c r="BM28" s="2">
        <v>0</v>
      </c>
      <c r="BN28" s="2">
        <v>0</v>
      </c>
      <c r="BO28" s="2" t="s">
        <v>30</v>
      </c>
      <c r="BP28" s="2">
        <v>0</v>
      </c>
      <c r="BQ28" s="2">
        <v>1</v>
      </c>
      <c r="BR28" s="2">
        <v>0</v>
      </c>
      <c r="BS28" s="2">
        <v>1</v>
      </c>
      <c r="BT28" s="2">
        <v>1</v>
      </c>
      <c r="BU28" s="2">
        <v>1</v>
      </c>
      <c r="BV28" s="2">
        <v>1</v>
      </c>
      <c r="BW28" s="2">
        <v>1</v>
      </c>
      <c r="BX28" s="2">
        <v>1</v>
      </c>
      <c r="BY28" s="2" t="s">
        <v>30</v>
      </c>
      <c r="BZ28" s="2">
        <v>70</v>
      </c>
      <c r="CA28" s="2">
        <v>10</v>
      </c>
      <c r="CB28" s="2" t="s">
        <v>30</v>
      </c>
      <c r="CE28" s="2">
        <v>0</v>
      </c>
      <c r="CF28" s="2">
        <v>0</v>
      </c>
      <c r="CG28" s="2">
        <v>0</v>
      </c>
      <c r="CM28" s="2">
        <v>0</v>
      </c>
      <c r="CN28" s="2" t="s">
        <v>30</v>
      </c>
      <c r="CO28" s="2">
        <v>0</v>
      </c>
      <c r="CP28" s="2">
        <f t="shared" ref="CP28:CP38" si="29">(P28+Q28+S28)</f>
        <v>44276.55</v>
      </c>
      <c r="CQ28" s="2">
        <f t="shared" ref="CQ28:CQ38" si="30">(AC28*BC28*AW28)</f>
        <v>650.24</v>
      </c>
      <c r="CR28" s="2">
        <f t="shared" ref="CR28:CR34" si="31">((((ET28)*BB28-(EU28)*BS28)+AE28*BS28)*AV28)</f>
        <v>2591.36</v>
      </c>
      <c r="CS28" s="2">
        <f t="shared" ref="CS28:CS38" si="32">(AE28*BS28*AV28)</f>
        <v>510</v>
      </c>
      <c r="CT28" s="2">
        <f t="shared" ref="CT28:CT38" si="33">(AF28*BA28*AV28)</f>
        <v>180.08</v>
      </c>
      <c r="CU28" s="2">
        <f t="shared" ref="CU28:CU38" si="34">AG28</f>
        <v>0</v>
      </c>
      <c r="CV28" s="2">
        <f t="shared" ref="CV28:CV38" si="35">(AH28*AV28)</f>
        <v>0.79</v>
      </c>
      <c r="CW28" s="2">
        <f t="shared" ref="CW28:CX38" si="36">AI28</f>
        <v>0</v>
      </c>
      <c r="CX28" s="2">
        <f t="shared" si="36"/>
        <v>0</v>
      </c>
      <c r="CY28" s="2">
        <f t="shared" ref="CY28:CY38" si="37">((S28*BZ28)/100)</f>
        <v>1631.1679999999999</v>
      </c>
      <c r="CZ28" s="2">
        <f t="shared" ref="CZ28:CZ38" si="38">((S28*CA28)/100)</f>
        <v>233.024</v>
      </c>
      <c r="DC28" s="2" t="s">
        <v>30</v>
      </c>
      <c r="DD28" s="2" t="s">
        <v>30</v>
      </c>
      <c r="DE28" s="2" t="s">
        <v>30</v>
      </c>
      <c r="DF28" s="2" t="s">
        <v>30</v>
      </c>
      <c r="DG28" s="2" t="s">
        <v>30</v>
      </c>
      <c r="DH28" s="2" t="s">
        <v>30</v>
      </c>
      <c r="DI28" s="2" t="s">
        <v>30</v>
      </c>
      <c r="DJ28" s="2" t="s">
        <v>30</v>
      </c>
      <c r="DK28" s="2" t="s">
        <v>30</v>
      </c>
      <c r="DL28" s="2" t="s">
        <v>30</v>
      </c>
      <c r="DM28" s="2" t="s">
        <v>30</v>
      </c>
      <c r="DN28" s="2">
        <v>0</v>
      </c>
      <c r="DO28" s="2">
        <v>0</v>
      </c>
      <c r="DP28" s="2">
        <v>1</v>
      </c>
      <c r="DQ28" s="2">
        <v>1</v>
      </c>
      <c r="DU28" s="2">
        <v>1005</v>
      </c>
      <c r="DV28" s="2" t="s">
        <v>60</v>
      </c>
      <c r="DW28" s="2" t="s">
        <v>60</v>
      </c>
      <c r="DX28" s="2">
        <v>100</v>
      </c>
      <c r="DZ28" s="2" t="s">
        <v>30</v>
      </c>
      <c r="EA28" s="2" t="s">
        <v>30</v>
      </c>
      <c r="EB28" s="2" t="s">
        <v>30</v>
      </c>
      <c r="EC28" s="2" t="s">
        <v>30</v>
      </c>
      <c r="EE28" s="2">
        <v>49661954</v>
      </c>
      <c r="EF28" s="2">
        <v>1</v>
      </c>
      <c r="EG28" s="2" t="s">
        <v>180</v>
      </c>
      <c r="EH28" s="2">
        <v>0</v>
      </c>
      <c r="EI28" s="2" t="s">
        <v>30</v>
      </c>
      <c r="EJ28" s="2">
        <v>4</v>
      </c>
      <c r="EK28" s="2">
        <v>0</v>
      </c>
      <c r="EL28" s="2" t="s">
        <v>181</v>
      </c>
      <c r="EM28" s="2" t="s">
        <v>182</v>
      </c>
      <c r="EO28" s="2" t="s">
        <v>30</v>
      </c>
      <c r="EQ28" s="2">
        <v>0</v>
      </c>
      <c r="ER28" s="2">
        <v>3421.68</v>
      </c>
      <c r="ES28" s="2">
        <v>650.24</v>
      </c>
      <c r="ET28" s="2">
        <v>2591.36</v>
      </c>
      <c r="EU28" s="2">
        <v>510</v>
      </c>
      <c r="EV28" s="2">
        <v>180.08</v>
      </c>
      <c r="EW28" s="2">
        <v>0.79</v>
      </c>
      <c r="EX28" s="2">
        <v>0</v>
      </c>
      <c r="EY28" s="2">
        <v>0</v>
      </c>
      <c r="FQ28" s="2">
        <v>0</v>
      </c>
      <c r="FR28" s="2">
        <f t="shared" ref="FR28:FR38" si="39">ROUND(IF(AND(BH28=3,BI28=3),P28,0),2)</f>
        <v>0</v>
      </c>
      <c r="FS28" s="2">
        <v>0</v>
      </c>
      <c r="FX28" s="2">
        <v>70</v>
      </c>
      <c r="FY28" s="2">
        <v>10</v>
      </c>
      <c r="GA28" s="2" t="s">
        <v>30</v>
      </c>
      <c r="GD28" s="2">
        <v>0</v>
      </c>
      <c r="GF28" s="2">
        <v>-628905493</v>
      </c>
      <c r="GG28" s="2">
        <v>2</v>
      </c>
      <c r="GH28" s="2">
        <v>1</v>
      </c>
      <c r="GI28" s="2">
        <v>-2</v>
      </c>
      <c r="GJ28" s="2">
        <v>0</v>
      </c>
      <c r="GK28" s="2">
        <f>ROUND(R28*(R12)/100,2)</f>
        <v>7127.35</v>
      </c>
      <c r="GL28" s="2">
        <f t="shared" ref="GL28:GL38" si="40">ROUND(IF(AND(BH28=3,BI28=3,FS28&lt;&gt;0),P28,0),2)</f>
        <v>0</v>
      </c>
      <c r="GM28" s="2">
        <f t="shared" ref="GM28:GM33" si="41">ROUND(O28+X28+Y28+GK28,2)+GX28</f>
        <v>53268.09</v>
      </c>
      <c r="GN28" s="2">
        <f t="shared" ref="GN28:GN33" si="42">IF(OR(BI28=0,BI28=1),ROUND(O28+X28+Y28+GK28,2),0)</f>
        <v>0</v>
      </c>
      <c r="GO28" s="2">
        <f t="shared" ref="GO28:GO33" si="43">IF(BI28=2,ROUND(O28+X28+Y28+GK28,2),0)</f>
        <v>0</v>
      </c>
      <c r="GP28" s="2">
        <f t="shared" ref="GP28:GP33" si="44">IF(BI28=4,ROUND(O28+X28+Y28+GK28,2)+GX28,0)</f>
        <v>53268.09</v>
      </c>
      <c r="GR28" s="2">
        <v>0</v>
      </c>
      <c r="GS28" s="2">
        <v>3</v>
      </c>
      <c r="GT28" s="2">
        <v>0</v>
      </c>
      <c r="GU28" s="2" t="s">
        <v>30</v>
      </c>
      <c r="GV28" s="2">
        <f t="shared" ref="GV28:GV38" si="45">ROUND((GT28),6)</f>
        <v>0</v>
      </c>
      <c r="GW28" s="2">
        <v>1</v>
      </c>
      <c r="GX28" s="2">
        <f t="shared" ref="GX28:GX38" si="46">ROUND(HC28*I28,2)</f>
        <v>0</v>
      </c>
      <c r="HA28" s="2">
        <v>0</v>
      </c>
      <c r="HB28" s="2">
        <v>0</v>
      </c>
      <c r="HC28" s="2">
        <f t="shared" ref="HC28:HC38" si="47">GV28*GW28</f>
        <v>0</v>
      </c>
      <c r="HE28" s="2" t="s">
        <v>30</v>
      </c>
      <c r="HF28" s="2" t="s">
        <v>30</v>
      </c>
      <c r="HM28" s="2" t="s">
        <v>30</v>
      </c>
      <c r="HN28" s="2" t="s">
        <v>30</v>
      </c>
      <c r="HO28" s="2" t="s">
        <v>30</v>
      </c>
      <c r="HP28" s="2" t="s">
        <v>30</v>
      </c>
      <c r="HQ28" s="2" t="s">
        <v>30</v>
      </c>
      <c r="IK28" s="2">
        <v>0</v>
      </c>
    </row>
    <row r="29" spans="1:245" x14ac:dyDescent="0.25">
      <c r="A29" s="2">
        <v>17</v>
      </c>
      <c r="B29" s="2">
        <v>1</v>
      </c>
      <c r="C29" s="2">
        <f>ROW('SmtRes (2)'!A13)</f>
        <v>13</v>
      </c>
      <c r="D29" s="2">
        <f>ROW('EtalonRes (2)'!A13)</f>
        <v>13</v>
      </c>
      <c r="E29" s="2" t="s">
        <v>183</v>
      </c>
      <c r="F29" s="2" t="s">
        <v>184</v>
      </c>
      <c r="G29" s="2" t="s">
        <v>185</v>
      </c>
      <c r="H29" s="2" t="s">
        <v>60</v>
      </c>
      <c r="I29" s="2">
        <f>ROUND(-1294/100,9)</f>
        <v>-12.94</v>
      </c>
      <c r="J29" s="2">
        <v>0</v>
      </c>
      <c r="K29" s="2">
        <f>ROUND(-1294/100,9)</f>
        <v>-12.94</v>
      </c>
      <c r="O29" s="2">
        <f t="shared" si="12"/>
        <v>-6285.09</v>
      </c>
      <c r="P29" s="2">
        <f t="shared" si="13"/>
        <v>-1380.44</v>
      </c>
      <c r="Q29" s="2">
        <f t="shared" si="14"/>
        <v>-4770.8500000000004</v>
      </c>
      <c r="R29" s="2">
        <f t="shared" si="15"/>
        <v>-807.71</v>
      </c>
      <c r="S29" s="2">
        <f t="shared" si="16"/>
        <v>-133.80000000000001</v>
      </c>
      <c r="T29" s="2">
        <f t="shared" si="17"/>
        <v>0</v>
      </c>
      <c r="U29" s="2">
        <f t="shared" si="18"/>
        <v>-0.51759999999999995</v>
      </c>
      <c r="V29" s="2">
        <f t="shared" si="19"/>
        <v>0</v>
      </c>
      <c r="W29" s="2">
        <f t="shared" si="20"/>
        <v>0</v>
      </c>
      <c r="X29" s="2">
        <f t="shared" si="21"/>
        <v>-93.66</v>
      </c>
      <c r="Y29" s="2">
        <f t="shared" si="21"/>
        <v>-13.38</v>
      </c>
      <c r="AA29" s="2">
        <v>52262273</v>
      </c>
      <c r="AB29" s="2">
        <f t="shared" si="22"/>
        <v>485.71</v>
      </c>
      <c r="AC29" s="2">
        <f t="shared" si="23"/>
        <v>106.68</v>
      </c>
      <c r="AD29" s="2">
        <f t="shared" si="24"/>
        <v>368.69</v>
      </c>
      <c r="AE29" s="2">
        <f t="shared" si="25"/>
        <v>62.42</v>
      </c>
      <c r="AF29" s="2">
        <f t="shared" si="25"/>
        <v>10.34</v>
      </c>
      <c r="AG29" s="2">
        <f t="shared" si="26"/>
        <v>0</v>
      </c>
      <c r="AH29" s="2">
        <f t="shared" si="27"/>
        <v>0.04</v>
      </c>
      <c r="AI29" s="2">
        <f t="shared" si="27"/>
        <v>0</v>
      </c>
      <c r="AJ29" s="2">
        <f t="shared" si="28"/>
        <v>0</v>
      </c>
      <c r="AK29" s="2">
        <v>485.71</v>
      </c>
      <c r="AL29" s="2">
        <v>106.68</v>
      </c>
      <c r="AM29" s="2">
        <v>368.69</v>
      </c>
      <c r="AN29" s="2">
        <v>62.42</v>
      </c>
      <c r="AO29" s="2">
        <v>10.34</v>
      </c>
      <c r="AP29" s="2">
        <v>0</v>
      </c>
      <c r="AQ29" s="2">
        <v>0.04</v>
      </c>
      <c r="AR29" s="2">
        <v>0</v>
      </c>
      <c r="AS29" s="2">
        <v>0</v>
      </c>
      <c r="AT29" s="2">
        <v>70</v>
      </c>
      <c r="AU29" s="2">
        <v>10</v>
      </c>
      <c r="AV29" s="2">
        <v>1</v>
      </c>
      <c r="AW29" s="2">
        <v>1</v>
      </c>
      <c r="AZ29" s="2">
        <v>1</v>
      </c>
      <c r="BA29" s="2">
        <v>1</v>
      </c>
      <c r="BB29" s="2">
        <v>1</v>
      </c>
      <c r="BC29" s="2">
        <v>1</v>
      </c>
      <c r="BD29" s="2" t="s">
        <v>30</v>
      </c>
      <c r="BE29" s="2" t="s">
        <v>30</v>
      </c>
      <c r="BF29" s="2" t="s">
        <v>30</v>
      </c>
      <c r="BG29" s="2" t="s">
        <v>30</v>
      </c>
      <c r="BH29" s="2">
        <v>0</v>
      </c>
      <c r="BI29" s="2">
        <v>4</v>
      </c>
      <c r="BJ29" s="2" t="s">
        <v>186</v>
      </c>
      <c r="BM29" s="2">
        <v>0</v>
      </c>
      <c r="BN29" s="2">
        <v>0</v>
      </c>
      <c r="BO29" s="2" t="s">
        <v>30</v>
      </c>
      <c r="BP29" s="2">
        <v>0</v>
      </c>
      <c r="BQ29" s="2">
        <v>1</v>
      </c>
      <c r="BR29" s="2">
        <v>0</v>
      </c>
      <c r="BS29" s="2">
        <v>1</v>
      </c>
      <c r="BT29" s="2">
        <v>1</v>
      </c>
      <c r="BU29" s="2">
        <v>1</v>
      </c>
      <c r="BV29" s="2">
        <v>1</v>
      </c>
      <c r="BW29" s="2">
        <v>1</v>
      </c>
      <c r="BX29" s="2">
        <v>1</v>
      </c>
      <c r="BY29" s="2" t="s">
        <v>30</v>
      </c>
      <c r="BZ29" s="2">
        <v>70</v>
      </c>
      <c r="CA29" s="2">
        <v>10</v>
      </c>
      <c r="CB29" s="2" t="s">
        <v>30</v>
      </c>
      <c r="CE29" s="2">
        <v>0</v>
      </c>
      <c r="CF29" s="2">
        <v>0</v>
      </c>
      <c r="CG29" s="2">
        <v>0</v>
      </c>
      <c r="CM29" s="2">
        <v>0</v>
      </c>
      <c r="CN29" s="2" t="s">
        <v>30</v>
      </c>
      <c r="CO29" s="2">
        <v>0</v>
      </c>
      <c r="CP29" s="2">
        <f t="shared" si="29"/>
        <v>-6285.09</v>
      </c>
      <c r="CQ29" s="2">
        <f t="shared" si="30"/>
        <v>106.68</v>
      </c>
      <c r="CR29" s="2">
        <f t="shared" si="31"/>
        <v>368.69</v>
      </c>
      <c r="CS29" s="2">
        <f t="shared" si="32"/>
        <v>62.42</v>
      </c>
      <c r="CT29" s="2">
        <f t="shared" si="33"/>
        <v>10.34</v>
      </c>
      <c r="CU29" s="2">
        <f t="shared" si="34"/>
        <v>0</v>
      </c>
      <c r="CV29" s="2">
        <f t="shared" si="35"/>
        <v>0.04</v>
      </c>
      <c r="CW29" s="2">
        <f t="shared" si="36"/>
        <v>0</v>
      </c>
      <c r="CX29" s="2">
        <f t="shared" si="36"/>
        <v>0</v>
      </c>
      <c r="CY29" s="2">
        <f t="shared" si="37"/>
        <v>-93.66</v>
      </c>
      <c r="CZ29" s="2">
        <f t="shared" si="38"/>
        <v>-13.38</v>
      </c>
      <c r="DC29" s="2" t="s">
        <v>30</v>
      </c>
      <c r="DD29" s="2" t="s">
        <v>30</v>
      </c>
      <c r="DE29" s="2" t="s">
        <v>30</v>
      </c>
      <c r="DF29" s="2" t="s">
        <v>30</v>
      </c>
      <c r="DG29" s="2" t="s">
        <v>30</v>
      </c>
      <c r="DH29" s="2" t="s">
        <v>30</v>
      </c>
      <c r="DI29" s="2" t="s">
        <v>30</v>
      </c>
      <c r="DJ29" s="2" t="s">
        <v>30</v>
      </c>
      <c r="DK29" s="2" t="s">
        <v>30</v>
      </c>
      <c r="DL29" s="2" t="s">
        <v>30</v>
      </c>
      <c r="DM29" s="2" t="s">
        <v>30</v>
      </c>
      <c r="DN29" s="2">
        <v>0</v>
      </c>
      <c r="DO29" s="2">
        <v>0</v>
      </c>
      <c r="DP29" s="2">
        <v>1</v>
      </c>
      <c r="DQ29" s="2">
        <v>1</v>
      </c>
      <c r="DU29" s="2">
        <v>1005</v>
      </c>
      <c r="DV29" s="2" t="s">
        <v>60</v>
      </c>
      <c r="DW29" s="2" t="s">
        <v>60</v>
      </c>
      <c r="DX29" s="2">
        <v>100</v>
      </c>
      <c r="DZ29" s="2" t="s">
        <v>30</v>
      </c>
      <c r="EA29" s="2" t="s">
        <v>30</v>
      </c>
      <c r="EB29" s="2" t="s">
        <v>30</v>
      </c>
      <c r="EC29" s="2" t="s">
        <v>30</v>
      </c>
      <c r="EE29" s="2">
        <v>49661954</v>
      </c>
      <c r="EF29" s="2">
        <v>1</v>
      </c>
      <c r="EG29" s="2" t="s">
        <v>180</v>
      </c>
      <c r="EH29" s="2">
        <v>0</v>
      </c>
      <c r="EI29" s="2" t="s">
        <v>30</v>
      </c>
      <c r="EJ29" s="2">
        <v>4</v>
      </c>
      <c r="EK29" s="2">
        <v>0</v>
      </c>
      <c r="EL29" s="2" t="s">
        <v>181</v>
      </c>
      <c r="EM29" s="2" t="s">
        <v>182</v>
      </c>
      <c r="EO29" s="2" t="s">
        <v>30</v>
      </c>
      <c r="EQ29" s="2">
        <v>0</v>
      </c>
      <c r="ER29" s="2">
        <v>485.71</v>
      </c>
      <c r="ES29" s="2">
        <v>106.68</v>
      </c>
      <c r="ET29" s="2">
        <v>368.69</v>
      </c>
      <c r="EU29" s="2">
        <v>62.42</v>
      </c>
      <c r="EV29" s="2">
        <v>10.34</v>
      </c>
      <c r="EW29" s="2">
        <v>0.04</v>
      </c>
      <c r="EX29" s="2">
        <v>0</v>
      </c>
      <c r="EY29" s="2">
        <v>0</v>
      </c>
      <c r="FQ29" s="2">
        <v>0</v>
      </c>
      <c r="FR29" s="2">
        <f t="shared" si="39"/>
        <v>0</v>
      </c>
      <c r="FS29" s="2">
        <v>0</v>
      </c>
      <c r="FX29" s="2">
        <v>70</v>
      </c>
      <c r="FY29" s="2">
        <v>10</v>
      </c>
      <c r="GA29" s="2" t="s">
        <v>30</v>
      </c>
      <c r="GD29" s="2">
        <v>0</v>
      </c>
      <c r="GF29" s="2">
        <v>1520527762</v>
      </c>
      <c r="GG29" s="2">
        <v>2</v>
      </c>
      <c r="GH29" s="2">
        <v>1</v>
      </c>
      <c r="GI29" s="2">
        <v>-2</v>
      </c>
      <c r="GJ29" s="2">
        <v>0</v>
      </c>
      <c r="GK29" s="2">
        <f>ROUND(R29*(R12)/100,2)</f>
        <v>-872.33</v>
      </c>
      <c r="GL29" s="2">
        <f t="shared" si="40"/>
        <v>0</v>
      </c>
      <c r="GM29" s="2">
        <f t="shared" si="41"/>
        <v>-7264.46</v>
      </c>
      <c r="GN29" s="2">
        <f t="shared" si="42"/>
        <v>0</v>
      </c>
      <c r="GO29" s="2">
        <f t="shared" si="43"/>
        <v>0</v>
      </c>
      <c r="GP29" s="2">
        <f t="shared" si="44"/>
        <v>-7264.46</v>
      </c>
      <c r="GR29" s="2">
        <v>0</v>
      </c>
      <c r="GS29" s="2">
        <v>3</v>
      </c>
      <c r="GT29" s="2">
        <v>0</v>
      </c>
      <c r="GU29" s="2" t="s">
        <v>30</v>
      </c>
      <c r="GV29" s="2">
        <f t="shared" si="45"/>
        <v>0</v>
      </c>
      <c r="GW29" s="2">
        <v>1</v>
      </c>
      <c r="GX29" s="2">
        <f t="shared" si="46"/>
        <v>0</v>
      </c>
      <c r="HA29" s="2">
        <v>0</v>
      </c>
      <c r="HB29" s="2">
        <v>0</v>
      </c>
      <c r="HC29" s="2">
        <f t="shared" si="47"/>
        <v>0</v>
      </c>
      <c r="HE29" s="2" t="s">
        <v>30</v>
      </c>
      <c r="HF29" s="2" t="s">
        <v>30</v>
      </c>
      <c r="HM29" s="2" t="s">
        <v>30</v>
      </c>
      <c r="HN29" s="2" t="s">
        <v>30</v>
      </c>
      <c r="HO29" s="2" t="s">
        <v>30</v>
      </c>
      <c r="HP29" s="2" t="s">
        <v>30</v>
      </c>
      <c r="HQ29" s="2" t="s">
        <v>30</v>
      </c>
      <c r="IK29" s="2">
        <v>0</v>
      </c>
    </row>
    <row r="30" spans="1:245" x14ac:dyDescent="0.25">
      <c r="A30" s="2">
        <v>17</v>
      </c>
      <c r="B30" s="2">
        <v>1</v>
      </c>
      <c r="C30" s="2">
        <f>ROW('SmtRes (2)'!A23)</f>
        <v>23</v>
      </c>
      <c r="D30" s="2">
        <f>ROW('EtalonRes (2)'!A22)</f>
        <v>22</v>
      </c>
      <c r="E30" s="2" t="s">
        <v>187</v>
      </c>
      <c r="F30" s="2" t="s">
        <v>188</v>
      </c>
      <c r="G30" s="2" t="s">
        <v>399</v>
      </c>
      <c r="H30" s="2" t="s">
        <v>61</v>
      </c>
      <c r="I30" s="2">
        <f>ROUND(388.2/1000,9)</f>
        <v>0.38819999999999999</v>
      </c>
      <c r="J30" s="2">
        <v>0</v>
      </c>
      <c r="K30" s="2">
        <f>ROUND(388.2/1000,9)</f>
        <v>0.38819999999999999</v>
      </c>
      <c r="O30" s="2">
        <f t="shared" si="12"/>
        <v>83500.929999999993</v>
      </c>
      <c r="P30" s="2">
        <f t="shared" si="13"/>
        <v>40482.519999999997</v>
      </c>
      <c r="Q30" s="2">
        <f t="shared" si="14"/>
        <v>36282.550000000003</v>
      </c>
      <c r="R30" s="2">
        <f t="shared" si="15"/>
        <v>14888.67</v>
      </c>
      <c r="S30" s="2">
        <f t="shared" si="16"/>
        <v>6735.86</v>
      </c>
      <c r="T30" s="2">
        <f t="shared" si="17"/>
        <v>0</v>
      </c>
      <c r="U30" s="2">
        <f t="shared" si="18"/>
        <v>33.885978000000001</v>
      </c>
      <c r="V30" s="2">
        <f t="shared" si="19"/>
        <v>0</v>
      </c>
      <c r="W30" s="2">
        <f t="shared" si="20"/>
        <v>0</v>
      </c>
      <c r="X30" s="2">
        <f t="shared" si="21"/>
        <v>4715.1000000000004</v>
      </c>
      <c r="Y30" s="2">
        <f t="shared" si="21"/>
        <v>673.59</v>
      </c>
      <c r="AA30" s="2">
        <v>52262273</v>
      </c>
      <c r="AB30" s="2">
        <f t="shared" si="22"/>
        <v>215097.7</v>
      </c>
      <c r="AC30" s="2">
        <f t="shared" si="23"/>
        <v>104282.63</v>
      </c>
      <c r="AD30" s="2">
        <f t="shared" si="24"/>
        <v>93463.56</v>
      </c>
      <c r="AE30" s="2">
        <f t="shared" si="25"/>
        <v>38353.089999999997</v>
      </c>
      <c r="AF30" s="2">
        <f t="shared" si="25"/>
        <v>17351.509999999998</v>
      </c>
      <c r="AG30" s="2">
        <f t="shared" si="26"/>
        <v>0</v>
      </c>
      <c r="AH30" s="2">
        <f t="shared" si="27"/>
        <v>87.29</v>
      </c>
      <c r="AI30" s="2">
        <f t="shared" si="27"/>
        <v>0</v>
      </c>
      <c r="AJ30" s="2">
        <f t="shared" si="28"/>
        <v>0</v>
      </c>
      <c r="AK30" s="2">
        <v>215097.7</v>
      </c>
      <c r="AL30" s="2">
        <v>104282.63</v>
      </c>
      <c r="AM30" s="2">
        <v>93463.56</v>
      </c>
      <c r="AN30" s="2">
        <v>38353.089999999997</v>
      </c>
      <c r="AO30" s="2">
        <v>17351.509999999998</v>
      </c>
      <c r="AP30" s="2">
        <v>0</v>
      </c>
      <c r="AQ30" s="2">
        <v>87.29</v>
      </c>
      <c r="AR30" s="2">
        <v>0</v>
      </c>
      <c r="AS30" s="2">
        <v>0</v>
      </c>
      <c r="AT30" s="2">
        <v>70</v>
      </c>
      <c r="AU30" s="2">
        <v>10</v>
      </c>
      <c r="AV30" s="2">
        <v>1</v>
      </c>
      <c r="AW30" s="2">
        <v>1</v>
      </c>
      <c r="AZ30" s="2">
        <v>1</v>
      </c>
      <c r="BA30" s="2">
        <v>1</v>
      </c>
      <c r="BB30" s="2">
        <v>1</v>
      </c>
      <c r="BC30" s="2">
        <v>1</v>
      </c>
      <c r="BD30" s="2" t="s">
        <v>30</v>
      </c>
      <c r="BE30" s="2" t="s">
        <v>30</v>
      </c>
      <c r="BF30" s="2" t="s">
        <v>30</v>
      </c>
      <c r="BG30" s="2" t="s">
        <v>30</v>
      </c>
      <c r="BH30" s="2">
        <v>0</v>
      </c>
      <c r="BI30" s="2">
        <v>4</v>
      </c>
      <c r="BJ30" s="2" t="s">
        <v>190</v>
      </c>
      <c r="BM30" s="2">
        <v>0</v>
      </c>
      <c r="BN30" s="2">
        <v>0</v>
      </c>
      <c r="BO30" s="2" t="s">
        <v>30</v>
      </c>
      <c r="BP30" s="2">
        <v>0</v>
      </c>
      <c r="BQ30" s="2">
        <v>1</v>
      </c>
      <c r="BR30" s="2">
        <v>0</v>
      </c>
      <c r="BS30" s="2">
        <v>1</v>
      </c>
      <c r="BT30" s="2">
        <v>1</v>
      </c>
      <c r="BU30" s="2">
        <v>1</v>
      </c>
      <c r="BV30" s="2">
        <v>1</v>
      </c>
      <c r="BW30" s="2">
        <v>1</v>
      </c>
      <c r="BX30" s="2">
        <v>1</v>
      </c>
      <c r="BY30" s="2" t="s">
        <v>30</v>
      </c>
      <c r="BZ30" s="2">
        <v>70</v>
      </c>
      <c r="CA30" s="2">
        <v>10</v>
      </c>
      <c r="CB30" s="2" t="s">
        <v>30</v>
      </c>
      <c r="CE30" s="2">
        <v>0</v>
      </c>
      <c r="CF30" s="2">
        <v>0</v>
      </c>
      <c r="CG30" s="2">
        <v>0</v>
      </c>
      <c r="CM30" s="2">
        <v>0</v>
      </c>
      <c r="CN30" s="2" t="s">
        <v>30</v>
      </c>
      <c r="CO30" s="2">
        <v>0</v>
      </c>
      <c r="CP30" s="2">
        <f t="shared" si="29"/>
        <v>83500.929999999993</v>
      </c>
      <c r="CQ30" s="2">
        <f t="shared" si="30"/>
        <v>104282.63</v>
      </c>
      <c r="CR30" s="2">
        <f t="shared" si="31"/>
        <v>93463.56</v>
      </c>
      <c r="CS30" s="2">
        <f t="shared" si="32"/>
        <v>38353.089999999997</v>
      </c>
      <c r="CT30" s="2">
        <f t="shared" si="33"/>
        <v>17351.509999999998</v>
      </c>
      <c r="CU30" s="2">
        <f t="shared" si="34"/>
        <v>0</v>
      </c>
      <c r="CV30" s="2">
        <f t="shared" si="35"/>
        <v>87.29</v>
      </c>
      <c r="CW30" s="2">
        <f t="shared" si="36"/>
        <v>0</v>
      </c>
      <c r="CX30" s="2">
        <f t="shared" si="36"/>
        <v>0</v>
      </c>
      <c r="CY30" s="2">
        <f t="shared" si="37"/>
        <v>4715.1019999999999</v>
      </c>
      <c r="CZ30" s="2">
        <f t="shared" si="38"/>
        <v>673.58600000000001</v>
      </c>
      <c r="DC30" s="2" t="s">
        <v>30</v>
      </c>
      <c r="DD30" s="2" t="s">
        <v>30</v>
      </c>
      <c r="DE30" s="2" t="s">
        <v>30</v>
      </c>
      <c r="DF30" s="2" t="s">
        <v>30</v>
      </c>
      <c r="DG30" s="2" t="s">
        <v>30</v>
      </c>
      <c r="DH30" s="2" t="s">
        <v>30</v>
      </c>
      <c r="DI30" s="2" t="s">
        <v>30</v>
      </c>
      <c r="DJ30" s="2" t="s">
        <v>30</v>
      </c>
      <c r="DK30" s="2" t="s">
        <v>30</v>
      </c>
      <c r="DL30" s="2" t="s">
        <v>30</v>
      </c>
      <c r="DM30" s="2" t="s">
        <v>30</v>
      </c>
      <c r="DN30" s="2">
        <v>0</v>
      </c>
      <c r="DO30" s="2">
        <v>0</v>
      </c>
      <c r="DP30" s="2">
        <v>1</v>
      </c>
      <c r="DQ30" s="2">
        <v>1</v>
      </c>
      <c r="DU30" s="2">
        <v>1005</v>
      </c>
      <c r="DV30" s="2" t="s">
        <v>61</v>
      </c>
      <c r="DW30" s="2" t="s">
        <v>61</v>
      </c>
      <c r="DX30" s="2">
        <v>1000</v>
      </c>
      <c r="DZ30" s="2" t="s">
        <v>30</v>
      </c>
      <c r="EA30" s="2" t="s">
        <v>30</v>
      </c>
      <c r="EB30" s="2" t="s">
        <v>30</v>
      </c>
      <c r="EC30" s="2" t="s">
        <v>30</v>
      </c>
      <c r="EE30" s="2">
        <v>49661954</v>
      </c>
      <c r="EF30" s="2">
        <v>1</v>
      </c>
      <c r="EG30" s="2" t="s">
        <v>180</v>
      </c>
      <c r="EH30" s="2">
        <v>0</v>
      </c>
      <c r="EI30" s="2" t="s">
        <v>30</v>
      </c>
      <c r="EJ30" s="2">
        <v>4</v>
      </c>
      <c r="EK30" s="2">
        <v>0</v>
      </c>
      <c r="EL30" s="2" t="s">
        <v>181</v>
      </c>
      <c r="EM30" s="2" t="s">
        <v>182</v>
      </c>
      <c r="EO30" s="2" t="s">
        <v>30</v>
      </c>
      <c r="EQ30" s="2">
        <v>0</v>
      </c>
      <c r="ER30" s="2">
        <v>215097.7</v>
      </c>
      <c r="ES30" s="2">
        <v>104282.63</v>
      </c>
      <c r="ET30" s="2">
        <v>93463.56</v>
      </c>
      <c r="EU30" s="2">
        <v>38353.089999999997</v>
      </c>
      <c r="EV30" s="2">
        <v>17351.509999999998</v>
      </c>
      <c r="EW30" s="2">
        <v>87.29</v>
      </c>
      <c r="EX30" s="2">
        <v>0</v>
      </c>
      <c r="EY30" s="2">
        <v>0</v>
      </c>
      <c r="FQ30" s="2">
        <v>0</v>
      </c>
      <c r="FR30" s="2">
        <f t="shared" si="39"/>
        <v>0</v>
      </c>
      <c r="FS30" s="2">
        <v>0</v>
      </c>
      <c r="FX30" s="2">
        <v>70</v>
      </c>
      <c r="FY30" s="2">
        <v>10</v>
      </c>
      <c r="GA30" s="2" t="s">
        <v>30</v>
      </c>
      <c r="GD30" s="2">
        <v>0</v>
      </c>
      <c r="GF30" s="2">
        <v>1428762376</v>
      </c>
      <c r="GG30" s="2">
        <v>2</v>
      </c>
      <c r="GH30" s="2">
        <v>1</v>
      </c>
      <c r="GI30" s="2">
        <v>-2</v>
      </c>
      <c r="GJ30" s="2">
        <v>0</v>
      </c>
      <c r="GK30" s="2">
        <f>ROUND(R30*(R12)/100,2)</f>
        <v>16079.76</v>
      </c>
      <c r="GL30" s="2">
        <f t="shared" si="40"/>
        <v>0</v>
      </c>
      <c r="GM30" s="2">
        <f t="shared" si="41"/>
        <v>104969.38</v>
      </c>
      <c r="GN30" s="2">
        <f t="shared" si="42"/>
        <v>0</v>
      </c>
      <c r="GO30" s="2">
        <f t="shared" si="43"/>
        <v>0</v>
      </c>
      <c r="GP30" s="2">
        <f t="shared" si="44"/>
        <v>104969.38</v>
      </c>
      <c r="GR30" s="2">
        <v>0</v>
      </c>
      <c r="GS30" s="2">
        <v>3</v>
      </c>
      <c r="GT30" s="2">
        <v>0</v>
      </c>
      <c r="GU30" s="2" t="s">
        <v>30</v>
      </c>
      <c r="GV30" s="2">
        <f t="shared" si="45"/>
        <v>0</v>
      </c>
      <c r="GW30" s="2">
        <v>1</v>
      </c>
      <c r="GX30" s="2">
        <f t="shared" si="46"/>
        <v>0</v>
      </c>
      <c r="HA30" s="2">
        <v>0</v>
      </c>
      <c r="HB30" s="2">
        <v>0</v>
      </c>
      <c r="HC30" s="2">
        <f t="shared" si="47"/>
        <v>0</v>
      </c>
      <c r="HE30" s="2" t="s">
        <v>30</v>
      </c>
      <c r="HF30" s="2" t="s">
        <v>30</v>
      </c>
      <c r="HM30" s="2" t="s">
        <v>30</v>
      </c>
      <c r="HN30" s="2" t="s">
        <v>30</v>
      </c>
      <c r="HO30" s="2" t="s">
        <v>30</v>
      </c>
      <c r="HP30" s="2" t="s">
        <v>30</v>
      </c>
      <c r="HQ30" s="2" t="s">
        <v>30</v>
      </c>
      <c r="IK30" s="2">
        <v>0</v>
      </c>
    </row>
    <row r="31" spans="1:245" x14ac:dyDescent="0.25">
      <c r="A31" s="2">
        <v>18</v>
      </c>
      <c r="B31" s="2">
        <v>1</v>
      </c>
      <c r="C31" s="2">
        <v>21</v>
      </c>
      <c r="E31" s="2" t="s">
        <v>29</v>
      </c>
      <c r="F31" s="2" t="s">
        <v>191</v>
      </c>
      <c r="G31" s="2" t="s">
        <v>192</v>
      </c>
      <c r="H31" s="2" t="s">
        <v>62</v>
      </c>
      <c r="I31" s="2">
        <f>I30*J31</f>
        <v>-4.4642999999999997</v>
      </c>
      <c r="J31" s="2">
        <v>-11.5</v>
      </c>
      <c r="K31" s="2">
        <v>-11.5</v>
      </c>
      <c r="O31" s="2">
        <f t="shared" si="12"/>
        <v>-7190.87</v>
      </c>
      <c r="P31" s="2">
        <f t="shared" si="13"/>
        <v>-7190.87</v>
      </c>
      <c r="Q31" s="2">
        <f t="shared" si="14"/>
        <v>0</v>
      </c>
      <c r="R31" s="2">
        <f t="shared" si="15"/>
        <v>0</v>
      </c>
      <c r="S31" s="2">
        <f t="shared" si="16"/>
        <v>0</v>
      </c>
      <c r="T31" s="2">
        <f t="shared" si="17"/>
        <v>0</v>
      </c>
      <c r="U31" s="2">
        <f t="shared" si="18"/>
        <v>0</v>
      </c>
      <c r="V31" s="2">
        <f t="shared" si="19"/>
        <v>0</v>
      </c>
      <c r="W31" s="2">
        <f t="shared" si="20"/>
        <v>0</v>
      </c>
      <c r="X31" s="2">
        <f t="shared" si="21"/>
        <v>0</v>
      </c>
      <c r="Y31" s="2">
        <f t="shared" si="21"/>
        <v>0</v>
      </c>
      <c r="AA31" s="2">
        <v>52262273</v>
      </c>
      <c r="AB31" s="2">
        <f t="shared" si="22"/>
        <v>1610.75</v>
      </c>
      <c r="AC31" s="2">
        <f t="shared" si="23"/>
        <v>1610.75</v>
      </c>
      <c r="AD31" s="2">
        <f t="shared" si="24"/>
        <v>0</v>
      </c>
      <c r="AE31" s="2">
        <f t="shared" si="25"/>
        <v>0</v>
      </c>
      <c r="AF31" s="2">
        <f t="shared" si="25"/>
        <v>0</v>
      </c>
      <c r="AG31" s="2">
        <f t="shared" si="26"/>
        <v>0</v>
      </c>
      <c r="AH31" s="2">
        <f t="shared" si="27"/>
        <v>0</v>
      </c>
      <c r="AI31" s="2">
        <f t="shared" si="27"/>
        <v>0</v>
      </c>
      <c r="AJ31" s="2">
        <f t="shared" si="28"/>
        <v>0</v>
      </c>
      <c r="AK31" s="2">
        <v>1610.75</v>
      </c>
      <c r="AL31" s="2">
        <v>1610.75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70</v>
      </c>
      <c r="AU31" s="2">
        <v>10</v>
      </c>
      <c r="AV31" s="2">
        <v>1</v>
      </c>
      <c r="AW31" s="2">
        <v>1</v>
      </c>
      <c r="AZ31" s="2">
        <v>1</v>
      </c>
      <c r="BA31" s="2">
        <v>1</v>
      </c>
      <c r="BB31" s="2">
        <v>1</v>
      </c>
      <c r="BC31" s="2">
        <v>1</v>
      </c>
      <c r="BD31" s="2" t="s">
        <v>30</v>
      </c>
      <c r="BE31" s="2" t="s">
        <v>30</v>
      </c>
      <c r="BF31" s="2" t="s">
        <v>30</v>
      </c>
      <c r="BG31" s="2" t="s">
        <v>30</v>
      </c>
      <c r="BH31" s="2">
        <v>3</v>
      </c>
      <c r="BI31" s="2">
        <v>4</v>
      </c>
      <c r="BJ31" s="2" t="s">
        <v>193</v>
      </c>
      <c r="BM31" s="2">
        <v>0</v>
      </c>
      <c r="BN31" s="2">
        <v>0</v>
      </c>
      <c r="BO31" s="2" t="s">
        <v>30</v>
      </c>
      <c r="BP31" s="2">
        <v>0</v>
      </c>
      <c r="BQ31" s="2">
        <v>1</v>
      </c>
      <c r="BR31" s="2">
        <v>1</v>
      </c>
      <c r="BS31" s="2">
        <v>1</v>
      </c>
      <c r="BT31" s="2">
        <v>1</v>
      </c>
      <c r="BU31" s="2">
        <v>1</v>
      </c>
      <c r="BV31" s="2">
        <v>1</v>
      </c>
      <c r="BW31" s="2">
        <v>1</v>
      </c>
      <c r="BX31" s="2">
        <v>1</v>
      </c>
      <c r="BY31" s="2" t="s">
        <v>30</v>
      </c>
      <c r="BZ31" s="2">
        <v>70</v>
      </c>
      <c r="CA31" s="2">
        <v>10</v>
      </c>
      <c r="CB31" s="2" t="s">
        <v>30</v>
      </c>
      <c r="CE31" s="2">
        <v>0</v>
      </c>
      <c r="CF31" s="2">
        <v>0</v>
      </c>
      <c r="CG31" s="2">
        <v>0</v>
      </c>
      <c r="CM31" s="2">
        <v>0</v>
      </c>
      <c r="CN31" s="2" t="s">
        <v>30</v>
      </c>
      <c r="CO31" s="2">
        <v>0</v>
      </c>
      <c r="CP31" s="2">
        <f t="shared" si="29"/>
        <v>-7190.87</v>
      </c>
      <c r="CQ31" s="2">
        <f t="shared" si="30"/>
        <v>1610.75</v>
      </c>
      <c r="CR31" s="2">
        <f t="shared" si="31"/>
        <v>0</v>
      </c>
      <c r="CS31" s="2">
        <f t="shared" si="32"/>
        <v>0</v>
      </c>
      <c r="CT31" s="2">
        <f t="shared" si="33"/>
        <v>0</v>
      </c>
      <c r="CU31" s="2">
        <f t="shared" si="34"/>
        <v>0</v>
      </c>
      <c r="CV31" s="2">
        <f t="shared" si="35"/>
        <v>0</v>
      </c>
      <c r="CW31" s="2">
        <f t="shared" si="36"/>
        <v>0</v>
      </c>
      <c r="CX31" s="2">
        <f t="shared" si="36"/>
        <v>0</v>
      </c>
      <c r="CY31" s="2">
        <f t="shared" si="37"/>
        <v>0</v>
      </c>
      <c r="CZ31" s="2">
        <f t="shared" si="38"/>
        <v>0</v>
      </c>
      <c r="DC31" s="2" t="s">
        <v>30</v>
      </c>
      <c r="DD31" s="2" t="s">
        <v>30</v>
      </c>
      <c r="DE31" s="2" t="s">
        <v>30</v>
      </c>
      <c r="DF31" s="2" t="s">
        <v>30</v>
      </c>
      <c r="DG31" s="2" t="s">
        <v>30</v>
      </c>
      <c r="DH31" s="2" t="s">
        <v>30</v>
      </c>
      <c r="DI31" s="2" t="s">
        <v>30</v>
      </c>
      <c r="DJ31" s="2" t="s">
        <v>30</v>
      </c>
      <c r="DK31" s="2" t="s">
        <v>30</v>
      </c>
      <c r="DL31" s="2" t="s">
        <v>30</v>
      </c>
      <c r="DM31" s="2" t="s">
        <v>30</v>
      </c>
      <c r="DN31" s="2">
        <v>0</v>
      </c>
      <c r="DO31" s="2">
        <v>0</v>
      </c>
      <c r="DP31" s="2">
        <v>1</v>
      </c>
      <c r="DQ31" s="2">
        <v>1</v>
      </c>
      <c r="DU31" s="2">
        <v>1007</v>
      </c>
      <c r="DV31" s="2" t="s">
        <v>62</v>
      </c>
      <c r="DW31" s="2" t="s">
        <v>62</v>
      </c>
      <c r="DX31" s="2">
        <v>1</v>
      </c>
      <c r="DZ31" s="2" t="s">
        <v>30</v>
      </c>
      <c r="EA31" s="2" t="s">
        <v>30</v>
      </c>
      <c r="EB31" s="2" t="s">
        <v>30</v>
      </c>
      <c r="EC31" s="2" t="s">
        <v>30</v>
      </c>
      <c r="EE31" s="2">
        <v>49661954</v>
      </c>
      <c r="EF31" s="2">
        <v>1</v>
      </c>
      <c r="EG31" s="2" t="s">
        <v>180</v>
      </c>
      <c r="EH31" s="2">
        <v>0</v>
      </c>
      <c r="EI31" s="2" t="s">
        <v>30</v>
      </c>
      <c r="EJ31" s="2">
        <v>4</v>
      </c>
      <c r="EK31" s="2">
        <v>0</v>
      </c>
      <c r="EL31" s="2" t="s">
        <v>181</v>
      </c>
      <c r="EM31" s="2" t="s">
        <v>182</v>
      </c>
      <c r="EO31" s="2" t="s">
        <v>30</v>
      </c>
      <c r="EQ31" s="2">
        <v>0</v>
      </c>
      <c r="ER31" s="2">
        <v>1610.75</v>
      </c>
      <c r="ES31" s="2">
        <v>1610.75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FQ31" s="2">
        <v>0</v>
      </c>
      <c r="FR31" s="2">
        <f t="shared" si="39"/>
        <v>0</v>
      </c>
      <c r="FS31" s="2">
        <v>0</v>
      </c>
      <c r="FX31" s="2">
        <v>70</v>
      </c>
      <c r="FY31" s="2">
        <v>10</v>
      </c>
      <c r="GA31" s="2" t="s">
        <v>30</v>
      </c>
      <c r="GD31" s="2">
        <v>0</v>
      </c>
      <c r="GF31" s="2">
        <v>-235652667</v>
      </c>
      <c r="GG31" s="2">
        <v>2</v>
      </c>
      <c r="GH31" s="2">
        <v>1</v>
      </c>
      <c r="GI31" s="2">
        <v>-2</v>
      </c>
      <c r="GJ31" s="2">
        <v>0</v>
      </c>
      <c r="GK31" s="2">
        <f>ROUND(R31*(R12)/100,2)</f>
        <v>0</v>
      </c>
      <c r="GL31" s="2">
        <f t="shared" si="40"/>
        <v>0</v>
      </c>
      <c r="GM31" s="2">
        <f t="shared" si="41"/>
        <v>-7190.87</v>
      </c>
      <c r="GN31" s="2">
        <f t="shared" si="42"/>
        <v>0</v>
      </c>
      <c r="GO31" s="2">
        <f t="shared" si="43"/>
        <v>0</v>
      </c>
      <c r="GP31" s="2">
        <f t="shared" si="44"/>
        <v>-7190.87</v>
      </c>
      <c r="GR31" s="2">
        <v>0</v>
      </c>
      <c r="GS31" s="2">
        <v>3</v>
      </c>
      <c r="GT31" s="2">
        <v>0</v>
      </c>
      <c r="GU31" s="2" t="s">
        <v>30</v>
      </c>
      <c r="GV31" s="2">
        <f t="shared" si="45"/>
        <v>0</v>
      </c>
      <c r="GW31" s="2">
        <v>1</v>
      </c>
      <c r="GX31" s="2">
        <f t="shared" si="46"/>
        <v>0</v>
      </c>
      <c r="HA31" s="2">
        <v>0</v>
      </c>
      <c r="HB31" s="2">
        <v>0</v>
      </c>
      <c r="HC31" s="2">
        <f t="shared" si="47"/>
        <v>0</v>
      </c>
      <c r="HE31" s="2" t="s">
        <v>30</v>
      </c>
      <c r="HF31" s="2" t="s">
        <v>30</v>
      </c>
      <c r="HM31" s="2" t="s">
        <v>30</v>
      </c>
      <c r="HN31" s="2" t="s">
        <v>30</v>
      </c>
      <c r="HO31" s="2" t="s">
        <v>30</v>
      </c>
      <c r="HP31" s="2" t="s">
        <v>30</v>
      </c>
      <c r="HQ31" s="2" t="s">
        <v>30</v>
      </c>
      <c r="IK31" s="2">
        <v>0</v>
      </c>
    </row>
    <row r="32" spans="1:245" x14ac:dyDescent="0.25">
      <c r="A32" s="2">
        <v>18</v>
      </c>
      <c r="B32" s="2">
        <v>1</v>
      </c>
      <c r="C32" s="2">
        <v>22</v>
      </c>
      <c r="E32" s="2" t="s">
        <v>31</v>
      </c>
      <c r="F32" s="2" t="s">
        <v>194</v>
      </c>
      <c r="G32" s="2" t="s">
        <v>195</v>
      </c>
      <c r="H32" s="2" t="s">
        <v>62</v>
      </c>
      <c r="I32" s="2">
        <f>I30*J32</f>
        <v>-21.350999999999999</v>
      </c>
      <c r="J32" s="2">
        <v>-55</v>
      </c>
      <c r="K32" s="2">
        <v>-55</v>
      </c>
      <c r="O32" s="2">
        <f t="shared" si="12"/>
        <v>-32939.26</v>
      </c>
      <c r="P32" s="2">
        <f t="shared" si="13"/>
        <v>-32939.26</v>
      </c>
      <c r="Q32" s="2">
        <f t="shared" si="14"/>
        <v>0</v>
      </c>
      <c r="R32" s="2">
        <f t="shared" si="15"/>
        <v>0</v>
      </c>
      <c r="S32" s="2">
        <f t="shared" si="16"/>
        <v>0</v>
      </c>
      <c r="T32" s="2">
        <f t="shared" si="17"/>
        <v>0</v>
      </c>
      <c r="U32" s="2">
        <f t="shared" si="18"/>
        <v>0</v>
      </c>
      <c r="V32" s="2">
        <f t="shared" si="19"/>
        <v>0</v>
      </c>
      <c r="W32" s="2">
        <f t="shared" si="20"/>
        <v>0</v>
      </c>
      <c r="X32" s="2">
        <f t="shared" si="21"/>
        <v>0</v>
      </c>
      <c r="Y32" s="2">
        <f t="shared" si="21"/>
        <v>0</v>
      </c>
      <c r="AA32" s="2">
        <v>52262273</v>
      </c>
      <c r="AB32" s="2">
        <f t="shared" si="22"/>
        <v>1542.75</v>
      </c>
      <c r="AC32" s="2">
        <f t="shared" si="23"/>
        <v>1542.75</v>
      </c>
      <c r="AD32" s="2">
        <f t="shared" si="24"/>
        <v>0</v>
      </c>
      <c r="AE32" s="2">
        <f t="shared" si="25"/>
        <v>0</v>
      </c>
      <c r="AF32" s="2">
        <f t="shared" si="25"/>
        <v>0</v>
      </c>
      <c r="AG32" s="2">
        <f t="shared" si="26"/>
        <v>0</v>
      </c>
      <c r="AH32" s="2">
        <f t="shared" si="27"/>
        <v>0</v>
      </c>
      <c r="AI32" s="2">
        <f t="shared" si="27"/>
        <v>0</v>
      </c>
      <c r="AJ32" s="2">
        <f t="shared" si="28"/>
        <v>0</v>
      </c>
      <c r="AK32" s="2">
        <v>1542.75</v>
      </c>
      <c r="AL32" s="2">
        <v>1542.75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70</v>
      </c>
      <c r="AU32" s="2">
        <v>10</v>
      </c>
      <c r="AV32" s="2">
        <v>1</v>
      </c>
      <c r="AW32" s="2">
        <v>1</v>
      </c>
      <c r="AZ32" s="2">
        <v>1</v>
      </c>
      <c r="BA32" s="2">
        <v>1</v>
      </c>
      <c r="BB32" s="2">
        <v>1</v>
      </c>
      <c r="BC32" s="2">
        <v>1</v>
      </c>
      <c r="BD32" s="2" t="s">
        <v>30</v>
      </c>
      <c r="BE32" s="2" t="s">
        <v>30</v>
      </c>
      <c r="BF32" s="2" t="s">
        <v>30</v>
      </c>
      <c r="BG32" s="2" t="s">
        <v>30</v>
      </c>
      <c r="BH32" s="2">
        <v>3</v>
      </c>
      <c r="BI32" s="2">
        <v>4</v>
      </c>
      <c r="BJ32" s="2" t="s">
        <v>196</v>
      </c>
      <c r="BM32" s="2">
        <v>0</v>
      </c>
      <c r="BN32" s="2">
        <v>0</v>
      </c>
      <c r="BO32" s="2" t="s">
        <v>30</v>
      </c>
      <c r="BP32" s="2">
        <v>0</v>
      </c>
      <c r="BQ32" s="2">
        <v>1</v>
      </c>
      <c r="BR32" s="2">
        <v>1</v>
      </c>
      <c r="BS32" s="2">
        <v>1</v>
      </c>
      <c r="BT32" s="2">
        <v>1</v>
      </c>
      <c r="BU32" s="2">
        <v>1</v>
      </c>
      <c r="BV32" s="2">
        <v>1</v>
      </c>
      <c r="BW32" s="2">
        <v>1</v>
      </c>
      <c r="BX32" s="2">
        <v>1</v>
      </c>
      <c r="BY32" s="2" t="s">
        <v>30</v>
      </c>
      <c r="BZ32" s="2">
        <v>70</v>
      </c>
      <c r="CA32" s="2">
        <v>10</v>
      </c>
      <c r="CB32" s="2" t="s">
        <v>30</v>
      </c>
      <c r="CE32" s="2">
        <v>0</v>
      </c>
      <c r="CF32" s="2">
        <v>0</v>
      </c>
      <c r="CG32" s="2">
        <v>0</v>
      </c>
      <c r="CM32" s="2">
        <v>0</v>
      </c>
      <c r="CN32" s="2" t="s">
        <v>30</v>
      </c>
      <c r="CO32" s="2">
        <v>0</v>
      </c>
      <c r="CP32" s="2">
        <f t="shared" si="29"/>
        <v>-32939.26</v>
      </c>
      <c r="CQ32" s="2">
        <f t="shared" si="30"/>
        <v>1542.75</v>
      </c>
      <c r="CR32" s="2">
        <f t="shared" si="31"/>
        <v>0</v>
      </c>
      <c r="CS32" s="2">
        <f t="shared" si="32"/>
        <v>0</v>
      </c>
      <c r="CT32" s="2">
        <f t="shared" si="33"/>
        <v>0</v>
      </c>
      <c r="CU32" s="2">
        <f t="shared" si="34"/>
        <v>0</v>
      </c>
      <c r="CV32" s="2">
        <f t="shared" si="35"/>
        <v>0</v>
      </c>
      <c r="CW32" s="2">
        <f t="shared" si="36"/>
        <v>0</v>
      </c>
      <c r="CX32" s="2">
        <f t="shared" si="36"/>
        <v>0</v>
      </c>
      <c r="CY32" s="2">
        <f t="shared" si="37"/>
        <v>0</v>
      </c>
      <c r="CZ32" s="2">
        <f t="shared" si="38"/>
        <v>0</v>
      </c>
      <c r="DC32" s="2" t="s">
        <v>30</v>
      </c>
      <c r="DD32" s="2" t="s">
        <v>30</v>
      </c>
      <c r="DE32" s="2" t="s">
        <v>30</v>
      </c>
      <c r="DF32" s="2" t="s">
        <v>30</v>
      </c>
      <c r="DG32" s="2" t="s">
        <v>30</v>
      </c>
      <c r="DH32" s="2" t="s">
        <v>30</v>
      </c>
      <c r="DI32" s="2" t="s">
        <v>30</v>
      </c>
      <c r="DJ32" s="2" t="s">
        <v>30</v>
      </c>
      <c r="DK32" s="2" t="s">
        <v>30</v>
      </c>
      <c r="DL32" s="2" t="s">
        <v>30</v>
      </c>
      <c r="DM32" s="2" t="s">
        <v>30</v>
      </c>
      <c r="DN32" s="2">
        <v>0</v>
      </c>
      <c r="DO32" s="2">
        <v>0</v>
      </c>
      <c r="DP32" s="2">
        <v>1</v>
      </c>
      <c r="DQ32" s="2">
        <v>1</v>
      </c>
      <c r="DU32" s="2">
        <v>1007</v>
      </c>
      <c r="DV32" s="2" t="s">
        <v>62</v>
      </c>
      <c r="DW32" s="2" t="s">
        <v>62</v>
      </c>
      <c r="DX32" s="2">
        <v>1</v>
      </c>
      <c r="DZ32" s="2" t="s">
        <v>30</v>
      </c>
      <c r="EA32" s="2" t="s">
        <v>30</v>
      </c>
      <c r="EB32" s="2" t="s">
        <v>30</v>
      </c>
      <c r="EC32" s="2" t="s">
        <v>30</v>
      </c>
      <c r="EE32" s="2">
        <v>49661954</v>
      </c>
      <c r="EF32" s="2">
        <v>1</v>
      </c>
      <c r="EG32" s="2" t="s">
        <v>180</v>
      </c>
      <c r="EH32" s="2">
        <v>0</v>
      </c>
      <c r="EI32" s="2" t="s">
        <v>30</v>
      </c>
      <c r="EJ32" s="2">
        <v>4</v>
      </c>
      <c r="EK32" s="2">
        <v>0</v>
      </c>
      <c r="EL32" s="2" t="s">
        <v>181</v>
      </c>
      <c r="EM32" s="2" t="s">
        <v>182</v>
      </c>
      <c r="EO32" s="2" t="s">
        <v>30</v>
      </c>
      <c r="EQ32" s="2">
        <v>0</v>
      </c>
      <c r="ER32" s="2">
        <v>1542.75</v>
      </c>
      <c r="ES32" s="2">
        <v>1542.75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FQ32" s="2">
        <v>0</v>
      </c>
      <c r="FR32" s="2">
        <f t="shared" si="39"/>
        <v>0</v>
      </c>
      <c r="FS32" s="2">
        <v>0</v>
      </c>
      <c r="FX32" s="2">
        <v>70</v>
      </c>
      <c r="FY32" s="2">
        <v>10</v>
      </c>
      <c r="GA32" s="2" t="s">
        <v>30</v>
      </c>
      <c r="GD32" s="2">
        <v>0</v>
      </c>
      <c r="GF32" s="2">
        <v>-1914292201</v>
      </c>
      <c r="GG32" s="2">
        <v>2</v>
      </c>
      <c r="GH32" s="2">
        <v>1</v>
      </c>
      <c r="GI32" s="2">
        <v>-2</v>
      </c>
      <c r="GJ32" s="2">
        <v>0</v>
      </c>
      <c r="GK32" s="2">
        <f>ROUND(R32*(R12)/100,2)</f>
        <v>0</v>
      </c>
      <c r="GL32" s="2">
        <f t="shared" si="40"/>
        <v>0</v>
      </c>
      <c r="GM32" s="2">
        <f t="shared" si="41"/>
        <v>-32939.26</v>
      </c>
      <c r="GN32" s="2">
        <f t="shared" si="42"/>
        <v>0</v>
      </c>
      <c r="GO32" s="2">
        <f t="shared" si="43"/>
        <v>0</v>
      </c>
      <c r="GP32" s="2">
        <f t="shared" si="44"/>
        <v>-32939.26</v>
      </c>
      <c r="GR32" s="2">
        <v>0</v>
      </c>
      <c r="GS32" s="2">
        <v>3</v>
      </c>
      <c r="GT32" s="2">
        <v>0</v>
      </c>
      <c r="GU32" s="2" t="s">
        <v>30</v>
      </c>
      <c r="GV32" s="2">
        <f t="shared" si="45"/>
        <v>0</v>
      </c>
      <c r="GW32" s="2">
        <v>1</v>
      </c>
      <c r="GX32" s="2">
        <f t="shared" si="46"/>
        <v>0</v>
      </c>
      <c r="HA32" s="2">
        <v>0</v>
      </c>
      <c r="HB32" s="2">
        <v>0</v>
      </c>
      <c r="HC32" s="2">
        <f t="shared" si="47"/>
        <v>0</v>
      </c>
      <c r="HE32" s="2" t="s">
        <v>30</v>
      </c>
      <c r="HF32" s="2" t="s">
        <v>30</v>
      </c>
      <c r="HM32" s="2" t="s">
        <v>30</v>
      </c>
      <c r="HN32" s="2" t="s">
        <v>30</v>
      </c>
      <c r="HO32" s="2" t="s">
        <v>30</v>
      </c>
      <c r="HP32" s="2" t="s">
        <v>30</v>
      </c>
      <c r="HQ32" s="2" t="s">
        <v>30</v>
      </c>
      <c r="IK32" s="2">
        <v>0</v>
      </c>
    </row>
    <row r="33" spans="1:245" x14ac:dyDescent="0.25">
      <c r="A33" s="2">
        <v>18</v>
      </c>
      <c r="B33" s="2">
        <v>1</v>
      </c>
      <c r="C33" s="2">
        <v>20</v>
      </c>
      <c r="E33" s="2" t="s">
        <v>32</v>
      </c>
      <c r="F33" s="2" t="s">
        <v>107</v>
      </c>
      <c r="G33" s="2" t="s">
        <v>108</v>
      </c>
      <c r="H33" s="2" t="s">
        <v>62</v>
      </c>
      <c r="I33" s="2">
        <f>I30*J33</f>
        <v>21.350999999999999</v>
      </c>
      <c r="J33" s="2">
        <v>55</v>
      </c>
      <c r="K33" s="2">
        <v>55</v>
      </c>
      <c r="O33" s="2">
        <f t="shared" si="12"/>
        <v>26315.11</v>
      </c>
      <c r="P33" s="2">
        <f t="shared" si="13"/>
        <v>26315.11</v>
      </c>
      <c r="Q33" s="2">
        <f t="shared" si="14"/>
        <v>0</v>
      </c>
      <c r="R33" s="2">
        <f t="shared" si="15"/>
        <v>0</v>
      </c>
      <c r="S33" s="2">
        <f t="shared" si="16"/>
        <v>0</v>
      </c>
      <c r="T33" s="2">
        <f t="shared" si="17"/>
        <v>0</v>
      </c>
      <c r="U33" s="2">
        <f t="shared" si="18"/>
        <v>0</v>
      </c>
      <c r="V33" s="2">
        <f t="shared" si="19"/>
        <v>0</v>
      </c>
      <c r="W33" s="2">
        <f t="shared" si="20"/>
        <v>0</v>
      </c>
      <c r="X33" s="2">
        <f t="shared" si="21"/>
        <v>0</v>
      </c>
      <c r="Y33" s="2">
        <f t="shared" si="21"/>
        <v>0</v>
      </c>
      <c r="AA33" s="2">
        <v>52262273</v>
      </c>
      <c r="AB33" s="2">
        <f t="shared" si="22"/>
        <v>1232.5</v>
      </c>
      <c r="AC33" s="2">
        <f t="shared" si="23"/>
        <v>1232.5</v>
      </c>
      <c r="AD33" s="2">
        <f t="shared" si="24"/>
        <v>0</v>
      </c>
      <c r="AE33" s="2">
        <f t="shared" si="25"/>
        <v>0</v>
      </c>
      <c r="AF33" s="2">
        <f t="shared" si="25"/>
        <v>0</v>
      </c>
      <c r="AG33" s="2">
        <f t="shared" si="26"/>
        <v>0</v>
      </c>
      <c r="AH33" s="2">
        <f t="shared" si="27"/>
        <v>0</v>
      </c>
      <c r="AI33" s="2">
        <f t="shared" si="27"/>
        <v>0</v>
      </c>
      <c r="AJ33" s="2">
        <f t="shared" si="28"/>
        <v>0</v>
      </c>
      <c r="AK33" s="2">
        <v>1232.5</v>
      </c>
      <c r="AL33" s="2">
        <v>1232.5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70</v>
      </c>
      <c r="AU33" s="2">
        <v>10</v>
      </c>
      <c r="AV33" s="2">
        <v>1</v>
      </c>
      <c r="AW33" s="2">
        <v>1</v>
      </c>
      <c r="AZ33" s="2">
        <v>1</v>
      </c>
      <c r="BA33" s="2">
        <v>1</v>
      </c>
      <c r="BB33" s="2">
        <v>1</v>
      </c>
      <c r="BC33" s="2">
        <v>1</v>
      </c>
      <c r="BD33" s="2" t="s">
        <v>30</v>
      </c>
      <c r="BE33" s="2" t="s">
        <v>30</v>
      </c>
      <c r="BF33" s="2" t="s">
        <v>30</v>
      </c>
      <c r="BG33" s="2" t="s">
        <v>30</v>
      </c>
      <c r="BH33" s="2">
        <v>3</v>
      </c>
      <c r="BI33" s="2">
        <v>4</v>
      </c>
      <c r="BJ33" s="2" t="s">
        <v>197</v>
      </c>
      <c r="BM33" s="2">
        <v>0</v>
      </c>
      <c r="BN33" s="2">
        <v>0</v>
      </c>
      <c r="BO33" s="2" t="s">
        <v>30</v>
      </c>
      <c r="BP33" s="2">
        <v>0</v>
      </c>
      <c r="BQ33" s="2">
        <v>1</v>
      </c>
      <c r="BR33" s="2">
        <v>0</v>
      </c>
      <c r="BS33" s="2">
        <v>1</v>
      </c>
      <c r="BT33" s="2">
        <v>1</v>
      </c>
      <c r="BU33" s="2">
        <v>1</v>
      </c>
      <c r="BV33" s="2">
        <v>1</v>
      </c>
      <c r="BW33" s="2">
        <v>1</v>
      </c>
      <c r="BX33" s="2">
        <v>1</v>
      </c>
      <c r="BY33" s="2" t="s">
        <v>30</v>
      </c>
      <c r="BZ33" s="2">
        <v>70</v>
      </c>
      <c r="CA33" s="2">
        <v>10</v>
      </c>
      <c r="CB33" s="2" t="s">
        <v>30</v>
      </c>
      <c r="CE33" s="2">
        <v>0</v>
      </c>
      <c r="CF33" s="2">
        <v>0</v>
      </c>
      <c r="CG33" s="2">
        <v>0</v>
      </c>
      <c r="CM33" s="2">
        <v>0</v>
      </c>
      <c r="CN33" s="2" t="s">
        <v>30</v>
      </c>
      <c r="CO33" s="2">
        <v>0</v>
      </c>
      <c r="CP33" s="2">
        <f t="shared" si="29"/>
        <v>26315.11</v>
      </c>
      <c r="CQ33" s="2">
        <f t="shared" si="30"/>
        <v>1232.5</v>
      </c>
      <c r="CR33" s="2">
        <f t="shared" si="31"/>
        <v>0</v>
      </c>
      <c r="CS33" s="2">
        <f t="shared" si="32"/>
        <v>0</v>
      </c>
      <c r="CT33" s="2">
        <f t="shared" si="33"/>
        <v>0</v>
      </c>
      <c r="CU33" s="2">
        <f t="shared" si="34"/>
        <v>0</v>
      </c>
      <c r="CV33" s="2">
        <f t="shared" si="35"/>
        <v>0</v>
      </c>
      <c r="CW33" s="2">
        <f t="shared" si="36"/>
        <v>0</v>
      </c>
      <c r="CX33" s="2">
        <f t="shared" si="36"/>
        <v>0</v>
      </c>
      <c r="CY33" s="2">
        <f t="shared" si="37"/>
        <v>0</v>
      </c>
      <c r="CZ33" s="2">
        <f t="shared" si="38"/>
        <v>0</v>
      </c>
      <c r="DC33" s="2" t="s">
        <v>30</v>
      </c>
      <c r="DD33" s="2" t="s">
        <v>30</v>
      </c>
      <c r="DE33" s="2" t="s">
        <v>30</v>
      </c>
      <c r="DF33" s="2" t="s">
        <v>30</v>
      </c>
      <c r="DG33" s="2" t="s">
        <v>30</v>
      </c>
      <c r="DH33" s="2" t="s">
        <v>30</v>
      </c>
      <c r="DI33" s="2" t="s">
        <v>30</v>
      </c>
      <c r="DJ33" s="2" t="s">
        <v>30</v>
      </c>
      <c r="DK33" s="2" t="s">
        <v>30</v>
      </c>
      <c r="DL33" s="2" t="s">
        <v>30</v>
      </c>
      <c r="DM33" s="2" t="s">
        <v>30</v>
      </c>
      <c r="DN33" s="2">
        <v>0</v>
      </c>
      <c r="DO33" s="2">
        <v>0</v>
      </c>
      <c r="DP33" s="2">
        <v>1</v>
      </c>
      <c r="DQ33" s="2">
        <v>1</v>
      </c>
      <c r="DU33" s="2">
        <v>1007</v>
      </c>
      <c r="DV33" s="2" t="s">
        <v>62</v>
      </c>
      <c r="DW33" s="2" t="s">
        <v>62</v>
      </c>
      <c r="DX33" s="2">
        <v>1</v>
      </c>
      <c r="DZ33" s="2" t="s">
        <v>30</v>
      </c>
      <c r="EA33" s="2" t="s">
        <v>30</v>
      </c>
      <c r="EB33" s="2" t="s">
        <v>30</v>
      </c>
      <c r="EC33" s="2" t="s">
        <v>30</v>
      </c>
      <c r="EE33" s="2">
        <v>49661954</v>
      </c>
      <c r="EF33" s="2">
        <v>1</v>
      </c>
      <c r="EG33" s="2" t="s">
        <v>180</v>
      </c>
      <c r="EH33" s="2">
        <v>0</v>
      </c>
      <c r="EI33" s="2" t="s">
        <v>30</v>
      </c>
      <c r="EJ33" s="2">
        <v>4</v>
      </c>
      <c r="EK33" s="2">
        <v>0</v>
      </c>
      <c r="EL33" s="2" t="s">
        <v>181</v>
      </c>
      <c r="EM33" s="2" t="s">
        <v>182</v>
      </c>
      <c r="EO33" s="2" t="s">
        <v>30</v>
      </c>
      <c r="EQ33" s="2">
        <v>0</v>
      </c>
      <c r="ER33" s="2">
        <v>1232.5</v>
      </c>
      <c r="ES33" s="2">
        <v>1232.5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FQ33" s="2">
        <v>0</v>
      </c>
      <c r="FR33" s="2">
        <f t="shared" si="39"/>
        <v>0</v>
      </c>
      <c r="FS33" s="2">
        <v>0</v>
      </c>
      <c r="FX33" s="2">
        <v>70</v>
      </c>
      <c r="FY33" s="2">
        <v>10</v>
      </c>
      <c r="GA33" s="2" t="s">
        <v>30</v>
      </c>
      <c r="GD33" s="2">
        <v>0</v>
      </c>
      <c r="GF33" s="2">
        <v>-579596608</v>
      </c>
      <c r="GG33" s="2">
        <v>2</v>
      </c>
      <c r="GH33" s="2">
        <v>1</v>
      </c>
      <c r="GI33" s="2">
        <v>-2</v>
      </c>
      <c r="GJ33" s="2">
        <v>0</v>
      </c>
      <c r="GK33" s="2">
        <f>ROUND(R33*(R12)/100,2)</f>
        <v>0</v>
      </c>
      <c r="GL33" s="2">
        <f t="shared" si="40"/>
        <v>0</v>
      </c>
      <c r="GM33" s="2">
        <f t="shared" si="41"/>
        <v>26315.11</v>
      </c>
      <c r="GN33" s="2">
        <f t="shared" si="42"/>
        <v>0</v>
      </c>
      <c r="GO33" s="2">
        <f t="shared" si="43"/>
        <v>0</v>
      </c>
      <c r="GP33" s="2">
        <f t="shared" si="44"/>
        <v>26315.11</v>
      </c>
      <c r="GR33" s="2">
        <v>0</v>
      </c>
      <c r="GS33" s="2">
        <v>3</v>
      </c>
      <c r="GT33" s="2">
        <v>0</v>
      </c>
      <c r="GU33" s="2" t="s">
        <v>30</v>
      </c>
      <c r="GV33" s="2">
        <f t="shared" si="45"/>
        <v>0</v>
      </c>
      <c r="GW33" s="2">
        <v>1</v>
      </c>
      <c r="GX33" s="2">
        <f t="shared" si="46"/>
        <v>0</v>
      </c>
      <c r="HA33" s="2">
        <v>0</v>
      </c>
      <c r="HB33" s="2">
        <v>0</v>
      </c>
      <c r="HC33" s="2">
        <f t="shared" si="47"/>
        <v>0</v>
      </c>
      <c r="HE33" s="2" t="s">
        <v>30</v>
      </c>
      <c r="HF33" s="2" t="s">
        <v>30</v>
      </c>
      <c r="HM33" s="2" t="s">
        <v>30</v>
      </c>
      <c r="HN33" s="2" t="s">
        <v>30</v>
      </c>
      <c r="HO33" s="2" t="s">
        <v>30</v>
      </c>
      <c r="HP33" s="2" t="s">
        <v>30</v>
      </c>
      <c r="HQ33" s="2" t="s">
        <v>30</v>
      </c>
      <c r="IK33" s="2">
        <v>0</v>
      </c>
    </row>
    <row r="34" spans="1:245" x14ac:dyDescent="0.25">
      <c r="A34" s="2">
        <v>17</v>
      </c>
      <c r="B34" s="2">
        <v>1</v>
      </c>
      <c r="C34" s="2">
        <f>ROW('SmtRes (2)'!A25)</f>
        <v>25</v>
      </c>
      <c r="D34" s="2">
        <f>ROW('EtalonRes (2)'!A24)</f>
        <v>24</v>
      </c>
      <c r="E34" s="2" t="s">
        <v>198</v>
      </c>
      <c r="F34" s="2" t="s">
        <v>199</v>
      </c>
      <c r="G34" s="2" t="s">
        <v>400</v>
      </c>
      <c r="H34" s="2" t="s">
        <v>63</v>
      </c>
      <c r="I34" s="2">
        <v>155.28</v>
      </c>
      <c r="J34" s="2">
        <v>0</v>
      </c>
      <c r="K34" s="2">
        <v>155.28</v>
      </c>
      <c r="O34" s="2">
        <f t="shared" si="12"/>
        <v>9506.24</v>
      </c>
      <c r="P34" s="2">
        <f t="shared" si="13"/>
        <v>0</v>
      </c>
      <c r="Q34" s="2">
        <f t="shared" si="14"/>
        <v>9506.24</v>
      </c>
      <c r="R34" s="2">
        <f t="shared" si="15"/>
        <v>5125.79</v>
      </c>
      <c r="S34" s="2">
        <f t="shared" si="16"/>
        <v>0</v>
      </c>
      <c r="T34" s="2">
        <f t="shared" si="17"/>
        <v>0</v>
      </c>
      <c r="U34" s="2">
        <f t="shared" si="18"/>
        <v>0</v>
      </c>
      <c r="V34" s="2">
        <f t="shared" si="19"/>
        <v>0</v>
      </c>
      <c r="W34" s="2">
        <f t="shared" si="20"/>
        <v>0</v>
      </c>
      <c r="X34" s="2">
        <f t="shared" si="21"/>
        <v>0</v>
      </c>
      <c r="Y34" s="2">
        <f t="shared" si="21"/>
        <v>0</v>
      </c>
      <c r="AA34" s="2">
        <v>52262273</v>
      </c>
      <c r="AB34" s="2">
        <f t="shared" si="22"/>
        <v>61.22</v>
      </c>
      <c r="AC34" s="2">
        <f t="shared" si="23"/>
        <v>0</v>
      </c>
      <c r="AD34" s="2">
        <f t="shared" si="24"/>
        <v>61.22</v>
      </c>
      <c r="AE34" s="2">
        <f t="shared" si="25"/>
        <v>33.01</v>
      </c>
      <c r="AF34" s="2">
        <f t="shared" si="25"/>
        <v>0</v>
      </c>
      <c r="AG34" s="2">
        <f t="shared" si="26"/>
        <v>0</v>
      </c>
      <c r="AH34" s="2">
        <f t="shared" si="27"/>
        <v>0</v>
      </c>
      <c r="AI34" s="2">
        <f t="shared" si="27"/>
        <v>0</v>
      </c>
      <c r="AJ34" s="2">
        <f t="shared" si="28"/>
        <v>0</v>
      </c>
      <c r="AK34" s="2">
        <v>61.22</v>
      </c>
      <c r="AL34" s="2">
        <v>0</v>
      </c>
      <c r="AM34" s="2">
        <v>61.22</v>
      </c>
      <c r="AN34" s="2">
        <v>33.01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</v>
      </c>
      <c r="AW34" s="2">
        <v>1</v>
      </c>
      <c r="AZ34" s="2">
        <v>1</v>
      </c>
      <c r="BA34" s="2">
        <v>1</v>
      </c>
      <c r="BB34" s="2">
        <v>1</v>
      </c>
      <c r="BC34" s="2">
        <v>1</v>
      </c>
      <c r="BD34" s="2" t="s">
        <v>30</v>
      </c>
      <c r="BE34" s="2" t="s">
        <v>30</v>
      </c>
      <c r="BF34" s="2" t="s">
        <v>30</v>
      </c>
      <c r="BG34" s="2" t="s">
        <v>30</v>
      </c>
      <c r="BH34" s="2">
        <v>0</v>
      </c>
      <c r="BI34" s="2">
        <v>4</v>
      </c>
      <c r="BJ34" s="2" t="s">
        <v>201</v>
      </c>
      <c r="BM34" s="2">
        <v>1</v>
      </c>
      <c r="BN34" s="2">
        <v>0</v>
      </c>
      <c r="BO34" s="2" t="s">
        <v>30</v>
      </c>
      <c r="BP34" s="2">
        <v>0</v>
      </c>
      <c r="BQ34" s="2">
        <v>1</v>
      </c>
      <c r="BR34" s="2">
        <v>0</v>
      </c>
      <c r="BS34" s="2">
        <v>1</v>
      </c>
      <c r="BT34" s="2">
        <v>1</v>
      </c>
      <c r="BU34" s="2">
        <v>1</v>
      </c>
      <c r="BV34" s="2">
        <v>1</v>
      </c>
      <c r="BW34" s="2">
        <v>1</v>
      </c>
      <c r="BX34" s="2">
        <v>1</v>
      </c>
      <c r="BY34" s="2" t="s">
        <v>30</v>
      </c>
      <c r="BZ34" s="2">
        <v>0</v>
      </c>
      <c r="CA34" s="2">
        <v>0</v>
      </c>
      <c r="CB34" s="2" t="s">
        <v>30</v>
      </c>
      <c r="CE34" s="2">
        <v>0</v>
      </c>
      <c r="CF34" s="2">
        <v>0</v>
      </c>
      <c r="CG34" s="2">
        <v>0</v>
      </c>
      <c r="CM34" s="2">
        <v>0</v>
      </c>
      <c r="CN34" s="2" t="s">
        <v>30</v>
      </c>
      <c r="CO34" s="2">
        <v>0</v>
      </c>
      <c r="CP34" s="2">
        <f t="shared" si="29"/>
        <v>9506.24</v>
      </c>
      <c r="CQ34" s="2">
        <f t="shared" si="30"/>
        <v>0</v>
      </c>
      <c r="CR34" s="2">
        <f t="shared" si="31"/>
        <v>61.22</v>
      </c>
      <c r="CS34" s="2">
        <f t="shared" si="32"/>
        <v>33.01</v>
      </c>
      <c r="CT34" s="2">
        <f t="shared" si="33"/>
        <v>0</v>
      </c>
      <c r="CU34" s="2">
        <f t="shared" si="34"/>
        <v>0</v>
      </c>
      <c r="CV34" s="2">
        <f t="shared" si="35"/>
        <v>0</v>
      </c>
      <c r="CW34" s="2">
        <f t="shared" si="36"/>
        <v>0</v>
      </c>
      <c r="CX34" s="2">
        <f t="shared" si="36"/>
        <v>0</v>
      </c>
      <c r="CY34" s="2">
        <f t="shared" si="37"/>
        <v>0</v>
      </c>
      <c r="CZ34" s="2">
        <f t="shared" si="38"/>
        <v>0</v>
      </c>
      <c r="DC34" s="2" t="s">
        <v>30</v>
      </c>
      <c r="DD34" s="2" t="s">
        <v>30</v>
      </c>
      <c r="DE34" s="2" t="s">
        <v>30</v>
      </c>
      <c r="DF34" s="2" t="s">
        <v>30</v>
      </c>
      <c r="DG34" s="2" t="s">
        <v>30</v>
      </c>
      <c r="DH34" s="2" t="s">
        <v>30</v>
      </c>
      <c r="DI34" s="2" t="s">
        <v>30</v>
      </c>
      <c r="DJ34" s="2" t="s">
        <v>30</v>
      </c>
      <c r="DK34" s="2" t="s">
        <v>30</v>
      </c>
      <c r="DL34" s="2" t="s">
        <v>30</v>
      </c>
      <c r="DM34" s="2" t="s">
        <v>30</v>
      </c>
      <c r="DN34" s="2">
        <v>0</v>
      </c>
      <c r="DO34" s="2">
        <v>0</v>
      </c>
      <c r="DP34" s="2">
        <v>1</v>
      </c>
      <c r="DQ34" s="2">
        <v>1</v>
      </c>
      <c r="DU34" s="2">
        <v>1009</v>
      </c>
      <c r="DV34" s="2" t="s">
        <v>63</v>
      </c>
      <c r="DW34" s="2" t="s">
        <v>63</v>
      </c>
      <c r="DX34" s="2">
        <v>1000</v>
      </c>
      <c r="DZ34" s="2" t="s">
        <v>30</v>
      </c>
      <c r="EA34" s="2" t="s">
        <v>30</v>
      </c>
      <c r="EB34" s="2" t="s">
        <v>30</v>
      </c>
      <c r="EC34" s="2" t="s">
        <v>30</v>
      </c>
      <c r="EE34" s="2">
        <v>49661956</v>
      </c>
      <c r="EF34" s="2">
        <v>1</v>
      </c>
      <c r="EG34" s="2" t="s">
        <v>180</v>
      </c>
      <c r="EH34" s="2">
        <v>0</v>
      </c>
      <c r="EI34" s="2" t="s">
        <v>30</v>
      </c>
      <c r="EJ34" s="2">
        <v>4</v>
      </c>
      <c r="EK34" s="2">
        <v>1</v>
      </c>
      <c r="EL34" s="2" t="s">
        <v>202</v>
      </c>
      <c r="EM34" s="2" t="s">
        <v>182</v>
      </c>
      <c r="EO34" s="2" t="s">
        <v>30</v>
      </c>
      <c r="EQ34" s="2">
        <v>0</v>
      </c>
      <c r="ER34" s="2">
        <v>61.22</v>
      </c>
      <c r="ES34" s="2">
        <v>0</v>
      </c>
      <c r="ET34" s="2">
        <v>61.22</v>
      </c>
      <c r="EU34" s="2">
        <v>33.01</v>
      </c>
      <c r="EV34" s="2">
        <v>0</v>
      </c>
      <c r="EW34" s="2">
        <v>0</v>
      </c>
      <c r="EX34" s="2">
        <v>0</v>
      </c>
      <c r="EY34" s="2">
        <v>0</v>
      </c>
      <c r="FQ34" s="2">
        <v>0</v>
      </c>
      <c r="FR34" s="2">
        <f t="shared" si="39"/>
        <v>0</v>
      </c>
      <c r="FS34" s="2">
        <v>0</v>
      </c>
      <c r="FX34" s="2">
        <v>0</v>
      </c>
      <c r="FY34" s="2">
        <v>0</v>
      </c>
      <c r="GA34" s="2" t="s">
        <v>30</v>
      </c>
      <c r="GD34" s="2">
        <v>1</v>
      </c>
      <c r="GF34" s="2">
        <v>1508973123</v>
      </c>
      <c r="GG34" s="2">
        <v>2</v>
      </c>
      <c r="GH34" s="2">
        <v>1</v>
      </c>
      <c r="GI34" s="2">
        <v>-2</v>
      </c>
      <c r="GJ34" s="2">
        <v>0</v>
      </c>
      <c r="GK34" s="2">
        <v>0</v>
      </c>
      <c r="GL34" s="2">
        <f t="shared" si="40"/>
        <v>0</v>
      </c>
      <c r="GM34" s="2">
        <f>ROUND(O34+X34+Y34,2)+GX34</f>
        <v>9506.24</v>
      </c>
      <c r="GN34" s="2">
        <f>IF(OR(BI34=0,BI34=1),ROUND(O34+X34+Y34,2),0)</f>
        <v>0</v>
      </c>
      <c r="GO34" s="2">
        <f>IF(BI34=2,ROUND(O34+X34+Y34,2),0)</f>
        <v>0</v>
      </c>
      <c r="GP34" s="2">
        <f>IF(BI34=4,ROUND(O34+X34+Y34,2)+GX34,0)</f>
        <v>9506.24</v>
      </c>
      <c r="GR34" s="2">
        <v>0</v>
      </c>
      <c r="GS34" s="2">
        <v>3</v>
      </c>
      <c r="GT34" s="2">
        <v>0</v>
      </c>
      <c r="GU34" s="2" t="s">
        <v>30</v>
      </c>
      <c r="GV34" s="2">
        <f t="shared" si="45"/>
        <v>0</v>
      </c>
      <c r="GW34" s="2">
        <v>1</v>
      </c>
      <c r="GX34" s="2">
        <f t="shared" si="46"/>
        <v>0</v>
      </c>
      <c r="HA34" s="2">
        <v>0</v>
      </c>
      <c r="HB34" s="2">
        <v>0</v>
      </c>
      <c r="HC34" s="2">
        <f t="shared" si="47"/>
        <v>0</v>
      </c>
      <c r="HE34" s="2" t="s">
        <v>30</v>
      </c>
      <c r="HF34" s="2" t="s">
        <v>30</v>
      </c>
      <c r="HM34" s="2" t="s">
        <v>30</v>
      </c>
      <c r="HN34" s="2" t="s">
        <v>30</v>
      </c>
      <c r="HO34" s="2" t="s">
        <v>30</v>
      </c>
      <c r="HP34" s="2" t="s">
        <v>30</v>
      </c>
      <c r="HQ34" s="2" t="s">
        <v>30</v>
      </c>
      <c r="IK34" s="2">
        <v>0</v>
      </c>
    </row>
    <row r="35" spans="1:245" x14ac:dyDescent="0.25">
      <c r="A35" s="2">
        <v>17</v>
      </c>
      <c r="B35" s="2">
        <v>1</v>
      </c>
      <c r="C35" s="2">
        <f>ROW('SmtRes (2)'!A27)</f>
        <v>27</v>
      </c>
      <c r="D35" s="2">
        <f>ROW('EtalonRes (2)'!A26)</f>
        <v>26</v>
      </c>
      <c r="E35" s="2" t="s">
        <v>203</v>
      </c>
      <c r="F35" s="2" t="s">
        <v>204</v>
      </c>
      <c r="G35" s="2" t="s">
        <v>205</v>
      </c>
      <c r="H35" s="2" t="s">
        <v>63</v>
      </c>
      <c r="I35" s="2">
        <v>155.28</v>
      </c>
      <c r="J35" s="2">
        <v>0</v>
      </c>
      <c r="K35" s="2">
        <v>155.28</v>
      </c>
      <c r="O35" s="2">
        <f t="shared" si="12"/>
        <v>234081.49</v>
      </c>
      <c r="P35" s="2">
        <f t="shared" si="13"/>
        <v>0</v>
      </c>
      <c r="Q35" s="2">
        <f t="shared" si="14"/>
        <v>234081.49</v>
      </c>
      <c r="R35" s="2">
        <f t="shared" si="15"/>
        <v>126286.12</v>
      </c>
      <c r="S35" s="2">
        <f t="shared" si="16"/>
        <v>0</v>
      </c>
      <c r="T35" s="2">
        <f t="shared" si="17"/>
        <v>0</v>
      </c>
      <c r="U35" s="2">
        <f t="shared" si="18"/>
        <v>0</v>
      </c>
      <c r="V35" s="2">
        <f t="shared" si="19"/>
        <v>0</v>
      </c>
      <c r="W35" s="2">
        <f t="shared" si="20"/>
        <v>0</v>
      </c>
      <c r="X35" s="2">
        <f t="shared" si="21"/>
        <v>0</v>
      </c>
      <c r="Y35" s="2">
        <f t="shared" si="21"/>
        <v>0</v>
      </c>
      <c r="AA35" s="2">
        <v>52262273</v>
      </c>
      <c r="AB35" s="2">
        <f t="shared" si="22"/>
        <v>1507.48</v>
      </c>
      <c r="AC35" s="2">
        <f>ROUND(((ES35*52)),6)</f>
        <v>0</v>
      </c>
      <c r="AD35" s="2">
        <f>ROUND(((((ET35*52))-((EU35*52)))+AE35),6)</f>
        <v>1507.48</v>
      </c>
      <c r="AE35" s="2">
        <f>ROUND(((EU35*52)),6)</f>
        <v>813.28</v>
      </c>
      <c r="AF35" s="2">
        <f>ROUND(((EV35*52)),6)</f>
        <v>0</v>
      </c>
      <c r="AG35" s="2">
        <f t="shared" si="26"/>
        <v>0</v>
      </c>
      <c r="AH35" s="2">
        <f>((EW35*52))</f>
        <v>0</v>
      </c>
      <c r="AI35" s="2">
        <f>((EX35*52))</f>
        <v>0</v>
      </c>
      <c r="AJ35" s="2">
        <f t="shared" si="28"/>
        <v>0</v>
      </c>
      <c r="AK35" s="2">
        <v>28.99</v>
      </c>
      <c r="AL35" s="2">
        <v>0</v>
      </c>
      <c r="AM35" s="2">
        <v>28.99</v>
      </c>
      <c r="AN35" s="2">
        <v>15.64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1</v>
      </c>
      <c r="AW35" s="2">
        <v>1</v>
      </c>
      <c r="AZ35" s="2">
        <v>1</v>
      </c>
      <c r="BA35" s="2">
        <v>1</v>
      </c>
      <c r="BB35" s="2">
        <v>1</v>
      </c>
      <c r="BC35" s="2">
        <v>1</v>
      </c>
      <c r="BD35" s="2" t="s">
        <v>30</v>
      </c>
      <c r="BE35" s="2" t="s">
        <v>30</v>
      </c>
      <c r="BF35" s="2" t="s">
        <v>30</v>
      </c>
      <c r="BG35" s="2" t="s">
        <v>30</v>
      </c>
      <c r="BH35" s="2">
        <v>0</v>
      </c>
      <c r="BI35" s="2">
        <v>4</v>
      </c>
      <c r="BJ35" s="2" t="s">
        <v>206</v>
      </c>
      <c r="BM35" s="2">
        <v>1</v>
      </c>
      <c r="BN35" s="2">
        <v>0</v>
      </c>
      <c r="BO35" s="2" t="s">
        <v>30</v>
      </c>
      <c r="BP35" s="2">
        <v>0</v>
      </c>
      <c r="BQ35" s="2">
        <v>1</v>
      </c>
      <c r="BR35" s="2">
        <v>0</v>
      </c>
      <c r="BS35" s="2">
        <v>1</v>
      </c>
      <c r="BT35" s="2">
        <v>1</v>
      </c>
      <c r="BU35" s="2">
        <v>1</v>
      </c>
      <c r="BV35" s="2">
        <v>1</v>
      </c>
      <c r="BW35" s="2">
        <v>1</v>
      </c>
      <c r="BX35" s="2">
        <v>1</v>
      </c>
      <c r="BY35" s="2" t="s">
        <v>30</v>
      </c>
      <c r="BZ35" s="2">
        <v>0</v>
      </c>
      <c r="CA35" s="2">
        <v>0</v>
      </c>
      <c r="CB35" s="2" t="s">
        <v>30</v>
      </c>
      <c r="CE35" s="2">
        <v>0</v>
      </c>
      <c r="CF35" s="2">
        <v>0</v>
      </c>
      <c r="CG35" s="2">
        <v>0</v>
      </c>
      <c r="CM35" s="2">
        <v>0</v>
      </c>
      <c r="CN35" s="2" t="s">
        <v>30</v>
      </c>
      <c r="CO35" s="2">
        <v>0</v>
      </c>
      <c r="CP35" s="2">
        <f t="shared" si="29"/>
        <v>234081.49</v>
      </c>
      <c r="CQ35" s="2">
        <f t="shared" si="30"/>
        <v>0</v>
      </c>
      <c r="CR35" s="2">
        <f>(((((ET35*52))*BB35-((EU35*52))*BS35)+AE35*BS35)*AV35)</f>
        <v>1507.48</v>
      </c>
      <c r="CS35" s="2">
        <f t="shared" si="32"/>
        <v>813.28</v>
      </c>
      <c r="CT35" s="2">
        <f t="shared" si="33"/>
        <v>0</v>
      </c>
      <c r="CU35" s="2">
        <f t="shared" si="34"/>
        <v>0</v>
      </c>
      <c r="CV35" s="2">
        <f t="shared" si="35"/>
        <v>0</v>
      </c>
      <c r="CW35" s="2">
        <f t="shared" si="36"/>
        <v>0</v>
      </c>
      <c r="CX35" s="2">
        <f t="shared" si="36"/>
        <v>0</v>
      </c>
      <c r="CY35" s="2">
        <f t="shared" si="37"/>
        <v>0</v>
      </c>
      <c r="CZ35" s="2">
        <f t="shared" si="38"/>
        <v>0</v>
      </c>
      <c r="DC35" s="2" t="s">
        <v>30</v>
      </c>
      <c r="DD35" s="2" t="s">
        <v>207</v>
      </c>
      <c r="DE35" s="2" t="s">
        <v>207</v>
      </c>
      <c r="DF35" s="2" t="s">
        <v>207</v>
      </c>
      <c r="DG35" s="2" t="s">
        <v>207</v>
      </c>
      <c r="DH35" s="2" t="s">
        <v>30</v>
      </c>
      <c r="DI35" s="2" t="s">
        <v>207</v>
      </c>
      <c r="DJ35" s="2" t="s">
        <v>207</v>
      </c>
      <c r="DK35" s="2" t="s">
        <v>30</v>
      </c>
      <c r="DL35" s="2" t="s">
        <v>30</v>
      </c>
      <c r="DM35" s="2" t="s">
        <v>30</v>
      </c>
      <c r="DN35" s="2">
        <v>0</v>
      </c>
      <c r="DO35" s="2">
        <v>0</v>
      </c>
      <c r="DP35" s="2">
        <v>1</v>
      </c>
      <c r="DQ35" s="2">
        <v>1</v>
      </c>
      <c r="DU35" s="2">
        <v>1009</v>
      </c>
      <c r="DV35" s="2" t="s">
        <v>63</v>
      </c>
      <c r="DW35" s="2" t="s">
        <v>63</v>
      </c>
      <c r="DX35" s="2">
        <v>1000</v>
      </c>
      <c r="DZ35" s="2" t="s">
        <v>30</v>
      </c>
      <c r="EA35" s="2" t="s">
        <v>30</v>
      </c>
      <c r="EB35" s="2" t="s">
        <v>30</v>
      </c>
      <c r="EC35" s="2" t="s">
        <v>30</v>
      </c>
      <c r="EE35" s="2">
        <v>49661956</v>
      </c>
      <c r="EF35" s="2">
        <v>1</v>
      </c>
      <c r="EG35" s="2" t="s">
        <v>180</v>
      </c>
      <c r="EH35" s="2">
        <v>0</v>
      </c>
      <c r="EI35" s="2" t="s">
        <v>30</v>
      </c>
      <c r="EJ35" s="2">
        <v>4</v>
      </c>
      <c r="EK35" s="2">
        <v>1</v>
      </c>
      <c r="EL35" s="2" t="s">
        <v>202</v>
      </c>
      <c r="EM35" s="2" t="s">
        <v>182</v>
      </c>
      <c r="EO35" s="2" t="s">
        <v>30</v>
      </c>
      <c r="EQ35" s="2">
        <v>0</v>
      </c>
      <c r="ER35" s="2">
        <v>28.99</v>
      </c>
      <c r="ES35" s="2">
        <v>0</v>
      </c>
      <c r="ET35" s="2">
        <v>28.99</v>
      </c>
      <c r="EU35" s="2">
        <v>15.64</v>
      </c>
      <c r="EV35" s="2">
        <v>0</v>
      </c>
      <c r="EW35" s="2">
        <v>0</v>
      </c>
      <c r="EX35" s="2">
        <v>0</v>
      </c>
      <c r="EY35" s="2">
        <v>0</v>
      </c>
      <c r="FQ35" s="2">
        <v>0</v>
      </c>
      <c r="FR35" s="2">
        <f t="shared" si="39"/>
        <v>0</v>
      </c>
      <c r="FS35" s="2">
        <v>0</v>
      </c>
      <c r="FX35" s="2">
        <v>0</v>
      </c>
      <c r="FY35" s="2">
        <v>0</v>
      </c>
      <c r="GA35" s="2" t="s">
        <v>30</v>
      </c>
      <c r="GD35" s="2">
        <v>1</v>
      </c>
      <c r="GF35" s="2">
        <v>-1355325295</v>
      </c>
      <c r="GG35" s="2">
        <v>2</v>
      </c>
      <c r="GH35" s="2">
        <v>1</v>
      </c>
      <c r="GI35" s="2">
        <v>-2</v>
      </c>
      <c r="GJ35" s="2">
        <v>0</v>
      </c>
      <c r="GK35" s="2">
        <v>0</v>
      </c>
      <c r="GL35" s="2">
        <f t="shared" si="40"/>
        <v>0</v>
      </c>
      <c r="GM35" s="2">
        <f>ROUND(O35+X35+Y35,2)+GX35</f>
        <v>234081.49</v>
      </c>
      <c r="GN35" s="2">
        <f>IF(OR(BI35=0,BI35=1),ROUND(O35+X35+Y35,2),0)</f>
        <v>0</v>
      </c>
      <c r="GO35" s="2">
        <f>IF(BI35=2,ROUND(O35+X35+Y35,2),0)</f>
        <v>0</v>
      </c>
      <c r="GP35" s="2">
        <f>IF(BI35=4,ROUND(O35+X35+Y35,2)+GX35,0)</f>
        <v>234081.49</v>
      </c>
      <c r="GR35" s="2">
        <v>0</v>
      </c>
      <c r="GS35" s="2">
        <v>3</v>
      </c>
      <c r="GT35" s="2">
        <v>0</v>
      </c>
      <c r="GU35" s="2" t="s">
        <v>30</v>
      </c>
      <c r="GV35" s="2">
        <f t="shared" si="45"/>
        <v>0</v>
      </c>
      <c r="GW35" s="2">
        <v>1</v>
      </c>
      <c r="GX35" s="2">
        <f t="shared" si="46"/>
        <v>0</v>
      </c>
      <c r="HA35" s="2">
        <v>0</v>
      </c>
      <c r="HB35" s="2">
        <v>0</v>
      </c>
      <c r="HC35" s="2">
        <f t="shared" si="47"/>
        <v>0</v>
      </c>
      <c r="HE35" s="2" t="s">
        <v>30</v>
      </c>
      <c r="HF35" s="2" t="s">
        <v>30</v>
      </c>
      <c r="HM35" s="2" t="s">
        <v>30</v>
      </c>
      <c r="HN35" s="2" t="s">
        <v>30</v>
      </c>
      <c r="HO35" s="2" t="s">
        <v>30</v>
      </c>
      <c r="HP35" s="2" t="s">
        <v>30</v>
      </c>
      <c r="HQ35" s="2" t="s">
        <v>30</v>
      </c>
      <c r="IK35" s="2">
        <v>0</v>
      </c>
    </row>
    <row r="36" spans="1:245" x14ac:dyDescent="0.25">
      <c r="A36" s="2">
        <v>17</v>
      </c>
      <c r="B36" s="2">
        <v>1</v>
      </c>
      <c r="C36" s="2">
        <f>ROW('SmtRes (2)'!A32)</f>
        <v>32</v>
      </c>
      <c r="D36" s="2">
        <f>ROW('EtalonRes (2)'!A30)</f>
        <v>30</v>
      </c>
      <c r="E36" s="2" t="s">
        <v>208</v>
      </c>
      <c r="F36" s="2" t="s">
        <v>209</v>
      </c>
      <c r="G36" s="2" t="s">
        <v>210</v>
      </c>
      <c r="H36" s="2" t="s">
        <v>60</v>
      </c>
      <c r="I36" s="2">
        <f>ROUND(1294/100,9)</f>
        <v>12.94</v>
      </c>
      <c r="J36" s="2">
        <v>0</v>
      </c>
      <c r="K36" s="2">
        <f>ROUND(1294/100,9)</f>
        <v>12.94</v>
      </c>
      <c r="O36" s="2">
        <f t="shared" si="12"/>
        <v>347705.7</v>
      </c>
      <c r="P36" s="2">
        <f t="shared" si="13"/>
        <v>299992.15999999997</v>
      </c>
      <c r="Q36" s="2">
        <f t="shared" si="14"/>
        <v>15716.54</v>
      </c>
      <c r="R36" s="2">
        <f t="shared" si="15"/>
        <v>6409.18</v>
      </c>
      <c r="S36" s="2">
        <f t="shared" si="16"/>
        <v>31997</v>
      </c>
      <c r="T36" s="2">
        <f t="shared" si="17"/>
        <v>0</v>
      </c>
      <c r="U36" s="2">
        <f t="shared" si="18"/>
        <v>133.28200000000001</v>
      </c>
      <c r="V36" s="2">
        <f t="shared" si="19"/>
        <v>0</v>
      </c>
      <c r="W36" s="2">
        <f t="shared" si="20"/>
        <v>0</v>
      </c>
      <c r="X36" s="2">
        <f t="shared" si="21"/>
        <v>22397.9</v>
      </c>
      <c r="Y36" s="2">
        <f t="shared" si="21"/>
        <v>3199.7</v>
      </c>
      <c r="AA36" s="2">
        <v>52262273</v>
      </c>
      <c r="AB36" s="2">
        <f t="shared" si="22"/>
        <v>26870.61</v>
      </c>
      <c r="AC36" s="2">
        <f>ROUND((ES36),6)</f>
        <v>23183.32</v>
      </c>
      <c r="AD36" s="2">
        <f>ROUND((((ET36)-(EU36))+AE36),6)</f>
        <v>1214.57</v>
      </c>
      <c r="AE36" s="2">
        <f t="shared" ref="AE36:AF38" si="48">ROUND((EU36),6)</f>
        <v>495.3</v>
      </c>
      <c r="AF36" s="2">
        <f t="shared" si="48"/>
        <v>2472.7199999999998</v>
      </c>
      <c r="AG36" s="2">
        <f t="shared" si="26"/>
        <v>0</v>
      </c>
      <c r="AH36" s="2">
        <f t="shared" ref="AH36:AI38" si="49">(EW36)</f>
        <v>10.3</v>
      </c>
      <c r="AI36" s="2">
        <f t="shared" si="49"/>
        <v>0</v>
      </c>
      <c r="AJ36" s="2">
        <f t="shared" si="28"/>
        <v>0</v>
      </c>
      <c r="AK36" s="2">
        <v>26870.61</v>
      </c>
      <c r="AL36" s="2">
        <v>23183.32</v>
      </c>
      <c r="AM36" s="2">
        <v>1214.57</v>
      </c>
      <c r="AN36" s="2">
        <v>495.3</v>
      </c>
      <c r="AO36" s="2">
        <v>2472.7199999999998</v>
      </c>
      <c r="AP36" s="2">
        <v>0</v>
      </c>
      <c r="AQ36" s="2">
        <v>10.3</v>
      </c>
      <c r="AR36" s="2">
        <v>0</v>
      </c>
      <c r="AS36" s="2">
        <v>0</v>
      </c>
      <c r="AT36" s="2">
        <v>70</v>
      </c>
      <c r="AU36" s="2">
        <v>10</v>
      </c>
      <c r="AV36" s="2">
        <v>1</v>
      </c>
      <c r="AW36" s="2">
        <v>1</v>
      </c>
      <c r="AZ36" s="2">
        <v>1</v>
      </c>
      <c r="BA36" s="2">
        <v>1</v>
      </c>
      <c r="BB36" s="2">
        <v>1</v>
      </c>
      <c r="BC36" s="2">
        <v>1</v>
      </c>
      <c r="BD36" s="2" t="s">
        <v>30</v>
      </c>
      <c r="BE36" s="2" t="s">
        <v>30</v>
      </c>
      <c r="BF36" s="2" t="s">
        <v>30</v>
      </c>
      <c r="BG36" s="2" t="s">
        <v>30</v>
      </c>
      <c r="BH36" s="2">
        <v>0</v>
      </c>
      <c r="BI36" s="2">
        <v>4</v>
      </c>
      <c r="BJ36" s="2" t="s">
        <v>211</v>
      </c>
      <c r="BM36" s="2">
        <v>0</v>
      </c>
      <c r="BN36" s="2">
        <v>0</v>
      </c>
      <c r="BO36" s="2" t="s">
        <v>30</v>
      </c>
      <c r="BP36" s="2">
        <v>0</v>
      </c>
      <c r="BQ36" s="2">
        <v>1</v>
      </c>
      <c r="BR36" s="2">
        <v>0</v>
      </c>
      <c r="BS36" s="2">
        <v>1</v>
      </c>
      <c r="BT36" s="2">
        <v>1</v>
      </c>
      <c r="BU36" s="2">
        <v>1</v>
      </c>
      <c r="BV36" s="2">
        <v>1</v>
      </c>
      <c r="BW36" s="2">
        <v>1</v>
      </c>
      <c r="BX36" s="2">
        <v>1</v>
      </c>
      <c r="BY36" s="2" t="s">
        <v>30</v>
      </c>
      <c r="BZ36" s="2">
        <v>70</v>
      </c>
      <c r="CA36" s="2">
        <v>10</v>
      </c>
      <c r="CB36" s="2" t="s">
        <v>30</v>
      </c>
      <c r="CE36" s="2">
        <v>0</v>
      </c>
      <c r="CF36" s="2">
        <v>0</v>
      </c>
      <c r="CG36" s="2">
        <v>0</v>
      </c>
      <c r="CM36" s="2">
        <v>0</v>
      </c>
      <c r="CN36" s="2" t="s">
        <v>30</v>
      </c>
      <c r="CO36" s="2">
        <v>0</v>
      </c>
      <c r="CP36" s="2">
        <f t="shared" si="29"/>
        <v>347705.7</v>
      </c>
      <c r="CQ36" s="2">
        <f t="shared" si="30"/>
        <v>23183.32</v>
      </c>
      <c r="CR36" s="2">
        <f>((((ET36)*BB36-(EU36)*BS36)+AE36*BS36)*AV36)</f>
        <v>1214.57</v>
      </c>
      <c r="CS36" s="2">
        <f t="shared" si="32"/>
        <v>495.3</v>
      </c>
      <c r="CT36" s="2">
        <f t="shared" si="33"/>
        <v>2472.7199999999998</v>
      </c>
      <c r="CU36" s="2">
        <f t="shared" si="34"/>
        <v>0</v>
      </c>
      <c r="CV36" s="2">
        <f t="shared" si="35"/>
        <v>10.3</v>
      </c>
      <c r="CW36" s="2">
        <f t="shared" si="36"/>
        <v>0</v>
      </c>
      <c r="CX36" s="2">
        <f t="shared" si="36"/>
        <v>0</v>
      </c>
      <c r="CY36" s="2">
        <f t="shared" si="37"/>
        <v>22397.9</v>
      </c>
      <c r="CZ36" s="2">
        <f t="shared" si="38"/>
        <v>3199.7</v>
      </c>
      <c r="DC36" s="2" t="s">
        <v>30</v>
      </c>
      <c r="DD36" s="2" t="s">
        <v>30</v>
      </c>
      <c r="DE36" s="2" t="s">
        <v>30</v>
      </c>
      <c r="DF36" s="2" t="s">
        <v>30</v>
      </c>
      <c r="DG36" s="2" t="s">
        <v>30</v>
      </c>
      <c r="DH36" s="2" t="s">
        <v>30</v>
      </c>
      <c r="DI36" s="2" t="s">
        <v>30</v>
      </c>
      <c r="DJ36" s="2" t="s">
        <v>30</v>
      </c>
      <c r="DK36" s="2" t="s">
        <v>30</v>
      </c>
      <c r="DL36" s="2" t="s">
        <v>30</v>
      </c>
      <c r="DM36" s="2" t="s">
        <v>30</v>
      </c>
      <c r="DN36" s="2">
        <v>0</v>
      </c>
      <c r="DO36" s="2">
        <v>0</v>
      </c>
      <c r="DP36" s="2">
        <v>1</v>
      </c>
      <c r="DQ36" s="2">
        <v>1</v>
      </c>
      <c r="DU36" s="2">
        <v>1005</v>
      </c>
      <c r="DV36" s="2" t="s">
        <v>60</v>
      </c>
      <c r="DW36" s="2" t="s">
        <v>60</v>
      </c>
      <c r="DX36" s="2">
        <v>100</v>
      </c>
      <c r="DZ36" s="2" t="s">
        <v>30</v>
      </c>
      <c r="EA36" s="2" t="s">
        <v>30</v>
      </c>
      <c r="EB36" s="2" t="s">
        <v>30</v>
      </c>
      <c r="EC36" s="2" t="s">
        <v>30</v>
      </c>
      <c r="EE36" s="2">
        <v>49661954</v>
      </c>
      <c r="EF36" s="2">
        <v>1</v>
      </c>
      <c r="EG36" s="2" t="s">
        <v>180</v>
      </c>
      <c r="EH36" s="2">
        <v>0</v>
      </c>
      <c r="EI36" s="2" t="s">
        <v>30</v>
      </c>
      <c r="EJ36" s="2">
        <v>4</v>
      </c>
      <c r="EK36" s="2">
        <v>0</v>
      </c>
      <c r="EL36" s="2" t="s">
        <v>181</v>
      </c>
      <c r="EM36" s="2" t="s">
        <v>182</v>
      </c>
      <c r="EO36" s="2" t="s">
        <v>30</v>
      </c>
      <c r="EQ36" s="2">
        <v>0</v>
      </c>
      <c r="ER36" s="2">
        <v>26870.61</v>
      </c>
      <c r="ES36" s="2">
        <v>23183.32</v>
      </c>
      <c r="ET36" s="2">
        <v>1214.57</v>
      </c>
      <c r="EU36" s="2">
        <v>495.3</v>
      </c>
      <c r="EV36" s="2">
        <v>2472.7199999999998</v>
      </c>
      <c r="EW36" s="2">
        <v>10.3</v>
      </c>
      <c r="EX36" s="2">
        <v>0</v>
      </c>
      <c r="EY36" s="2">
        <v>0</v>
      </c>
      <c r="FQ36" s="2">
        <v>0</v>
      </c>
      <c r="FR36" s="2">
        <f t="shared" si="39"/>
        <v>0</v>
      </c>
      <c r="FS36" s="2">
        <v>0</v>
      </c>
      <c r="FX36" s="2">
        <v>70</v>
      </c>
      <c r="FY36" s="2">
        <v>10</v>
      </c>
      <c r="GA36" s="2" t="s">
        <v>30</v>
      </c>
      <c r="GD36" s="2">
        <v>0</v>
      </c>
      <c r="GF36" s="2">
        <v>-292534151</v>
      </c>
      <c r="GG36" s="2">
        <v>2</v>
      </c>
      <c r="GH36" s="2">
        <v>1</v>
      </c>
      <c r="GI36" s="2">
        <v>-2</v>
      </c>
      <c r="GJ36" s="2">
        <v>0</v>
      </c>
      <c r="GK36" s="2">
        <f>ROUND(R36*(R12)/100,2)</f>
        <v>6921.91</v>
      </c>
      <c r="GL36" s="2">
        <f t="shared" si="40"/>
        <v>0</v>
      </c>
      <c r="GM36" s="2">
        <f>ROUND(O36+X36+Y36+GK36,2)+GX36</f>
        <v>380225.21</v>
      </c>
      <c r="GN36" s="2">
        <f>IF(OR(BI36=0,BI36=1),ROUND(O36+X36+Y36+GK36,2),0)</f>
        <v>0</v>
      </c>
      <c r="GO36" s="2">
        <f>IF(BI36=2,ROUND(O36+X36+Y36+GK36,2),0)</f>
        <v>0</v>
      </c>
      <c r="GP36" s="2">
        <f>IF(BI36=4,ROUND(O36+X36+Y36+GK36,2)+GX36,0)</f>
        <v>380225.21</v>
      </c>
      <c r="GR36" s="2">
        <v>0</v>
      </c>
      <c r="GS36" s="2">
        <v>3</v>
      </c>
      <c r="GT36" s="2">
        <v>0</v>
      </c>
      <c r="GU36" s="2" t="s">
        <v>30</v>
      </c>
      <c r="GV36" s="2">
        <f t="shared" si="45"/>
        <v>0</v>
      </c>
      <c r="GW36" s="2">
        <v>1</v>
      </c>
      <c r="GX36" s="2">
        <f t="shared" si="46"/>
        <v>0</v>
      </c>
      <c r="HA36" s="2">
        <v>0</v>
      </c>
      <c r="HB36" s="2">
        <v>0</v>
      </c>
      <c r="HC36" s="2">
        <f t="shared" si="47"/>
        <v>0</v>
      </c>
      <c r="HE36" s="2" t="s">
        <v>30</v>
      </c>
      <c r="HF36" s="2" t="s">
        <v>30</v>
      </c>
      <c r="HM36" s="2" t="s">
        <v>30</v>
      </c>
      <c r="HN36" s="2" t="s">
        <v>30</v>
      </c>
      <c r="HO36" s="2" t="s">
        <v>30</v>
      </c>
      <c r="HP36" s="2" t="s">
        <v>30</v>
      </c>
      <c r="HQ36" s="2" t="s">
        <v>30</v>
      </c>
      <c r="IK36" s="2">
        <v>0</v>
      </c>
    </row>
    <row r="37" spans="1:245" x14ac:dyDescent="0.25">
      <c r="A37" s="2">
        <v>18</v>
      </c>
      <c r="B37" s="2">
        <v>1</v>
      </c>
      <c r="C37" s="2">
        <v>31</v>
      </c>
      <c r="E37" s="2" t="s">
        <v>33</v>
      </c>
      <c r="F37" s="2" t="s">
        <v>160</v>
      </c>
      <c r="G37" s="2" t="s">
        <v>212</v>
      </c>
      <c r="H37" s="2" t="s">
        <v>63</v>
      </c>
      <c r="I37" s="2">
        <f>I36*J37</f>
        <v>-92.391599999999997</v>
      </c>
      <c r="J37" s="2">
        <v>-7.14</v>
      </c>
      <c r="K37" s="2">
        <v>-7.14</v>
      </c>
      <c r="O37" s="2">
        <f t="shared" si="12"/>
        <v>-272946.96000000002</v>
      </c>
      <c r="P37" s="2">
        <f t="shared" si="13"/>
        <v>-272946.96000000002</v>
      </c>
      <c r="Q37" s="2">
        <f t="shared" si="14"/>
        <v>0</v>
      </c>
      <c r="R37" s="2">
        <f t="shared" si="15"/>
        <v>0</v>
      </c>
      <c r="S37" s="2">
        <f t="shared" si="16"/>
        <v>0</v>
      </c>
      <c r="T37" s="2">
        <f t="shared" si="17"/>
        <v>0</v>
      </c>
      <c r="U37" s="2">
        <f t="shared" si="18"/>
        <v>0</v>
      </c>
      <c r="V37" s="2">
        <f t="shared" si="19"/>
        <v>0</v>
      </c>
      <c r="W37" s="2">
        <f t="shared" si="20"/>
        <v>0</v>
      </c>
      <c r="X37" s="2">
        <f t="shared" si="21"/>
        <v>0</v>
      </c>
      <c r="Y37" s="2">
        <f t="shared" si="21"/>
        <v>0</v>
      </c>
      <c r="AA37" s="2">
        <v>52262273</v>
      </c>
      <c r="AB37" s="2">
        <f t="shared" si="22"/>
        <v>2954.24</v>
      </c>
      <c r="AC37" s="2">
        <f>ROUND((ES37),6)</f>
        <v>2954.24</v>
      </c>
      <c r="AD37" s="2">
        <f>ROUND((((ET37)-(EU37))+AE37),6)</f>
        <v>0</v>
      </c>
      <c r="AE37" s="2">
        <f t="shared" si="48"/>
        <v>0</v>
      </c>
      <c r="AF37" s="2">
        <f t="shared" si="48"/>
        <v>0</v>
      </c>
      <c r="AG37" s="2">
        <f t="shared" si="26"/>
        <v>0</v>
      </c>
      <c r="AH37" s="2">
        <f t="shared" si="49"/>
        <v>0</v>
      </c>
      <c r="AI37" s="2">
        <f t="shared" si="49"/>
        <v>0</v>
      </c>
      <c r="AJ37" s="2">
        <f t="shared" si="28"/>
        <v>0</v>
      </c>
      <c r="AK37" s="2">
        <v>2954.24</v>
      </c>
      <c r="AL37" s="2">
        <v>2954.24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70</v>
      </c>
      <c r="AU37" s="2">
        <v>10</v>
      </c>
      <c r="AV37" s="2">
        <v>1</v>
      </c>
      <c r="AW37" s="2">
        <v>1</v>
      </c>
      <c r="AZ37" s="2">
        <v>1</v>
      </c>
      <c r="BA37" s="2">
        <v>1</v>
      </c>
      <c r="BB37" s="2">
        <v>1</v>
      </c>
      <c r="BC37" s="2">
        <v>1</v>
      </c>
      <c r="BD37" s="2" t="s">
        <v>30</v>
      </c>
      <c r="BE37" s="2" t="s">
        <v>30</v>
      </c>
      <c r="BF37" s="2" t="s">
        <v>30</v>
      </c>
      <c r="BG37" s="2" t="s">
        <v>30</v>
      </c>
      <c r="BH37" s="2">
        <v>3</v>
      </c>
      <c r="BI37" s="2">
        <v>4</v>
      </c>
      <c r="BJ37" s="2" t="s">
        <v>213</v>
      </c>
      <c r="BM37" s="2">
        <v>0</v>
      </c>
      <c r="BN37" s="2">
        <v>0</v>
      </c>
      <c r="BO37" s="2" t="s">
        <v>30</v>
      </c>
      <c r="BP37" s="2">
        <v>0</v>
      </c>
      <c r="BQ37" s="2">
        <v>1</v>
      </c>
      <c r="BR37" s="2">
        <v>1</v>
      </c>
      <c r="BS37" s="2">
        <v>1</v>
      </c>
      <c r="BT37" s="2">
        <v>1</v>
      </c>
      <c r="BU37" s="2">
        <v>1</v>
      </c>
      <c r="BV37" s="2">
        <v>1</v>
      </c>
      <c r="BW37" s="2">
        <v>1</v>
      </c>
      <c r="BX37" s="2">
        <v>1</v>
      </c>
      <c r="BY37" s="2" t="s">
        <v>30</v>
      </c>
      <c r="BZ37" s="2">
        <v>70</v>
      </c>
      <c r="CA37" s="2">
        <v>10</v>
      </c>
      <c r="CB37" s="2" t="s">
        <v>30</v>
      </c>
      <c r="CE37" s="2">
        <v>0</v>
      </c>
      <c r="CF37" s="2">
        <v>0</v>
      </c>
      <c r="CG37" s="2">
        <v>0</v>
      </c>
      <c r="CM37" s="2">
        <v>0</v>
      </c>
      <c r="CN37" s="2" t="s">
        <v>30</v>
      </c>
      <c r="CO37" s="2">
        <v>0</v>
      </c>
      <c r="CP37" s="2">
        <f t="shared" si="29"/>
        <v>-272946.96000000002</v>
      </c>
      <c r="CQ37" s="2">
        <f t="shared" si="30"/>
        <v>2954.24</v>
      </c>
      <c r="CR37" s="2">
        <f>((((ET37)*BB37-(EU37)*BS37)+AE37*BS37)*AV37)</f>
        <v>0</v>
      </c>
      <c r="CS37" s="2">
        <f t="shared" si="32"/>
        <v>0</v>
      </c>
      <c r="CT37" s="2">
        <f t="shared" si="33"/>
        <v>0</v>
      </c>
      <c r="CU37" s="2">
        <f t="shared" si="34"/>
        <v>0</v>
      </c>
      <c r="CV37" s="2">
        <f t="shared" si="35"/>
        <v>0</v>
      </c>
      <c r="CW37" s="2">
        <f t="shared" si="36"/>
        <v>0</v>
      </c>
      <c r="CX37" s="2">
        <f t="shared" si="36"/>
        <v>0</v>
      </c>
      <c r="CY37" s="2">
        <f t="shared" si="37"/>
        <v>0</v>
      </c>
      <c r="CZ37" s="2">
        <f t="shared" si="38"/>
        <v>0</v>
      </c>
      <c r="DC37" s="2" t="s">
        <v>30</v>
      </c>
      <c r="DD37" s="2" t="s">
        <v>30</v>
      </c>
      <c r="DE37" s="2" t="s">
        <v>30</v>
      </c>
      <c r="DF37" s="2" t="s">
        <v>30</v>
      </c>
      <c r="DG37" s="2" t="s">
        <v>30</v>
      </c>
      <c r="DH37" s="2" t="s">
        <v>30</v>
      </c>
      <c r="DI37" s="2" t="s">
        <v>30</v>
      </c>
      <c r="DJ37" s="2" t="s">
        <v>30</v>
      </c>
      <c r="DK37" s="2" t="s">
        <v>30</v>
      </c>
      <c r="DL37" s="2" t="s">
        <v>30</v>
      </c>
      <c r="DM37" s="2" t="s">
        <v>30</v>
      </c>
      <c r="DN37" s="2">
        <v>0</v>
      </c>
      <c r="DO37" s="2">
        <v>0</v>
      </c>
      <c r="DP37" s="2">
        <v>1</v>
      </c>
      <c r="DQ37" s="2">
        <v>1</v>
      </c>
      <c r="DU37" s="2">
        <v>1009</v>
      </c>
      <c r="DV37" s="2" t="s">
        <v>63</v>
      </c>
      <c r="DW37" s="2" t="s">
        <v>63</v>
      </c>
      <c r="DX37" s="2">
        <v>1000</v>
      </c>
      <c r="DZ37" s="2" t="s">
        <v>30</v>
      </c>
      <c r="EA37" s="2" t="s">
        <v>30</v>
      </c>
      <c r="EB37" s="2" t="s">
        <v>30</v>
      </c>
      <c r="EC37" s="2" t="s">
        <v>30</v>
      </c>
      <c r="EE37" s="2">
        <v>49661954</v>
      </c>
      <c r="EF37" s="2">
        <v>1</v>
      </c>
      <c r="EG37" s="2" t="s">
        <v>180</v>
      </c>
      <c r="EH37" s="2">
        <v>0</v>
      </c>
      <c r="EI37" s="2" t="s">
        <v>30</v>
      </c>
      <c r="EJ37" s="2">
        <v>4</v>
      </c>
      <c r="EK37" s="2">
        <v>0</v>
      </c>
      <c r="EL37" s="2" t="s">
        <v>181</v>
      </c>
      <c r="EM37" s="2" t="s">
        <v>182</v>
      </c>
      <c r="EO37" s="2" t="s">
        <v>30</v>
      </c>
      <c r="EQ37" s="2">
        <v>0</v>
      </c>
      <c r="ER37" s="2">
        <v>2954.24</v>
      </c>
      <c r="ES37" s="2">
        <v>2954.24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FQ37" s="2">
        <v>0</v>
      </c>
      <c r="FR37" s="2">
        <f t="shared" si="39"/>
        <v>0</v>
      </c>
      <c r="FS37" s="2">
        <v>0</v>
      </c>
      <c r="FX37" s="2">
        <v>70</v>
      </c>
      <c r="FY37" s="2">
        <v>10</v>
      </c>
      <c r="GA37" s="2" t="s">
        <v>30</v>
      </c>
      <c r="GD37" s="2">
        <v>0</v>
      </c>
      <c r="GF37" s="2">
        <v>-58237108</v>
      </c>
      <c r="GG37" s="2">
        <v>2</v>
      </c>
      <c r="GH37" s="2">
        <v>1</v>
      </c>
      <c r="GI37" s="2">
        <v>-2</v>
      </c>
      <c r="GJ37" s="2">
        <v>0</v>
      </c>
      <c r="GK37" s="2">
        <f>ROUND(R37*(R12)/100,2)</f>
        <v>0</v>
      </c>
      <c r="GL37" s="2">
        <f t="shared" si="40"/>
        <v>0</v>
      </c>
      <c r="GM37" s="2">
        <f>ROUND(O37+X37+Y37+GK37,2)+GX37</f>
        <v>-272946.96000000002</v>
      </c>
      <c r="GN37" s="2">
        <f>IF(OR(BI37=0,BI37=1),ROUND(O37+X37+Y37+GK37,2),0)</f>
        <v>0</v>
      </c>
      <c r="GO37" s="2">
        <f>IF(BI37=2,ROUND(O37+X37+Y37+GK37,2),0)</f>
        <v>0</v>
      </c>
      <c r="GP37" s="2">
        <f>IF(BI37=4,ROUND(O37+X37+Y37+GK37,2)+GX37,0)</f>
        <v>-272946.96000000002</v>
      </c>
      <c r="GR37" s="2">
        <v>0</v>
      </c>
      <c r="GS37" s="2">
        <v>3</v>
      </c>
      <c r="GT37" s="2">
        <v>0</v>
      </c>
      <c r="GU37" s="2" t="s">
        <v>30</v>
      </c>
      <c r="GV37" s="2">
        <f t="shared" si="45"/>
        <v>0</v>
      </c>
      <c r="GW37" s="2">
        <v>1</v>
      </c>
      <c r="GX37" s="2">
        <f t="shared" si="46"/>
        <v>0</v>
      </c>
      <c r="HA37" s="2">
        <v>0</v>
      </c>
      <c r="HB37" s="2">
        <v>0</v>
      </c>
      <c r="HC37" s="2">
        <f t="shared" si="47"/>
        <v>0</v>
      </c>
      <c r="HE37" s="2" t="s">
        <v>30</v>
      </c>
      <c r="HF37" s="2" t="s">
        <v>30</v>
      </c>
      <c r="HM37" s="2" t="s">
        <v>30</v>
      </c>
      <c r="HN37" s="2" t="s">
        <v>30</v>
      </c>
      <c r="HO37" s="2" t="s">
        <v>30</v>
      </c>
      <c r="HP37" s="2" t="s">
        <v>30</v>
      </c>
      <c r="HQ37" s="2" t="s">
        <v>30</v>
      </c>
      <c r="IK37" s="2">
        <v>0</v>
      </c>
    </row>
    <row r="38" spans="1:245" x14ac:dyDescent="0.25">
      <c r="A38" s="2">
        <v>18</v>
      </c>
      <c r="B38" s="2">
        <v>1</v>
      </c>
      <c r="C38" s="2">
        <v>32</v>
      </c>
      <c r="E38" s="2" t="s">
        <v>34</v>
      </c>
      <c r="F38" s="2" t="s">
        <v>160</v>
      </c>
      <c r="G38" s="2" t="s">
        <v>161</v>
      </c>
      <c r="H38" s="2" t="s">
        <v>63</v>
      </c>
      <c r="I38" s="2">
        <f>I36*J38</f>
        <v>151.00980000000001</v>
      </c>
      <c r="J38" s="2">
        <v>11.67</v>
      </c>
      <c r="K38" s="2">
        <v>11.67</v>
      </c>
      <c r="O38" s="2">
        <f t="shared" si="12"/>
        <v>446119.19</v>
      </c>
      <c r="P38" s="2">
        <f t="shared" si="13"/>
        <v>446119.19</v>
      </c>
      <c r="Q38" s="2">
        <f t="shared" si="14"/>
        <v>0</v>
      </c>
      <c r="R38" s="2">
        <f t="shared" si="15"/>
        <v>0</v>
      </c>
      <c r="S38" s="2">
        <f t="shared" si="16"/>
        <v>0</v>
      </c>
      <c r="T38" s="2">
        <f t="shared" si="17"/>
        <v>0</v>
      </c>
      <c r="U38" s="2">
        <f t="shared" si="18"/>
        <v>0</v>
      </c>
      <c r="V38" s="2">
        <f t="shared" si="19"/>
        <v>0</v>
      </c>
      <c r="W38" s="2">
        <f t="shared" si="20"/>
        <v>0</v>
      </c>
      <c r="X38" s="2">
        <f t="shared" si="21"/>
        <v>0</v>
      </c>
      <c r="Y38" s="2">
        <f t="shared" si="21"/>
        <v>0</v>
      </c>
      <c r="AA38" s="2">
        <v>52262273</v>
      </c>
      <c r="AB38" s="2">
        <f t="shared" si="22"/>
        <v>2954.24</v>
      </c>
      <c r="AC38" s="2">
        <f>ROUND((ES38),6)</f>
        <v>2954.24</v>
      </c>
      <c r="AD38" s="2">
        <f>ROUND((((ET38)-(EU38))+AE38),6)</f>
        <v>0</v>
      </c>
      <c r="AE38" s="2">
        <f t="shared" si="48"/>
        <v>0</v>
      </c>
      <c r="AF38" s="2">
        <f t="shared" si="48"/>
        <v>0</v>
      </c>
      <c r="AG38" s="2">
        <f t="shared" si="26"/>
        <v>0</v>
      </c>
      <c r="AH38" s="2">
        <f t="shared" si="49"/>
        <v>0</v>
      </c>
      <c r="AI38" s="2">
        <f t="shared" si="49"/>
        <v>0</v>
      </c>
      <c r="AJ38" s="2">
        <f t="shared" si="28"/>
        <v>0</v>
      </c>
      <c r="AK38" s="2">
        <v>2954.24</v>
      </c>
      <c r="AL38" s="2">
        <v>2954.24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70</v>
      </c>
      <c r="AU38" s="2">
        <v>10</v>
      </c>
      <c r="AV38" s="2">
        <v>1</v>
      </c>
      <c r="AW38" s="2">
        <v>1</v>
      </c>
      <c r="AZ38" s="2">
        <v>1</v>
      </c>
      <c r="BA38" s="2">
        <v>1</v>
      </c>
      <c r="BB38" s="2">
        <v>1</v>
      </c>
      <c r="BC38" s="2">
        <v>1</v>
      </c>
      <c r="BD38" s="2" t="s">
        <v>30</v>
      </c>
      <c r="BE38" s="2" t="s">
        <v>30</v>
      </c>
      <c r="BF38" s="2" t="s">
        <v>30</v>
      </c>
      <c r="BG38" s="2" t="s">
        <v>30</v>
      </c>
      <c r="BH38" s="2">
        <v>3</v>
      </c>
      <c r="BI38" s="2">
        <v>4</v>
      </c>
      <c r="BJ38" s="2" t="s">
        <v>213</v>
      </c>
      <c r="BM38" s="2">
        <v>0</v>
      </c>
      <c r="BN38" s="2">
        <v>0</v>
      </c>
      <c r="BO38" s="2" t="s">
        <v>30</v>
      </c>
      <c r="BP38" s="2">
        <v>0</v>
      </c>
      <c r="BQ38" s="2">
        <v>1</v>
      </c>
      <c r="BR38" s="2">
        <v>1</v>
      </c>
      <c r="BS38" s="2">
        <v>1</v>
      </c>
      <c r="BT38" s="2">
        <v>1</v>
      </c>
      <c r="BU38" s="2">
        <v>1</v>
      </c>
      <c r="BV38" s="2">
        <v>1</v>
      </c>
      <c r="BW38" s="2">
        <v>1</v>
      </c>
      <c r="BX38" s="2">
        <v>1</v>
      </c>
      <c r="BY38" s="2" t="s">
        <v>30</v>
      </c>
      <c r="BZ38" s="2">
        <v>70</v>
      </c>
      <c r="CA38" s="2">
        <v>10</v>
      </c>
      <c r="CB38" s="2" t="s">
        <v>30</v>
      </c>
      <c r="CE38" s="2">
        <v>0</v>
      </c>
      <c r="CF38" s="2">
        <v>0</v>
      </c>
      <c r="CG38" s="2">
        <v>0</v>
      </c>
      <c r="CM38" s="2">
        <v>0</v>
      </c>
      <c r="CN38" s="2" t="s">
        <v>30</v>
      </c>
      <c r="CO38" s="2">
        <v>0</v>
      </c>
      <c r="CP38" s="2">
        <f t="shared" si="29"/>
        <v>446119.19</v>
      </c>
      <c r="CQ38" s="2">
        <f t="shared" si="30"/>
        <v>2954.24</v>
      </c>
      <c r="CR38" s="2">
        <f>((((ET38)*BB38-(EU38)*BS38)+AE38*BS38)*AV38)</f>
        <v>0</v>
      </c>
      <c r="CS38" s="2">
        <f t="shared" si="32"/>
        <v>0</v>
      </c>
      <c r="CT38" s="2">
        <f t="shared" si="33"/>
        <v>0</v>
      </c>
      <c r="CU38" s="2">
        <f t="shared" si="34"/>
        <v>0</v>
      </c>
      <c r="CV38" s="2">
        <f t="shared" si="35"/>
        <v>0</v>
      </c>
      <c r="CW38" s="2">
        <f t="shared" si="36"/>
        <v>0</v>
      </c>
      <c r="CX38" s="2">
        <f t="shared" si="36"/>
        <v>0</v>
      </c>
      <c r="CY38" s="2">
        <f t="shared" si="37"/>
        <v>0</v>
      </c>
      <c r="CZ38" s="2">
        <f t="shared" si="38"/>
        <v>0</v>
      </c>
      <c r="DC38" s="2" t="s">
        <v>30</v>
      </c>
      <c r="DD38" s="2" t="s">
        <v>30</v>
      </c>
      <c r="DE38" s="2" t="s">
        <v>30</v>
      </c>
      <c r="DF38" s="2" t="s">
        <v>30</v>
      </c>
      <c r="DG38" s="2" t="s">
        <v>30</v>
      </c>
      <c r="DH38" s="2" t="s">
        <v>30</v>
      </c>
      <c r="DI38" s="2" t="s">
        <v>30</v>
      </c>
      <c r="DJ38" s="2" t="s">
        <v>30</v>
      </c>
      <c r="DK38" s="2" t="s">
        <v>30</v>
      </c>
      <c r="DL38" s="2" t="s">
        <v>30</v>
      </c>
      <c r="DM38" s="2" t="s">
        <v>30</v>
      </c>
      <c r="DN38" s="2">
        <v>0</v>
      </c>
      <c r="DO38" s="2">
        <v>0</v>
      </c>
      <c r="DP38" s="2">
        <v>1</v>
      </c>
      <c r="DQ38" s="2">
        <v>1</v>
      </c>
      <c r="DU38" s="2">
        <v>1009</v>
      </c>
      <c r="DV38" s="2" t="s">
        <v>63</v>
      </c>
      <c r="DW38" s="2" t="s">
        <v>63</v>
      </c>
      <c r="DX38" s="2">
        <v>1000</v>
      </c>
      <c r="DZ38" s="2" t="s">
        <v>30</v>
      </c>
      <c r="EA38" s="2" t="s">
        <v>30</v>
      </c>
      <c r="EB38" s="2" t="s">
        <v>30</v>
      </c>
      <c r="EC38" s="2" t="s">
        <v>30</v>
      </c>
      <c r="EE38" s="2">
        <v>49661954</v>
      </c>
      <c r="EF38" s="2">
        <v>1</v>
      </c>
      <c r="EG38" s="2" t="s">
        <v>180</v>
      </c>
      <c r="EH38" s="2">
        <v>0</v>
      </c>
      <c r="EI38" s="2" t="s">
        <v>30</v>
      </c>
      <c r="EJ38" s="2">
        <v>4</v>
      </c>
      <c r="EK38" s="2">
        <v>0</v>
      </c>
      <c r="EL38" s="2" t="s">
        <v>181</v>
      </c>
      <c r="EM38" s="2" t="s">
        <v>182</v>
      </c>
      <c r="EO38" s="2" t="s">
        <v>30</v>
      </c>
      <c r="EQ38" s="2">
        <v>32768</v>
      </c>
      <c r="ER38" s="2">
        <v>2954.24</v>
      </c>
      <c r="ES38" s="2">
        <v>2954.24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FQ38" s="2">
        <v>0</v>
      </c>
      <c r="FR38" s="2">
        <f t="shared" si="39"/>
        <v>0</v>
      </c>
      <c r="FS38" s="2">
        <v>0</v>
      </c>
      <c r="FX38" s="2">
        <v>70</v>
      </c>
      <c r="FY38" s="2">
        <v>10</v>
      </c>
      <c r="GA38" s="2" t="s">
        <v>30</v>
      </c>
      <c r="GD38" s="2">
        <v>0</v>
      </c>
      <c r="GF38" s="2">
        <v>946953562</v>
      </c>
      <c r="GG38" s="2">
        <v>2</v>
      </c>
      <c r="GH38" s="2">
        <v>1</v>
      </c>
      <c r="GI38" s="2">
        <v>-2</v>
      </c>
      <c r="GJ38" s="2">
        <v>0</v>
      </c>
      <c r="GK38" s="2">
        <f>ROUND(R38*(R12)/100,2)</f>
        <v>0</v>
      </c>
      <c r="GL38" s="2">
        <f t="shared" si="40"/>
        <v>0</v>
      </c>
      <c r="GM38" s="2">
        <f>ROUND(O38+X38+Y38+GK38,2)+GX38</f>
        <v>446119.19</v>
      </c>
      <c r="GN38" s="2">
        <f>IF(OR(BI38=0,BI38=1),ROUND(O38+X38+Y38+GK38,2),0)</f>
        <v>0</v>
      </c>
      <c r="GO38" s="2">
        <f>IF(BI38=2,ROUND(O38+X38+Y38+GK38,2),0)</f>
        <v>0</v>
      </c>
      <c r="GP38" s="2">
        <f>IF(BI38=4,ROUND(O38+X38+Y38+GK38,2)+GX38,0)</f>
        <v>446119.19</v>
      </c>
      <c r="GR38" s="2">
        <v>0</v>
      </c>
      <c r="GS38" s="2">
        <v>3</v>
      </c>
      <c r="GT38" s="2">
        <v>0</v>
      </c>
      <c r="GU38" s="2" t="s">
        <v>30</v>
      </c>
      <c r="GV38" s="2">
        <f t="shared" si="45"/>
        <v>0</v>
      </c>
      <c r="GW38" s="2">
        <v>1</v>
      </c>
      <c r="GX38" s="2">
        <f t="shared" si="46"/>
        <v>0</v>
      </c>
      <c r="HA38" s="2">
        <v>0</v>
      </c>
      <c r="HB38" s="2">
        <v>0</v>
      </c>
      <c r="HC38" s="2">
        <f t="shared" si="47"/>
        <v>0</v>
      </c>
      <c r="HE38" s="2" t="s">
        <v>30</v>
      </c>
      <c r="HF38" s="2" t="s">
        <v>30</v>
      </c>
      <c r="HM38" s="2" t="s">
        <v>30</v>
      </c>
      <c r="HN38" s="2" t="s">
        <v>30</v>
      </c>
      <c r="HO38" s="2" t="s">
        <v>30</v>
      </c>
      <c r="HP38" s="2" t="s">
        <v>30</v>
      </c>
      <c r="HQ38" s="2" t="s">
        <v>30</v>
      </c>
      <c r="IK38" s="2">
        <v>0</v>
      </c>
    </row>
    <row r="40" spans="1:245" ht="13" x14ac:dyDescent="0.3">
      <c r="A40" s="44">
        <v>51</v>
      </c>
      <c r="B40" s="44">
        <f>B24</f>
        <v>1</v>
      </c>
      <c r="C40" s="44">
        <f>A24</f>
        <v>4</v>
      </c>
      <c r="D40" s="44">
        <f>ROW(A24)</f>
        <v>24</v>
      </c>
      <c r="E40" s="44"/>
      <c r="F40" s="44" t="str">
        <f>IF(F24&lt;&gt;"",F24,"")</f>
        <v>Новый раздел</v>
      </c>
      <c r="G40" s="44" t="str">
        <f>IF(G24&lt;&gt;"",G24,"")</f>
        <v>Ремонт дорожно-тропиночной сети с асфальтобетонным покрытием  - 1294 м2</v>
      </c>
      <c r="H40" s="44">
        <v>0</v>
      </c>
      <c r="I40" s="44"/>
      <c r="J40" s="44"/>
      <c r="K40" s="44"/>
      <c r="L40" s="44"/>
      <c r="M40" s="44"/>
      <c r="N40" s="44"/>
      <c r="O40" s="44">
        <f t="shared" ref="O40:T40" si="50">ROUND(AB40,2)</f>
        <v>872143.03</v>
      </c>
      <c r="P40" s="44">
        <f t="shared" si="50"/>
        <v>506865.56</v>
      </c>
      <c r="Q40" s="44">
        <f t="shared" si="50"/>
        <v>324348.17</v>
      </c>
      <c r="R40" s="44">
        <f t="shared" si="50"/>
        <v>158501.45000000001</v>
      </c>
      <c r="S40" s="44">
        <f t="shared" si="50"/>
        <v>40929.300000000003</v>
      </c>
      <c r="T40" s="44">
        <f t="shared" si="50"/>
        <v>0</v>
      </c>
      <c r="U40" s="44">
        <f>AH40</f>
        <v>176.87297799999999</v>
      </c>
      <c r="V40" s="44">
        <f>AI40</f>
        <v>0</v>
      </c>
      <c r="W40" s="44">
        <f>ROUND(AJ40,2)</f>
        <v>0</v>
      </c>
      <c r="X40" s="44">
        <f>ROUND(AK40,2)</f>
        <v>28650.51</v>
      </c>
      <c r="Y40" s="44">
        <f>ROUND(AL40,2)</f>
        <v>4092.93</v>
      </c>
      <c r="Z40" s="44"/>
      <c r="AA40" s="44"/>
      <c r="AB40" s="44">
        <f>ROUND(SUMIF(AA28:AA38,"=52262273",O28:O38),2)</f>
        <v>872143.03</v>
      </c>
      <c r="AC40" s="44">
        <f>ROUND(SUMIF(AA28:AA38,"=52262273",P28:P38),2)</f>
        <v>506865.56</v>
      </c>
      <c r="AD40" s="44">
        <f>ROUND(SUMIF(AA28:AA38,"=52262273",Q28:Q38),2)</f>
        <v>324348.17</v>
      </c>
      <c r="AE40" s="44">
        <f>ROUND(SUMIF(AA28:AA38,"=52262273",R28:R38),2)</f>
        <v>158501.45000000001</v>
      </c>
      <c r="AF40" s="44">
        <f>ROUND(SUMIF(AA28:AA38,"=52262273",S28:S38),2)</f>
        <v>40929.300000000003</v>
      </c>
      <c r="AG40" s="44">
        <f>ROUND(SUMIF(AA28:AA38,"=52262273",T28:T38),2)</f>
        <v>0</v>
      </c>
      <c r="AH40" s="44">
        <f>SUMIF(AA28:AA38,"=52262273",U28:U38)</f>
        <v>176.87297799999999</v>
      </c>
      <c r="AI40" s="44">
        <f>SUMIF(AA28:AA38,"=52262273",V28:V38)</f>
        <v>0</v>
      </c>
      <c r="AJ40" s="44">
        <f>ROUND(SUMIF(AA28:AA38,"=52262273",W28:W38),2)</f>
        <v>0</v>
      </c>
      <c r="AK40" s="44">
        <f>ROUND(SUMIF(AA28:AA38,"=52262273",X28:X38),2)</f>
        <v>28650.51</v>
      </c>
      <c r="AL40" s="44">
        <f>ROUND(SUMIF(AA28:AA38,"=52262273",Y28:Y38),2)</f>
        <v>4092.93</v>
      </c>
      <c r="AM40" s="44"/>
      <c r="AN40" s="44"/>
      <c r="AO40" s="44">
        <f t="shared" ref="AO40:BD40" si="51">ROUND(BX40,2)</f>
        <v>0</v>
      </c>
      <c r="AP40" s="44">
        <f t="shared" si="51"/>
        <v>0</v>
      </c>
      <c r="AQ40" s="44">
        <f t="shared" si="51"/>
        <v>0</v>
      </c>
      <c r="AR40" s="44">
        <f t="shared" si="51"/>
        <v>934143.16</v>
      </c>
      <c r="AS40" s="44">
        <f t="shared" si="51"/>
        <v>0</v>
      </c>
      <c r="AT40" s="44">
        <f t="shared" si="51"/>
        <v>0</v>
      </c>
      <c r="AU40" s="44">
        <f t="shared" si="51"/>
        <v>934143.16</v>
      </c>
      <c r="AV40" s="44">
        <f t="shared" si="51"/>
        <v>506865.56</v>
      </c>
      <c r="AW40" s="44">
        <f t="shared" si="51"/>
        <v>506865.56</v>
      </c>
      <c r="AX40" s="44">
        <f t="shared" si="51"/>
        <v>0</v>
      </c>
      <c r="AY40" s="44">
        <f t="shared" si="51"/>
        <v>506865.56</v>
      </c>
      <c r="AZ40" s="44">
        <f t="shared" si="51"/>
        <v>0</v>
      </c>
      <c r="BA40" s="44">
        <f t="shared" si="51"/>
        <v>0</v>
      </c>
      <c r="BB40" s="44">
        <f t="shared" si="51"/>
        <v>0</v>
      </c>
      <c r="BC40" s="44">
        <f t="shared" si="51"/>
        <v>0</v>
      </c>
      <c r="BD40" s="44">
        <f t="shared" si="51"/>
        <v>0</v>
      </c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>
        <f>ROUND(SUMIF(AA28:AA38,"=52262273",FQ28:FQ38),2)</f>
        <v>0</v>
      </c>
      <c r="BY40" s="44">
        <f>ROUND(SUMIF(AA28:AA38,"=52262273",FR28:FR38),2)</f>
        <v>0</v>
      </c>
      <c r="BZ40" s="44">
        <f>ROUND(SUMIF(AA28:AA38,"=52262273",GL28:GL38),2)</f>
        <v>0</v>
      </c>
      <c r="CA40" s="44">
        <f>ROUND(SUMIF(AA28:AA38,"=52262273",GM28:GM38),2)</f>
        <v>934143.16</v>
      </c>
      <c r="CB40" s="44">
        <f>ROUND(SUMIF(AA28:AA38,"=52262273",GN28:GN38),2)</f>
        <v>0</v>
      </c>
      <c r="CC40" s="44">
        <f>ROUND(SUMIF(AA28:AA38,"=52262273",GO28:GO38),2)</f>
        <v>0</v>
      </c>
      <c r="CD40" s="44">
        <f>ROUND(SUMIF(AA28:AA38,"=52262273",GP28:GP38),2)</f>
        <v>934143.16</v>
      </c>
      <c r="CE40" s="44">
        <f>AC40-BX40</f>
        <v>506865.56</v>
      </c>
      <c r="CF40" s="44">
        <f>AC40-BY40</f>
        <v>506865.56</v>
      </c>
      <c r="CG40" s="44">
        <f>BX40-BZ40</f>
        <v>0</v>
      </c>
      <c r="CH40" s="44">
        <f>AC40-BX40-BY40+BZ40</f>
        <v>506865.56</v>
      </c>
      <c r="CI40" s="44">
        <f>BY40-BZ40</f>
        <v>0</v>
      </c>
      <c r="CJ40" s="44">
        <f>ROUND(SUMIF(AA28:AA38,"=52262273",GX28:GX38),2)</f>
        <v>0</v>
      </c>
      <c r="CK40" s="44">
        <f>ROUND(SUMIF(AA28:AA38,"=52262273",GY28:GY38),2)</f>
        <v>0</v>
      </c>
      <c r="CL40" s="44">
        <f>ROUND(SUMIF(AA28:AA38,"=52262273",GZ28:GZ38),2)</f>
        <v>0</v>
      </c>
      <c r="CM40" s="44">
        <f>ROUND(SUMIF(AA28:AA38,"=52262273",HD28:HD38),2)</f>
        <v>0</v>
      </c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5"/>
      <c r="DH40" s="45"/>
      <c r="DI40" s="45"/>
      <c r="DJ40" s="45"/>
      <c r="DK40" s="45"/>
      <c r="DL40" s="45"/>
      <c r="DM40" s="45"/>
      <c r="DN40" s="45"/>
      <c r="DO40" s="45"/>
      <c r="DP40" s="45"/>
      <c r="DQ40" s="45"/>
      <c r="DR40" s="45"/>
      <c r="DS40" s="45"/>
      <c r="DT40" s="45"/>
      <c r="DU40" s="45"/>
      <c r="DV40" s="45"/>
      <c r="DW40" s="45"/>
      <c r="DX40" s="45"/>
      <c r="DY40" s="45"/>
      <c r="DZ40" s="45"/>
      <c r="EA40" s="45"/>
      <c r="EB40" s="45"/>
      <c r="EC40" s="45"/>
      <c r="ED40" s="45"/>
      <c r="EE40" s="45"/>
      <c r="EF40" s="45"/>
      <c r="EG40" s="45"/>
      <c r="EH40" s="45"/>
      <c r="EI40" s="45"/>
      <c r="EJ40" s="45"/>
      <c r="EK40" s="45"/>
      <c r="EL40" s="45"/>
      <c r="EM40" s="45"/>
      <c r="EN40" s="45"/>
      <c r="EO40" s="45"/>
      <c r="EP40" s="45"/>
      <c r="EQ40" s="45"/>
      <c r="ER40" s="45"/>
      <c r="ES40" s="45"/>
      <c r="ET40" s="45"/>
      <c r="EU40" s="45"/>
      <c r="EV40" s="45"/>
      <c r="EW40" s="45"/>
      <c r="EX40" s="45"/>
      <c r="EY40" s="45"/>
      <c r="EZ40" s="45"/>
      <c r="FA40" s="45"/>
      <c r="FB40" s="45"/>
      <c r="FC40" s="45"/>
      <c r="FD40" s="45"/>
      <c r="FE40" s="45"/>
      <c r="FF40" s="45"/>
      <c r="FG40" s="45"/>
      <c r="FH40" s="45"/>
      <c r="FI40" s="45"/>
      <c r="FJ40" s="45"/>
      <c r="FK40" s="45"/>
      <c r="FL40" s="45"/>
      <c r="FM40" s="45"/>
      <c r="FN40" s="45"/>
      <c r="FO40" s="45"/>
      <c r="FP40" s="45"/>
      <c r="FQ40" s="45"/>
      <c r="FR40" s="45"/>
      <c r="FS40" s="45"/>
      <c r="FT40" s="45"/>
      <c r="FU40" s="45"/>
      <c r="FV40" s="45"/>
      <c r="FW40" s="45"/>
      <c r="FX40" s="45"/>
      <c r="FY40" s="45"/>
      <c r="FZ40" s="45"/>
      <c r="GA40" s="45"/>
      <c r="GB40" s="45"/>
      <c r="GC40" s="45"/>
      <c r="GD40" s="45"/>
      <c r="GE40" s="45"/>
      <c r="GF40" s="45"/>
      <c r="GG40" s="45"/>
      <c r="GH40" s="45"/>
      <c r="GI40" s="45"/>
      <c r="GJ40" s="45"/>
      <c r="GK40" s="45"/>
      <c r="GL40" s="45"/>
      <c r="GM40" s="45"/>
      <c r="GN40" s="45"/>
      <c r="GO40" s="45"/>
      <c r="GP40" s="45"/>
      <c r="GQ40" s="45"/>
      <c r="GR40" s="45"/>
      <c r="GS40" s="45"/>
      <c r="GT40" s="45"/>
      <c r="GU40" s="45"/>
      <c r="GV40" s="45"/>
      <c r="GW40" s="45"/>
      <c r="GX40" s="45">
        <v>0</v>
      </c>
    </row>
    <row r="42" spans="1:245" ht="13" x14ac:dyDescent="0.3">
      <c r="A42" s="46">
        <v>50</v>
      </c>
      <c r="B42" s="46">
        <v>0</v>
      </c>
      <c r="C42" s="46">
        <v>0</v>
      </c>
      <c r="D42" s="46">
        <v>1</v>
      </c>
      <c r="E42" s="46">
        <v>201</v>
      </c>
      <c r="F42" s="46">
        <f>ROUND('Source (2)'!O40,O42)</f>
        <v>872143.03</v>
      </c>
      <c r="G42" s="46" t="s">
        <v>214</v>
      </c>
      <c r="H42" s="46" t="s">
        <v>215</v>
      </c>
      <c r="I42" s="46"/>
      <c r="J42" s="46"/>
      <c r="K42" s="46">
        <v>201</v>
      </c>
      <c r="L42" s="46">
        <v>1</v>
      </c>
      <c r="M42" s="46">
        <v>3</v>
      </c>
      <c r="N42" s="46" t="s">
        <v>30</v>
      </c>
      <c r="O42" s="46">
        <v>2</v>
      </c>
      <c r="P42" s="46"/>
      <c r="Q42" s="46"/>
      <c r="R42" s="46"/>
      <c r="S42" s="46"/>
      <c r="T42" s="46"/>
      <c r="U42" s="46"/>
      <c r="V42" s="46"/>
      <c r="W42" s="46">
        <v>872143.03</v>
      </c>
      <c r="X42" s="46">
        <v>1</v>
      </c>
      <c r="Y42" s="46">
        <v>872143.03</v>
      </c>
      <c r="Z42" s="46"/>
      <c r="AA42" s="46"/>
      <c r="AB42" s="46"/>
    </row>
    <row r="43" spans="1:245" ht="13" x14ac:dyDescent="0.3">
      <c r="A43" s="46">
        <v>50</v>
      </c>
      <c r="B43" s="46">
        <v>0</v>
      </c>
      <c r="C43" s="46">
        <v>0</v>
      </c>
      <c r="D43" s="46">
        <v>1</v>
      </c>
      <c r="E43" s="46">
        <v>202</v>
      </c>
      <c r="F43" s="46">
        <f>ROUND('Source (2)'!P40,O43)</f>
        <v>506865.56</v>
      </c>
      <c r="G43" s="46" t="s">
        <v>216</v>
      </c>
      <c r="H43" s="46" t="s">
        <v>217</v>
      </c>
      <c r="I43" s="46"/>
      <c r="J43" s="46"/>
      <c r="K43" s="46">
        <v>202</v>
      </c>
      <c r="L43" s="46">
        <v>2</v>
      </c>
      <c r="M43" s="46">
        <v>3</v>
      </c>
      <c r="N43" s="46" t="s">
        <v>30</v>
      </c>
      <c r="O43" s="46">
        <v>2</v>
      </c>
      <c r="P43" s="46"/>
      <c r="Q43" s="46"/>
      <c r="R43" s="46"/>
      <c r="S43" s="46"/>
      <c r="T43" s="46"/>
      <c r="U43" s="46"/>
      <c r="V43" s="46"/>
      <c r="W43" s="46">
        <v>506865.56</v>
      </c>
      <c r="X43" s="46">
        <v>1</v>
      </c>
      <c r="Y43" s="46">
        <v>506865.56</v>
      </c>
      <c r="Z43" s="46"/>
      <c r="AA43" s="46"/>
      <c r="AB43" s="46"/>
    </row>
    <row r="44" spans="1:245" ht="13" x14ac:dyDescent="0.3">
      <c r="A44" s="46">
        <v>50</v>
      </c>
      <c r="B44" s="46">
        <v>0</v>
      </c>
      <c r="C44" s="46">
        <v>0</v>
      </c>
      <c r="D44" s="46">
        <v>1</v>
      </c>
      <c r="E44" s="46">
        <v>222</v>
      </c>
      <c r="F44" s="46">
        <f>ROUND('Source (2)'!AO40,O44)</f>
        <v>0</v>
      </c>
      <c r="G44" s="46" t="s">
        <v>218</v>
      </c>
      <c r="H44" s="46" t="s">
        <v>219</v>
      </c>
      <c r="I44" s="46"/>
      <c r="J44" s="46"/>
      <c r="K44" s="46">
        <v>222</v>
      </c>
      <c r="L44" s="46">
        <v>3</v>
      </c>
      <c r="M44" s="46">
        <v>3</v>
      </c>
      <c r="N44" s="46" t="s">
        <v>30</v>
      </c>
      <c r="O44" s="46">
        <v>2</v>
      </c>
      <c r="P44" s="46"/>
      <c r="Q44" s="46"/>
      <c r="R44" s="46"/>
      <c r="S44" s="46"/>
      <c r="T44" s="46"/>
      <c r="U44" s="46"/>
      <c r="V44" s="46"/>
      <c r="W44" s="46">
        <v>0</v>
      </c>
      <c r="X44" s="46">
        <v>1</v>
      </c>
      <c r="Y44" s="46">
        <v>0</v>
      </c>
      <c r="Z44" s="46"/>
      <c r="AA44" s="46"/>
      <c r="AB44" s="46"/>
    </row>
    <row r="45" spans="1:245" ht="13" x14ac:dyDescent="0.3">
      <c r="A45" s="46">
        <v>50</v>
      </c>
      <c r="B45" s="46">
        <v>0</v>
      </c>
      <c r="C45" s="46">
        <v>0</v>
      </c>
      <c r="D45" s="46">
        <v>1</v>
      </c>
      <c r="E45" s="46">
        <v>225</v>
      </c>
      <c r="F45" s="46">
        <f>ROUND('Source (2)'!AV40,O45)</f>
        <v>506865.56</v>
      </c>
      <c r="G45" s="46" t="s">
        <v>220</v>
      </c>
      <c r="H45" s="46" t="s">
        <v>221</v>
      </c>
      <c r="I45" s="46"/>
      <c r="J45" s="46"/>
      <c r="K45" s="46">
        <v>225</v>
      </c>
      <c r="L45" s="46">
        <v>4</v>
      </c>
      <c r="M45" s="46">
        <v>3</v>
      </c>
      <c r="N45" s="46" t="s">
        <v>30</v>
      </c>
      <c r="O45" s="46">
        <v>2</v>
      </c>
      <c r="P45" s="46"/>
      <c r="Q45" s="46"/>
      <c r="R45" s="46"/>
      <c r="S45" s="46"/>
      <c r="T45" s="46"/>
      <c r="U45" s="46"/>
      <c r="V45" s="46"/>
      <c r="W45" s="46">
        <v>506865.56</v>
      </c>
      <c r="X45" s="46">
        <v>1</v>
      </c>
      <c r="Y45" s="46">
        <v>506865.56</v>
      </c>
      <c r="Z45" s="46"/>
      <c r="AA45" s="46"/>
      <c r="AB45" s="46"/>
    </row>
    <row r="46" spans="1:245" ht="13" x14ac:dyDescent="0.3">
      <c r="A46" s="46">
        <v>50</v>
      </c>
      <c r="B46" s="46">
        <v>0</v>
      </c>
      <c r="C46" s="46">
        <v>0</v>
      </c>
      <c r="D46" s="46">
        <v>1</v>
      </c>
      <c r="E46" s="46">
        <v>226</v>
      </c>
      <c r="F46" s="46">
        <f>ROUND('Source (2)'!AW40,O46)</f>
        <v>506865.56</v>
      </c>
      <c r="G46" s="46" t="s">
        <v>222</v>
      </c>
      <c r="H46" s="46" t="s">
        <v>223</v>
      </c>
      <c r="I46" s="46"/>
      <c r="J46" s="46"/>
      <c r="K46" s="46">
        <v>226</v>
      </c>
      <c r="L46" s="46">
        <v>5</v>
      </c>
      <c r="M46" s="46">
        <v>3</v>
      </c>
      <c r="N46" s="46" t="s">
        <v>30</v>
      </c>
      <c r="O46" s="46">
        <v>2</v>
      </c>
      <c r="P46" s="46"/>
      <c r="Q46" s="46"/>
      <c r="R46" s="46"/>
      <c r="S46" s="46"/>
      <c r="T46" s="46"/>
      <c r="U46" s="46"/>
      <c r="V46" s="46"/>
      <c r="W46" s="46">
        <v>506865.56</v>
      </c>
      <c r="X46" s="46">
        <v>1</v>
      </c>
      <c r="Y46" s="46">
        <v>506865.56</v>
      </c>
      <c r="Z46" s="46"/>
      <c r="AA46" s="46"/>
      <c r="AB46" s="46"/>
    </row>
    <row r="47" spans="1:245" ht="13" x14ac:dyDescent="0.3">
      <c r="A47" s="46">
        <v>50</v>
      </c>
      <c r="B47" s="46">
        <v>0</v>
      </c>
      <c r="C47" s="46">
        <v>0</v>
      </c>
      <c r="D47" s="46">
        <v>1</v>
      </c>
      <c r="E47" s="46">
        <v>227</v>
      </c>
      <c r="F47" s="46">
        <f>ROUND('Source (2)'!AX40,O47)</f>
        <v>0</v>
      </c>
      <c r="G47" s="46" t="s">
        <v>224</v>
      </c>
      <c r="H47" s="46" t="s">
        <v>225</v>
      </c>
      <c r="I47" s="46"/>
      <c r="J47" s="46"/>
      <c r="K47" s="46">
        <v>227</v>
      </c>
      <c r="L47" s="46">
        <v>6</v>
      </c>
      <c r="M47" s="46">
        <v>3</v>
      </c>
      <c r="N47" s="46" t="s">
        <v>30</v>
      </c>
      <c r="O47" s="46">
        <v>2</v>
      </c>
      <c r="P47" s="46"/>
      <c r="Q47" s="46"/>
      <c r="R47" s="46"/>
      <c r="S47" s="46"/>
      <c r="T47" s="46"/>
      <c r="U47" s="46"/>
      <c r="V47" s="46"/>
      <c r="W47" s="46">
        <v>0</v>
      </c>
      <c r="X47" s="46">
        <v>1</v>
      </c>
      <c r="Y47" s="46">
        <v>0</v>
      </c>
      <c r="Z47" s="46"/>
      <c r="AA47" s="46"/>
      <c r="AB47" s="46"/>
    </row>
    <row r="48" spans="1:245" ht="13" x14ac:dyDescent="0.3">
      <c r="A48" s="46">
        <v>50</v>
      </c>
      <c r="B48" s="46">
        <v>0</v>
      </c>
      <c r="C48" s="46">
        <v>0</v>
      </c>
      <c r="D48" s="46">
        <v>1</v>
      </c>
      <c r="E48" s="46">
        <v>228</v>
      </c>
      <c r="F48" s="46">
        <f>ROUND('Source (2)'!AY40,O48)</f>
        <v>506865.56</v>
      </c>
      <c r="G48" s="46" t="s">
        <v>226</v>
      </c>
      <c r="H48" s="46" t="s">
        <v>227</v>
      </c>
      <c r="I48" s="46"/>
      <c r="J48" s="46"/>
      <c r="K48" s="46">
        <v>228</v>
      </c>
      <c r="L48" s="46">
        <v>7</v>
      </c>
      <c r="M48" s="46">
        <v>3</v>
      </c>
      <c r="N48" s="46" t="s">
        <v>30</v>
      </c>
      <c r="O48" s="46">
        <v>2</v>
      </c>
      <c r="P48" s="46"/>
      <c r="Q48" s="46"/>
      <c r="R48" s="46"/>
      <c r="S48" s="46"/>
      <c r="T48" s="46"/>
      <c r="U48" s="46"/>
      <c r="V48" s="46"/>
      <c r="W48" s="46">
        <v>506865.56</v>
      </c>
      <c r="X48" s="46">
        <v>1</v>
      </c>
      <c r="Y48" s="46">
        <v>506865.56</v>
      </c>
      <c r="Z48" s="46"/>
      <c r="AA48" s="46"/>
      <c r="AB48" s="46"/>
    </row>
    <row r="49" spans="1:28" ht="13" x14ac:dyDescent="0.3">
      <c r="A49" s="46">
        <v>50</v>
      </c>
      <c r="B49" s="46">
        <v>0</v>
      </c>
      <c r="C49" s="46">
        <v>0</v>
      </c>
      <c r="D49" s="46">
        <v>1</v>
      </c>
      <c r="E49" s="46">
        <v>216</v>
      </c>
      <c r="F49" s="46">
        <f>ROUND('Source (2)'!AP40,O49)</f>
        <v>0</v>
      </c>
      <c r="G49" s="46" t="s">
        <v>228</v>
      </c>
      <c r="H49" s="46" t="s">
        <v>229</v>
      </c>
      <c r="I49" s="46"/>
      <c r="J49" s="46"/>
      <c r="K49" s="46">
        <v>216</v>
      </c>
      <c r="L49" s="46">
        <v>8</v>
      </c>
      <c r="M49" s="46">
        <v>3</v>
      </c>
      <c r="N49" s="46" t="s">
        <v>30</v>
      </c>
      <c r="O49" s="46">
        <v>2</v>
      </c>
      <c r="P49" s="46"/>
      <c r="Q49" s="46"/>
      <c r="R49" s="46"/>
      <c r="S49" s="46"/>
      <c r="T49" s="46"/>
      <c r="U49" s="46"/>
      <c r="V49" s="46"/>
      <c r="W49" s="46">
        <v>0</v>
      </c>
      <c r="X49" s="46">
        <v>1</v>
      </c>
      <c r="Y49" s="46">
        <v>0</v>
      </c>
      <c r="Z49" s="46"/>
      <c r="AA49" s="46"/>
      <c r="AB49" s="46"/>
    </row>
    <row r="50" spans="1:28" ht="13" x14ac:dyDescent="0.3">
      <c r="A50" s="46">
        <v>50</v>
      </c>
      <c r="B50" s="46">
        <v>0</v>
      </c>
      <c r="C50" s="46">
        <v>0</v>
      </c>
      <c r="D50" s="46">
        <v>1</v>
      </c>
      <c r="E50" s="46">
        <v>223</v>
      </c>
      <c r="F50" s="46">
        <f>ROUND('Source (2)'!AQ40,O50)</f>
        <v>0</v>
      </c>
      <c r="G50" s="46" t="s">
        <v>230</v>
      </c>
      <c r="H50" s="46" t="s">
        <v>231</v>
      </c>
      <c r="I50" s="46"/>
      <c r="J50" s="46"/>
      <c r="K50" s="46">
        <v>223</v>
      </c>
      <c r="L50" s="46">
        <v>9</v>
      </c>
      <c r="M50" s="46">
        <v>3</v>
      </c>
      <c r="N50" s="46" t="s">
        <v>30</v>
      </c>
      <c r="O50" s="46">
        <v>2</v>
      </c>
      <c r="P50" s="46"/>
      <c r="Q50" s="46"/>
      <c r="R50" s="46"/>
      <c r="S50" s="46"/>
      <c r="T50" s="46"/>
      <c r="U50" s="46"/>
      <c r="V50" s="46"/>
      <c r="W50" s="46">
        <v>0</v>
      </c>
      <c r="X50" s="46">
        <v>1</v>
      </c>
      <c r="Y50" s="46">
        <v>0</v>
      </c>
      <c r="Z50" s="46"/>
      <c r="AA50" s="46"/>
      <c r="AB50" s="46"/>
    </row>
    <row r="51" spans="1:28" ht="13" x14ac:dyDescent="0.3">
      <c r="A51" s="46">
        <v>50</v>
      </c>
      <c r="B51" s="46">
        <v>0</v>
      </c>
      <c r="C51" s="46">
        <v>0</v>
      </c>
      <c r="D51" s="46">
        <v>1</v>
      </c>
      <c r="E51" s="46">
        <v>229</v>
      </c>
      <c r="F51" s="46">
        <f>ROUND('Source (2)'!AZ40,O51)</f>
        <v>0</v>
      </c>
      <c r="G51" s="46" t="s">
        <v>232</v>
      </c>
      <c r="H51" s="46" t="s">
        <v>233</v>
      </c>
      <c r="I51" s="46"/>
      <c r="J51" s="46"/>
      <c r="K51" s="46">
        <v>229</v>
      </c>
      <c r="L51" s="46">
        <v>10</v>
      </c>
      <c r="M51" s="46">
        <v>3</v>
      </c>
      <c r="N51" s="46" t="s">
        <v>30</v>
      </c>
      <c r="O51" s="46">
        <v>2</v>
      </c>
      <c r="P51" s="46"/>
      <c r="Q51" s="46"/>
      <c r="R51" s="46"/>
      <c r="S51" s="46"/>
      <c r="T51" s="46"/>
      <c r="U51" s="46"/>
      <c r="V51" s="46"/>
      <c r="W51" s="46">
        <v>0</v>
      </c>
      <c r="X51" s="46">
        <v>1</v>
      </c>
      <c r="Y51" s="46">
        <v>0</v>
      </c>
      <c r="Z51" s="46"/>
      <c r="AA51" s="46"/>
      <c r="AB51" s="46"/>
    </row>
    <row r="52" spans="1:28" ht="13" x14ac:dyDescent="0.3">
      <c r="A52" s="46">
        <v>50</v>
      </c>
      <c r="B52" s="46">
        <v>0</v>
      </c>
      <c r="C52" s="46">
        <v>0</v>
      </c>
      <c r="D52" s="46">
        <v>1</v>
      </c>
      <c r="E52" s="46">
        <v>203</v>
      </c>
      <c r="F52" s="46">
        <f>ROUND('Source (2)'!Q40,O52)</f>
        <v>324348.17</v>
      </c>
      <c r="G52" s="46" t="s">
        <v>234</v>
      </c>
      <c r="H52" s="46" t="s">
        <v>235</v>
      </c>
      <c r="I52" s="46"/>
      <c r="J52" s="46"/>
      <c r="K52" s="46">
        <v>203</v>
      </c>
      <c r="L52" s="46">
        <v>11</v>
      </c>
      <c r="M52" s="46">
        <v>3</v>
      </c>
      <c r="N52" s="46" t="s">
        <v>30</v>
      </c>
      <c r="O52" s="46">
        <v>2</v>
      </c>
      <c r="P52" s="46"/>
      <c r="Q52" s="46"/>
      <c r="R52" s="46"/>
      <c r="S52" s="46"/>
      <c r="T52" s="46"/>
      <c r="U52" s="46"/>
      <c r="V52" s="46"/>
      <c r="W52" s="46">
        <v>324348.17</v>
      </c>
      <c r="X52" s="46">
        <v>1</v>
      </c>
      <c r="Y52" s="46">
        <v>324348.17</v>
      </c>
      <c r="Z52" s="46"/>
      <c r="AA52" s="46"/>
      <c r="AB52" s="46"/>
    </row>
    <row r="53" spans="1:28" ht="13" x14ac:dyDescent="0.3">
      <c r="A53" s="46">
        <v>50</v>
      </c>
      <c r="B53" s="46">
        <v>0</v>
      </c>
      <c r="C53" s="46">
        <v>0</v>
      </c>
      <c r="D53" s="46">
        <v>1</v>
      </c>
      <c r="E53" s="46">
        <v>231</v>
      </c>
      <c r="F53" s="46">
        <f>ROUND('Source (2)'!BB40,O53)</f>
        <v>0</v>
      </c>
      <c r="G53" s="46" t="s">
        <v>236</v>
      </c>
      <c r="H53" s="46" t="s">
        <v>237</v>
      </c>
      <c r="I53" s="46"/>
      <c r="J53" s="46"/>
      <c r="K53" s="46">
        <v>231</v>
      </c>
      <c r="L53" s="46">
        <v>12</v>
      </c>
      <c r="M53" s="46">
        <v>3</v>
      </c>
      <c r="N53" s="46" t="s">
        <v>30</v>
      </c>
      <c r="O53" s="46">
        <v>2</v>
      </c>
      <c r="P53" s="46"/>
      <c r="Q53" s="46"/>
      <c r="R53" s="46"/>
      <c r="S53" s="46"/>
      <c r="T53" s="46"/>
      <c r="U53" s="46"/>
      <c r="V53" s="46"/>
      <c r="W53" s="46">
        <v>0</v>
      </c>
      <c r="X53" s="46">
        <v>1</v>
      </c>
      <c r="Y53" s="46">
        <v>0</v>
      </c>
      <c r="Z53" s="46"/>
      <c r="AA53" s="46"/>
      <c r="AB53" s="46"/>
    </row>
    <row r="54" spans="1:28" ht="13" x14ac:dyDescent="0.3">
      <c r="A54" s="46">
        <v>50</v>
      </c>
      <c r="B54" s="46">
        <v>0</v>
      </c>
      <c r="C54" s="46">
        <v>0</v>
      </c>
      <c r="D54" s="46">
        <v>1</v>
      </c>
      <c r="E54" s="46">
        <v>204</v>
      </c>
      <c r="F54" s="46">
        <f>ROUND('Source (2)'!R40,O54)</f>
        <v>158501.45000000001</v>
      </c>
      <c r="G54" s="46" t="s">
        <v>238</v>
      </c>
      <c r="H54" s="46" t="s">
        <v>239</v>
      </c>
      <c r="I54" s="46"/>
      <c r="J54" s="46"/>
      <c r="K54" s="46">
        <v>204</v>
      </c>
      <c r="L54" s="46">
        <v>13</v>
      </c>
      <c r="M54" s="46">
        <v>3</v>
      </c>
      <c r="N54" s="46" t="s">
        <v>30</v>
      </c>
      <c r="O54" s="46">
        <v>2</v>
      </c>
      <c r="P54" s="46"/>
      <c r="Q54" s="46"/>
      <c r="R54" s="46"/>
      <c r="S54" s="46"/>
      <c r="T54" s="46"/>
      <c r="U54" s="46"/>
      <c r="V54" s="46"/>
      <c r="W54" s="46">
        <v>158501.45000000001</v>
      </c>
      <c r="X54" s="46">
        <v>1</v>
      </c>
      <c r="Y54" s="46">
        <v>158501.45000000001</v>
      </c>
      <c r="Z54" s="46"/>
      <c r="AA54" s="46"/>
      <c r="AB54" s="46"/>
    </row>
    <row r="55" spans="1:28" ht="13" x14ac:dyDescent="0.3">
      <c r="A55" s="46">
        <v>50</v>
      </c>
      <c r="B55" s="46">
        <v>0</v>
      </c>
      <c r="C55" s="46">
        <v>0</v>
      </c>
      <c r="D55" s="46">
        <v>1</v>
      </c>
      <c r="E55" s="46">
        <v>205</v>
      </c>
      <c r="F55" s="46">
        <f>ROUND('Source (2)'!S40,O55)</f>
        <v>40929.300000000003</v>
      </c>
      <c r="G55" s="46" t="s">
        <v>240</v>
      </c>
      <c r="H55" s="46" t="s">
        <v>241</v>
      </c>
      <c r="I55" s="46"/>
      <c r="J55" s="46"/>
      <c r="K55" s="46">
        <v>205</v>
      </c>
      <c r="L55" s="46">
        <v>14</v>
      </c>
      <c r="M55" s="46">
        <v>3</v>
      </c>
      <c r="N55" s="46" t="s">
        <v>30</v>
      </c>
      <c r="O55" s="46">
        <v>2</v>
      </c>
      <c r="P55" s="46"/>
      <c r="Q55" s="46"/>
      <c r="R55" s="46"/>
      <c r="S55" s="46"/>
      <c r="T55" s="46"/>
      <c r="U55" s="46"/>
      <c r="V55" s="46"/>
      <c r="W55" s="46">
        <v>40929.300000000003</v>
      </c>
      <c r="X55" s="46">
        <v>1</v>
      </c>
      <c r="Y55" s="46">
        <v>40929.300000000003</v>
      </c>
      <c r="Z55" s="46"/>
      <c r="AA55" s="46"/>
      <c r="AB55" s="46"/>
    </row>
    <row r="56" spans="1:28" ht="13" x14ac:dyDescent="0.3">
      <c r="A56" s="46">
        <v>50</v>
      </c>
      <c r="B56" s="46">
        <v>0</v>
      </c>
      <c r="C56" s="46">
        <v>0</v>
      </c>
      <c r="D56" s="46">
        <v>1</v>
      </c>
      <c r="E56" s="46">
        <v>232</v>
      </c>
      <c r="F56" s="46">
        <f>ROUND('Source (2)'!BC40,O56)</f>
        <v>0</v>
      </c>
      <c r="G56" s="46" t="s">
        <v>242</v>
      </c>
      <c r="H56" s="46" t="s">
        <v>243</v>
      </c>
      <c r="I56" s="46"/>
      <c r="J56" s="46"/>
      <c r="K56" s="46">
        <v>232</v>
      </c>
      <c r="L56" s="46">
        <v>15</v>
      </c>
      <c r="M56" s="46">
        <v>3</v>
      </c>
      <c r="N56" s="46" t="s">
        <v>30</v>
      </c>
      <c r="O56" s="46">
        <v>2</v>
      </c>
      <c r="P56" s="46"/>
      <c r="Q56" s="46"/>
      <c r="R56" s="46"/>
      <c r="S56" s="46"/>
      <c r="T56" s="46"/>
      <c r="U56" s="46"/>
      <c r="V56" s="46"/>
      <c r="W56" s="46">
        <v>0</v>
      </c>
      <c r="X56" s="46">
        <v>1</v>
      </c>
      <c r="Y56" s="46">
        <v>0</v>
      </c>
      <c r="Z56" s="46"/>
      <c r="AA56" s="46"/>
      <c r="AB56" s="46"/>
    </row>
    <row r="57" spans="1:28" ht="13" x14ac:dyDescent="0.3">
      <c r="A57" s="46">
        <v>50</v>
      </c>
      <c r="B57" s="46">
        <v>0</v>
      </c>
      <c r="C57" s="46">
        <v>0</v>
      </c>
      <c r="D57" s="46">
        <v>1</v>
      </c>
      <c r="E57" s="46">
        <v>214</v>
      </c>
      <c r="F57" s="46">
        <f>ROUND('Source (2)'!AS40,O57)</f>
        <v>0</v>
      </c>
      <c r="G57" s="46" t="s">
        <v>244</v>
      </c>
      <c r="H57" s="46" t="s">
        <v>245</v>
      </c>
      <c r="I57" s="46"/>
      <c r="J57" s="46"/>
      <c r="K57" s="46">
        <v>214</v>
      </c>
      <c r="L57" s="46">
        <v>16</v>
      </c>
      <c r="M57" s="46">
        <v>3</v>
      </c>
      <c r="N57" s="46" t="s">
        <v>30</v>
      </c>
      <c r="O57" s="46">
        <v>2</v>
      </c>
      <c r="P57" s="46"/>
      <c r="Q57" s="46"/>
      <c r="R57" s="46"/>
      <c r="S57" s="46"/>
      <c r="T57" s="46"/>
      <c r="U57" s="46"/>
      <c r="V57" s="46"/>
      <c r="W57" s="46">
        <v>0</v>
      </c>
      <c r="X57" s="46">
        <v>1</v>
      </c>
      <c r="Y57" s="46">
        <v>0</v>
      </c>
      <c r="Z57" s="46"/>
      <c r="AA57" s="46"/>
      <c r="AB57" s="46"/>
    </row>
    <row r="58" spans="1:28" ht="13" x14ac:dyDescent="0.3">
      <c r="A58" s="46">
        <v>50</v>
      </c>
      <c r="B58" s="46">
        <v>0</v>
      </c>
      <c r="C58" s="46">
        <v>0</v>
      </c>
      <c r="D58" s="46">
        <v>1</v>
      </c>
      <c r="E58" s="46">
        <v>215</v>
      </c>
      <c r="F58" s="46">
        <f>ROUND('Source (2)'!AT40,O58)</f>
        <v>0</v>
      </c>
      <c r="G58" s="46" t="s">
        <v>246</v>
      </c>
      <c r="H58" s="46" t="s">
        <v>247</v>
      </c>
      <c r="I58" s="46"/>
      <c r="J58" s="46"/>
      <c r="K58" s="46">
        <v>215</v>
      </c>
      <c r="L58" s="46">
        <v>17</v>
      </c>
      <c r="M58" s="46">
        <v>3</v>
      </c>
      <c r="N58" s="46" t="s">
        <v>30</v>
      </c>
      <c r="O58" s="46">
        <v>2</v>
      </c>
      <c r="P58" s="46"/>
      <c r="Q58" s="46"/>
      <c r="R58" s="46"/>
      <c r="S58" s="46"/>
      <c r="T58" s="46"/>
      <c r="U58" s="46"/>
      <c r="V58" s="46"/>
      <c r="W58" s="46">
        <v>0</v>
      </c>
      <c r="X58" s="46">
        <v>1</v>
      </c>
      <c r="Y58" s="46">
        <v>0</v>
      </c>
      <c r="Z58" s="46"/>
      <c r="AA58" s="46"/>
      <c r="AB58" s="46"/>
    </row>
    <row r="59" spans="1:28" ht="13" x14ac:dyDescent="0.3">
      <c r="A59" s="46">
        <v>50</v>
      </c>
      <c r="B59" s="46">
        <v>0</v>
      </c>
      <c r="C59" s="46">
        <v>0</v>
      </c>
      <c r="D59" s="46">
        <v>1</v>
      </c>
      <c r="E59" s="46">
        <v>217</v>
      </c>
      <c r="F59" s="46">
        <f>ROUND('Source (2)'!AU40,O59)</f>
        <v>934143.16</v>
      </c>
      <c r="G59" s="46" t="s">
        <v>248</v>
      </c>
      <c r="H59" s="46" t="s">
        <v>249</v>
      </c>
      <c r="I59" s="46"/>
      <c r="J59" s="46"/>
      <c r="K59" s="46">
        <v>217</v>
      </c>
      <c r="L59" s="46">
        <v>18</v>
      </c>
      <c r="M59" s="46">
        <v>3</v>
      </c>
      <c r="N59" s="46" t="s">
        <v>30</v>
      </c>
      <c r="O59" s="46">
        <v>2</v>
      </c>
      <c r="P59" s="46"/>
      <c r="Q59" s="46"/>
      <c r="R59" s="46"/>
      <c r="S59" s="46"/>
      <c r="T59" s="46"/>
      <c r="U59" s="46"/>
      <c r="V59" s="46"/>
      <c r="W59" s="46">
        <v>934143.16</v>
      </c>
      <c r="X59" s="46">
        <v>1</v>
      </c>
      <c r="Y59" s="46">
        <v>934143.16</v>
      </c>
      <c r="Z59" s="46"/>
      <c r="AA59" s="46"/>
      <c r="AB59" s="46"/>
    </row>
    <row r="60" spans="1:28" ht="13" x14ac:dyDescent="0.3">
      <c r="A60" s="46">
        <v>50</v>
      </c>
      <c r="B60" s="46">
        <v>0</v>
      </c>
      <c r="C60" s="46">
        <v>0</v>
      </c>
      <c r="D60" s="46">
        <v>1</v>
      </c>
      <c r="E60" s="46">
        <v>230</v>
      </c>
      <c r="F60" s="46">
        <f>ROUND('Source (2)'!BA40,O60)</f>
        <v>0</v>
      </c>
      <c r="G60" s="46" t="s">
        <v>250</v>
      </c>
      <c r="H60" s="46" t="s">
        <v>251</v>
      </c>
      <c r="I60" s="46"/>
      <c r="J60" s="46"/>
      <c r="K60" s="46">
        <v>230</v>
      </c>
      <c r="L60" s="46">
        <v>19</v>
      </c>
      <c r="M60" s="46">
        <v>3</v>
      </c>
      <c r="N60" s="46" t="s">
        <v>30</v>
      </c>
      <c r="O60" s="46">
        <v>2</v>
      </c>
      <c r="P60" s="46"/>
      <c r="Q60" s="46"/>
      <c r="R60" s="46"/>
      <c r="S60" s="46"/>
      <c r="T60" s="46"/>
      <c r="U60" s="46"/>
      <c r="V60" s="46"/>
      <c r="W60" s="46">
        <v>0</v>
      </c>
      <c r="X60" s="46">
        <v>1</v>
      </c>
      <c r="Y60" s="46">
        <v>0</v>
      </c>
      <c r="Z60" s="46"/>
      <c r="AA60" s="46"/>
      <c r="AB60" s="46"/>
    </row>
    <row r="61" spans="1:28" ht="13" x14ac:dyDescent="0.3">
      <c r="A61" s="46">
        <v>50</v>
      </c>
      <c r="B61" s="46">
        <v>0</v>
      </c>
      <c r="C61" s="46">
        <v>0</v>
      </c>
      <c r="D61" s="46">
        <v>1</v>
      </c>
      <c r="E61" s="46">
        <v>206</v>
      </c>
      <c r="F61" s="46">
        <f>ROUND('Source (2)'!T40,O61)</f>
        <v>0</v>
      </c>
      <c r="G61" s="46" t="s">
        <v>252</v>
      </c>
      <c r="H61" s="46" t="s">
        <v>253</v>
      </c>
      <c r="I61" s="46"/>
      <c r="J61" s="46"/>
      <c r="K61" s="46">
        <v>206</v>
      </c>
      <c r="L61" s="46">
        <v>20</v>
      </c>
      <c r="M61" s="46">
        <v>3</v>
      </c>
      <c r="N61" s="46" t="s">
        <v>30</v>
      </c>
      <c r="O61" s="46">
        <v>2</v>
      </c>
      <c r="P61" s="46"/>
      <c r="Q61" s="46"/>
      <c r="R61" s="46"/>
      <c r="S61" s="46"/>
      <c r="T61" s="46"/>
      <c r="U61" s="46"/>
      <c r="V61" s="46"/>
      <c r="W61" s="46">
        <v>0</v>
      </c>
      <c r="X61" s="46">
        <v>1</v>
      </c>
      <c r="Y61" s="46">
        <v>0</v>
      </c>
      <c r="Z61" s="46"/>
      <c r="AA61" s="46"/>
      <c r="AB61" s="46"/>
    </row>
    <row r="62" spans="1:28" ht="13" x14ac:dyDescent="0.3">
      <c r="A62" s="46">
        <v>50</v>
      </c>
      <c r="B62" s="46">
        <v>0</v>
      </c>
      <c r="C62" s="46">
        <v>0</v>
      </c>
      <c r="D62" s="46">
        <v>1</v>
      </c>
      <c r="E62" s="46">
        <v>207</v>
      </c>
      <c r="F62" s="46">
        <f>'Source (2)'!U40</f>
        <v>176.87297799999999</v>
      </c>
      <c r="G62" s="46" t="s">
        <v>254</v>
      </c>
      <c r="H62" s="46" t="s">
        <v>255</v>
      </c>
      <c r="I62" s="46"/>
      <c r="J62" s="46"/>
      <c r="K62" s="46">
        <v>207</v>
      </c>
      <c r="L62" s="46">
        <v>21</v>
      </c>
      <c r="M62" s="46">
        <v>3</v>
      </c>
      <c r="N62" s="46" t="s">
        <v>30</v>
      </c>
      <c r="O62" s="46">
        <v>-1</v>
      </c>
      <c r="P62" s="46"/>
      <c r="Q62" s="46"/>
      <c r="R62" s="46"/>
      <c r="S62" s="46"/>
      <c r="T62" s="46"/>
      <c r="U62" s="46"/>
      <c r="V62" s="46"/>
      <c r="W62" s="46">
        <v>176.87297799999999</v>
      </c>
      <c r="X62" s="46">
        <v>1</v>
      </c>
      <c r="Y62" s="46">
        <v>176.87297799999999</v>
      </c>
      <c r="Z62" s="46"/>
      <c r="AA62" s="46"/>
      <c r="AB62" s="46"/>
    </row>
    <row r="63" spans="1:28" ht="13" x14ac:dyDescent="0.3">
      <c r="A63" s="46">
        <v>50</v>
      </c>
      <c r="B63" s="46">
        <v>0</v>
      </c>
      <c r="C63" s="46">
        <v>0</v>
      </c>
      <c r="D63" s="46">
        <v>1</v>
      </c>
      <c r="E63" s="46">
        <v>208</v>
      </c>
      <c r="F63" s="46">
        <f>'Source (2)'!V40</f>
        <v>0</v>
      </c>
      <c r="G63" s="46" t="s">
        <v>256</v>
      </c>
      <c r="H63" s="46" t="s">
        <v>257</v>
      </c>
      <c r="I63" s="46"/>
      <c r="J63" s="46"/>
      <c r="K63" s="46">
        <v>208</v>
      </c>
      <c r="L63" s="46">
        <v>22</v>
      </c>
      <c r="M63" s="46">
        <v>3</v>
      </c>
      <c r="N63" s="46" t="s">
        <v>30</v>
      </c>
      <c r="O63" s="46">
        <v>-1</v>
      </c>
      <c r="P63" s="46"/>
      <c r="Q63" s="46"/>
      <c r="R63" s="46"/>
      <c r="S63" s="46"/>
      <c r="T63" s="46"/>
      <c r="U63" s="46"/>
      <c r="V63" s="46"/>
      <c r="W63" s="46">
        <v>0</v>
      </c>
      <c r="X63" s="46">
        <v>1</v>
      </c>
      <c r="Y63" s="46">
        <v>0</v>
      </c>
      <c r="Z63" s="46"/>
      <c r="AA63" s="46"/>
      <c r="AB63" s="46"/>
    </row>
    <row r="64" spans="1:28" ht="13" x14ac:dyDescent="0.3">
      <c r="A64" s="46">
        <v>50</v>
      </c>
      <c r="B64" s="46">
        <v>0</v>
      </c>
      <c r="C64" s="46">
        <v>0</v>
      </c>
      <c r="D64" s="46">
        <v>1</v>
      </c>
      <c r="E64" s="46">
        <v>209</v>
      </c>
      <c r="F64" s="46">
        <f>ROUND('Source (2)'!W40,O64)</f>
        <v>0</v>
      </c>
      <c r="G64" s="46" t="s">
        <v>258</v>
      </c>
      <c r="H64" s="46" t="s">
        <v>259</v>
      </c>
      <c r="I64" s="46"/>
      <c r="J64" s="46"/>
      <c r="K64" s="46">
        <v>209</v>
      </c>
      <c r="L64" s="46">
        <v>23</v>
      </c>
      <c r="M64" s="46">
        <v>3</v>
      </c>
      <c r="N64" s="46" t="s">
        <v>30</v>
      </c>
      <c r="O64" s="46">
        <v>2</v>
      </c>
      <c r="P64" s="46"/>
      <c r="Q64" s="46"/>
      <c r="R64" s="46"/>
      <c r="S64" s="46"/>
      <c r="T64" s="46"/>
      <c r="U64" s="46"/>
      <c r="V64" s="46"/>
      <c r="W64" s="46">
        <v>0</v>
      </c>
      <c r="X64" s="46">
        <v>1</v>
      </c>
      <c r="Y64" s="46">
        <v>0</v>
      </c>
      <c r="Z64" s="46"/>
      <c r="AA64" s="46"/>
      <c r="AB64" s="46"/>
    </row>
    <row r="65" spans="1:88" ht="13" x14ac:dyDescent="0.3">
      <c r="A65" s="46">
        <v>50</v>
      </c>
      <c r="B65" s="46">
        <v>0</v>
      </c>
      <c r="C65" s="46">
        <v>0</v>
      </c>
      <c r="D65" s="46">
        <v>1</v>
      </c>
      <c r="E65" s="46">
        <v>233</v>
      </c>
      <c r="F65" s="46">
        <f>ROUND('Source (2)'!BD40,O65)</f>
        <v>0</v>
      </c>
      <c r="G65" s="46" t="s">
        <v>260</v>
      </c>
      <c r="H65" s="46" t="s">
        <v>261</v>
      </c>
      <c r="I65" s="46"/>
      <c r="J65" s="46"/>
      <c r="K65" s="46">
        <v>233</v>
      </c>
      <c r="L65" s="46">
        <v>24</v>
      </c>
      <c r="M65" s="46">
        <v>3</v>
      </c>
      <c r="N65" s="46" t="s">
        <v>30</v>
      </c>
      <c r="O65" s="46">
        <v>2</v>
      </c>
      <c r="P65" s="46"/>
      <c r="Q65" s="46"/>
      <c r="R65" s="46"/>
      <c r="S65" s="46"/>
      <c r="T65" s="46"/>
      <c r="U65" s="46"/>
      <c r="V65" s="46"/>
      <c r="W65" s="46">
        <v>0</v>
      </c>
      <c r="X65" s="46">
        <v>1</v>
      </c>
      <c r="Y65" s="46">
        <v>0</v>
      </c>
      <c r="Z65" s="46"/>
      <c r="AA65" s="46"/>
      <c r="AB65" s="46"/>
    </row>
    <row r="66" spans="1:88" ht="13" x14ac:dyDescent="0.3">
      <c r="A66" s="46">
        <v>50</v>
      </c>
      <c r="B66" s="46">
        <v>0</v>
      </c>
      <c r="C66" s="46">
        <v>0</v>
      </c>
      <c r="D66" s="46">
        <v>1</v>
      </c>
      <c r="E66" s="46">
        <v>210</v>
      </c>
      <c r="F66" s="46">
        <f>ROUND('Source (2)'!X40,O66)</f>
        <v>28650.51</v>
      </c>
      <c r="G66" s="46" t="s">
        <v>262</v>
      </c>
      <c r="H66" s="46" t="s">
        <v>263</v>
      </c>
      <c r="I66" s="46"/>
      <c r="J66" s="46"/>
      <c r="K66" s="46">
        <v>210</v>
      </c>
      <c r="L66" s="46">
        <v>25</v>
      </c>
      <c r="M66" s="46">
        <v>3</v>
      </c>
      <c r="N66" s="46" t="s">
        <v>30</v>
      </c>
      <c r="O66" s="46">
        <v>2</v>
      </c>
      <c r="P66" s="46"/>
      <c r="Q66" s="46"/>
      <c r="R66" s="46"/>
      <c r="S66" s="46"/>
      <c r="T66" s="46"/>
      <c r="U66" s="46"/>
      <c r="V66" s="46"/>
      <c r="W66" s="46">
        <v>28650.51</v>
      </c>
      <c r="X66" s="46">
        <v>1</v>
      </c>
      <c r="Y66" s="46">
        <v>28650.51</v>
      </c>
      <c r="Z66" s="46"/>
      <c r="AA66" s="46"/>
      <c r="AB66" s="46"/>
    </row>
    <row r="67" spans="1:88" ht="13" x14ac:dyDescent="0.3">
      <c r="A67" s="46">
        <v>50</v>
      </c>
      <c r="B67" s="46">
        <v>0</v>
      </c>
      <c r="C67" s="46">
        <v>0</v>
      </c>
      <c r="D67" s="46">
        <v>1</v>
      </c>
      <c r="E67" s="46">
        <v>211</v>
      </c>
      <c r="F67" s="46">
        <f>ROUND('Source (2)'!Y40,O67)</f>
        <v>4092.93</v>
      </c>
      <c r="G67" s="46" t="s">
        <v>264</v>
      </c>
      <c r="H67" s="46" t="s">
        <v>265</v>
      </c>
      <c r="I67" s="46"/>
      <c r="J67" s="46"/>
      <c r="K67" s="46">
        <v>211</v>
      </c>
      <c r="L67" s="46">
        <v>26</v>
      </c>
      <c r="M67" s="46">
        <v>3</v>
      </c>
      <c r="N67" s="46" t="s">
        <v>30</v>
      </c>
      <c r="O67" s="46">
        <v>2</v>
      </c>
      <c r="P67" s="46"/>
      <c r="Q67" s="46"/>
      <c r="R67" s="46"/>
      <c r="S67" s="46"/>
      <c r="T67" s="46"/>
      <c r="U67" s="46"/>
      <c r="V67" s="46"/>
      <c r="W67" s="46">
        <v>4092.93</v>
      </c>
      <c r="X67" s="46">
        <v>1</v>
      </c>
      <c r="Y67" s="46">
        <v>4092.93</v>
      </c>
      <c r="Z67" s="46"/>
      <c r="AA67" s="46"/>
      <c r="AB67" s="46"/>
    </row>
    <row r="68" spans="1:88" ht="13" x14ac:dyDescent="0.3">
      <c r="A68" s="46">
        <v>50</v>
      </c>
      <c r="B68" s="46">
        <v>0</v>
      </c>
      <c r="C68" s="46">
        <v>0</v>
      </c>
      <c r="D68" s="46">
        <v>1</v>
      </c>
      <c r="E68" s="46">
        <v>224</v>
      </c>
      <c r="F68" s="46">
        <f>ROUND('Source (2)'!AR40,O68)</f>
        <v>934143.16</v>
      </c>
      <c r="G68" s="46" t="s">
        <v>266</v>
      </c>
      <c r="H68" s="46" t="s">
        <v>267</v>
      </c>
      <c r="I68" s="46"/>
      <c r="J68" s="46"/>
      <c r="K68" s="46">
        <v>224</v>
      </c>
      <c r="L68" s="46">
        <v>27</v>
      </c>
      <c r="M68" s="46">
        <v>3</v>
      </c>
      <c r="N68" s="46" t="s">
        <v>30</v>
      </c>
      <c r="O68" s="46">
        <v>2</v>
      </c>
      <c r="P68" s="46"/>
      <c r="Q68" s="46"/>
      <c r="R68" s="46"/>
      <c r="S68" s="46"/>
      <c r="T68" s="46"/>
      <c r="U68" s="46"/>
      <c r="V68" s="46"/>
      <c r="W68" s="46">
        <v>934143.16</v>
      </c>
      <c r="X68" s="46">
        <v>1</v>
      </c>
      <c r="Y68" s="46">
        <v>934143.16</v>
      </c>
      <c r="Z68" s="46"/>
      <c r="AA68" s="46"/>
      <c r="AB68" s="46"/>
    </row>
    <row r="69" spans="1:88" ht="13" x14ac:dyDescent="0.3">
      <c r="A69" s="46">
        <v>50</v>
      </c>
      <c r="B69" s="46">
        <v>1</v>
      </c>
      <c r="C69" s="46">
        <v>0</v>
      </c>
      <c r="D69" s="46">
        <v>2</v>
      </c>
      <c r="E69" s="46">
        <v>0</v>
      </c>
      <c r="F69" s="46">
        <f>ROUND(F68,O69)</f>
        <v>934143.16</v>
      </c>
      <c r="G69" s="46" t="s">
        <v>268</v>
      </c>
      <c r="H69" s="46" t="s">
        <v>269</v>
      </c>
      <c r="I69" s="46"/>
      <c r="J69" s="46"/>
      <c r="K69" s="46">
        <v>212</v>
      </c>
      <c r="L69" s="46">
        <v>28</v>
      </c>
      <c r="M69" s="46">
        <v>0</v>
      </c>
      <c r="N69" s="46" t="s">
        <v>30</v>
      </c>
      <c r="O69" s="46">
        <v>2</v>
      </c>
      <c r="P69" s="46"/>
      <c r="Q69" s="46"/>
      <c r="R69" s="46"/>
      <c r="S69" s="46"/>
      <c r="T69" s="46"/>
      <c r="U69" s="46"/>
      <c r="V69" s="46"/>
      <c r="W69" s="46">
        <v>934143.16</v>
      </c>
      <c r="X69" s="46">
        <v>1</v>
      </c>
      <c r="Y69" s="46">
        <v>934143.16</v>
      </c>
      <c r="Z69" s="46"/>
      <c r="AA69" s="46"/>
      <c r="AB69" s="46"/>
    </row>
    <row r="70" spans="1:88" ht="13" x14ac:dyDescent="0.3">
      <c r="A70" s="46">
        <v>50</v>
      </c>
      <c r="B70" s="46">
        <v>1</v>
      </c>
      <c r="C70" s="46">
        <v>0</v>
      </c>
      <c r="D70" s="46">
        <v>2</v>
      </c>
      <c r="E70" s="46">
        <v>0</v>
      </c>
      <c r="F70" s="46">
        <f>ROUND(F68-F55-F54,O70)</f>
        <v>734712.41</v>
      </c>
      <c r="G70" s="46" t="s">
        <v>270</v>
      </c>
      <c r="H70" s="46" t="s">
        <v>271</v>
      </c>
      <c r="I70" s="46"/>
      <c r="J70" s="46"/>
      <c r="K70" s="46">
        <v>212</v>
      </c>
      <c r="L70" s="46">
        <v>29</v>
      </c>
      <c r="M70" s="46">
        <v>0</v>
      </c>
      <c r="N70" s="46" t="s">
        <v>30</v>
      </c>
      <c r="O70" s="46">
        <v>2</v>
      </c>
      <c r="P70" s="46"/>
      <c r="Q70" s="46"/>
      <c r="R70" s="46"/>
      <c r="S70" s="46"/>
      <c r="T70" s="46"/>
      <c r="U70" s="46"/>
      <c r="V70" s="46"/>
      <c r="W70" s="46">
        <v>734712.41</v>
      </c>
      <c r="X70" s="46">
        <v>1</v>
      </c>
      <c r="Y70" s="46">
        <v>734712.41</v>
      </c>
      <c r="Z70" s="46"/>
      <c r="AA70" s="46"/>
      <c r="AB70" s="46"/>
    </row>
    <row r="71" spans="1:88" ht="13" x14ac:dyDescent="0.3">
      <c r="A71" s="46">
        <v>50</v>
      </c>
      <c r="B71" s="46">
        <v>1</v>
      </c>
      <c r="C71" s="46">
        <v>0</v>
      </c>
      <c r="D71" s="46">
        <v>2</v>
      </c>
      <c r="E71" s="46">
        <v>0</v>
      </c>
      <c r="F71" s="46">
        <f>ROUND(F67,O71)</f>
        <v>4092.93</v>
      </c>
      <c r="G71" s="46" t="s">
        <v>25</v>
      </c>
      <c r="H71" s="46" t="s">
        <v>25</v>
      </c>
      <c r="I71" s="46"/>
      <c r="J71" s="46"/>
      <c r="K71" s="46">
        <v>212</v>
      </c>
      <c r="L71" s="46">
        <v>30</v>
      </c>
      <c r="M71" s="46">
        <v>0</v>
      </c>
      <c r="N71" s="46" t="s">
        <v>30</v>
      </c>
      <c r="O71" s="46">
        <v>2</v>
      </c>
      <c r="P71" s="46"/>
      <c r="Q71" s="46"/>
      <c r="R71" s="46"/>
      <c r="S71" s="46"/>
      <c r="T71" s="46"/>
      <c r="U71" s="46"/>
      <c r="V71" s="46"/>
      <c r="W71" s="46">
        <v>4092.93</v>
      </c>
      <c r="X71" s="46">
        <v>1</v>
      </c>
      <c r="Y71" s="46">
        <v>4092.93</v>
      </c>
      <c r="Z71" s="46"/>
      <c r="AA71" s="46"/>
      <c r="AB71" s="46"/>
    </row>
    <row r="72" spans="1:88" ht="13" x14ac:dyDescent="0.3">
      <c r="A72" s="46">
        <v>50</v>
      </c>
      <c r="B72" s="46">
        <v>1</v>
      </c>
      <c r="C72" s="46">
        <v>0</v>
      </c>
      <c r="D72" s="46">
        <v>2</v>
      </c>
      <c r="E72" s="46">
        <v>0</v>
      </c>
      <c r="F72" s="46">
        <f>ROUND(F77*0.3,O72)</f>
        <v>47550.44</v>
      </c>
      <c r="G72" s="46" t="s">
        <v>272</v>
      </c>
      <c r="H72" s="46" t="s">
        <v>272</v>
      </c>
      <c r="I72" s="46"/>
      <c r="J72" s="46"/>
      <c r="K72" s="46">
        <v>212</v>
      </c>
      <c r="L72" s="46">
        <v>31</v>
      </c>
      <c r="M72" s="46">
        <v>0</v>
      </c>
      <c r="N72" s="46" t="s">
        <v>30</v>
      </c>
      <c r="O72" s="46">
        <v>2</v>
      </c>
      <c r="P72" s="46"/>
      <c r="Q72" s="46"/>
      <c r="R72" s="46"/>
      <c r="S72" s="46"/>
      <c r="T72" s="46"/>
      <c r="U72" s="46"/>
      <c r="V72" s="46"/>
      <c r="W72" s="46">
        <v>47550.44</v>
      </c>
      <c r="X72" s="46">
        <v>1</v>
      </c>
      <c r="Y72" s="46">
        <v>47550.44</v>
      </c>
      <c r="Z72" s="46"/>
      <c r="AA72" s="46"/>
      <c r="AB72" s="46"/>
    </row>
    <row r="73" spans="1:88" ht="13" x14ac:dyDescent="0.3">
      <c r="A73" s="46">
        <v>50</v>
      </c>
      <c r="B73" s="46">
        <v>1</v>
      </c>
      <c r="C73" s="46">
        <v>0</v>
      </c>
      <c r="D73" s="46">
        <v>2</v>
      </c>
      <c r="E73" s="46">
        <v>0</v>
      </c>
      <c r="F73" s="46">
        <f>ROUND(F70-F71-F72,O73)</f>
        <v>683069.04</v>
      </c>
      <c r="G73" s="46" t="s">
        <v>273</v>
      </c>
      <c r="H73" s="46" t="s">
        <v>274</v>
      </c>
      <c r="I73" s="46"/>
      <c r="J73" s="46"/>
      <c r="K73" s="46">
        <v>212</v>
      </c>
      <c r="L73" s="46">
        <v>32</v>
      </c>
      <c r="M73" s="46">
        <v>0</v>
      </c>
      <c r="N73" s="46" t="s">
        <v>30</v>
      </c>
      <c r="O73" s="46">
        <v>2</v>
      </c>
      <c r="P73" s="46"/>
      <c r="Q73" s="46"/>
      <c r="R73" s="46"/>
      <c r="S73" s="46"/>
      <c r="T73" s="46"/>
      <c r="U73" s="46"/>
      <c r="V73" s="46"/>
      <c r="W73" s="46">
        <v>683069.04</v>
      </c>
      <c r="X73" s="46">
        <v>1</v>
      </c>
      <c r="Y73" s="46">
        <v>683069.04</v>
      </c>
      <c r="Z73" s="46"/>
      <c r="AA73" s="46"/>
      <c r="AB73" s="46"/>
    </row>
    <row r="74" spans="1:88" ht="13" x14ac:dyDescent="0.3">
      <c r="A74" s="46">
        <v>50</v>
      </c>
      <c r="B74" s="46">
        <v>1</v>
      </c>
      <c r="C74" s="46">
        <v>0</v>
      </c>
      <c r="D74" s="46">
        <v>2</v>
      </c>
      <c r="E74" s="46">
        <v>0</v>
      </c>
      <c r="F74" s="46">
        <f>ROUND(F73*0.2,O74)</f>
        <v>136613.81</v>
      </c>
      <c r="G74" s="46" t="s">
        <v>42</v>
      </c>
      <c r="H74" s="46" t="s">
        <v>42</v>
      </c>
      <c r="I74" s="46"/>
      <c r="J74" s="46"/>
      <c r="K74" s="46">
        <v>212</v>
      </c>
      <c r="L74" s="46">
        <v>33</v>
      </c>
      <c r="M74" s="46">
        <v>0</v>
      </c>
      <c r="N74" s="46" t="s">
        <v>30</v>
      </c>
      <c r="O74" s="46">
        <v>2</v>
      </c>
      <c r="P74" s="46"/>
      <c r="Q74" s="46"/>
      <c r="R74" s="46"/>
      <c r="S74" s="46"/>
      <c r="T74" s="46"/>
      <c r="U74" s="46"/>
      <c r="V74" s="46"/>
      <c r="W74" s="46">
        <v>136613.81</v>
      </c>
      <c r="X74" s="46">
        <v>1</v>
      </c>
      <c r="Y74" s="46">
        <v>136613.81</v>
      </c>
      <c r="Z74" s="46"/>
      <c r="AA74" s="46"/>
      <c r="AB74" s="46"/>
    </row>
    <row r="75" spans="1:88" ht="13" x14ac:dyDescent="0.3">
      <c r="A75" s="46">
        <v>50</v>
      </c>
      <c r="B75" s="46">
        <v>1</v>
      </c>
      <c r="C75" s="46">
        <v>0</v>
      </c>
      <c r="D75" s="46">
        <v>2</v>
      </c>
      <c r="E75" s="46">
        <v>0</v>
      </c>
      <c r="F75" s="46">
        <f>ROUND(F73+F74,O75)</f>
        <v>819682.85</v>
      </c>
      <c r="G75" s="46" t="s">
        <v>43</v>
      </c>
      <c r="H75" s="46" t="s">
        <v>275</v>
      </c>
      <c r="I75" s="46"/>
      <c r="J75" s="46"/>
      <c r="K75" s="46">
        <v>212</v>
      </c>
      <c r="L75" s="46">
        <v>34</v>
      </c>
      <c r="M75" s="46">
        <v>0</v>
      </c>
      <c r="N75" s="46" t="s">
        <v>30</v>
      </c>
      <c r="O75" s="46">
        <v>2</v>
      </c>
      <c r="P75" s="46"/>
      <c r="Q75" s="46"/>
      <c r="R75" s="46"/>
      <c r="S75" s="46"/>
      <c r="T75" s="46"/>
      <c r="U75" s="46"/>
      <c r="V75" s="46"/>
      <c r="W75" s="46">
        <v>819682.85</v>
      </c>
      <c r="X75" s="46">
        <v>1</v>
      </c>
      <c r="Y75" s="46">
        <v>819682.85</v>
      </c>
      <c r="Z75" s="46"/>
      <c r="AA75" s="46"/>
      <c r="AB75" s="46"/>
    </row>
    <row r="76" spans="1:88" ht="13" x14ac:dyDescent="0.3">
      <c r="A76" s="46">
        <v>50</v>
      </c>
      <c r="B76" s="46">
        <v>1</v>
      </c>
      <c r="C76" s="46">
        <v>0</v>
      </c>
      <c r="D76" s="46">
        <v>2</v>
      </c>
      <c r="E76" s="46">
        <v>0</v>
      </c>
      <c r="F76" s="46">
        <f>ROUND(F55,O76)</f>
        <v>40929.300000000003</v>
      </c>
      <c r="G76" s="46" t="s">
        <v>276</v>
      </c>
      <c r="H76" s="46" t="s">
        <v>277</v>
      </c>
      <c r="I76" s="46"/>
      <c r="J76" s="46"/>
      <c r="K76" s="46">
        <v>212</v>
      </c>
      <c r="L76" s="46">
        <v>35</v>
      </c>
      <c r="M76" s="46">
        <v>0</v>
      </c>
      <c r="N76" s="46" t="s">
        <v>30</v>
      </c>
      <c r="O76" s="46">
        <v>2</v>
      </c>
      <c r="P76" s="46"/>
      <c r="Q76" s="46"/>
      <c r="R76" s="46"/>
      <c r="S76" s="46"/>
      <c r="T76" s="46"/>
      <c r="U76" s="46"/>
      <c r="V76" s="46"/>
      <c r="W76" s="46">
        <v>40929.300000000003</v>
      </c>
      <c r="X76" s="46">
        <v>1</v>
      </c>
      <c r="Y76" s="46">
        <v>40929.300000000003</v>
      </c>
      <c r="Z76" s="46"/>
      <c r="AA76" s="46"/>
      <c r="AB76" s="46"/>
    </row>
    <row r="77" spans="1:88" ht="13" x14ac:dyDescent="0.3">
      <c r="A77" s="46">
        <v>50</v>
      </c>
      <c r="B77" s="46">
        <v>1</v>
      </c>
      <c r="C77" s="46">
        <v>0</v>
      </c>
      <c r="D77" s="46">
        <v>2</v>
      </c>
      <c r="E77" s="46">
        <v>0</v>
      </c>
      <c r="F77" s="46">
        <f>ROUND(F54,O77)</f>
        <v>158501.45000000001</v>
      </c>
      <c r="G77" s="46" t="s">
        <v>278</v>
      </c>
      <c r="H77" s="46" t="s">
        <v>279</v>
      </c>
      <c r="I77" s="46"/>
      <c r="J77" s="46"/>
      <c r="K77" s="46">
        <v>212</v>
      </c>
      <c r="L77" s="46">
        <v>36</v>
      </c>
      <c r="M77" s="46">
        <v>0</v>
      </c>
      <c r="N77" s="46" t="s">
        <v>30</v>
      </c>
      <c r="O77" s="46">
        <v>2</v>
      </c>
      <c r="P77" s="46"/>
      <c r="Q77" s="46"/>
      <c r="R77" s="46"/>
      <c r="S77" s="46"/>
      <c r="T77" s="46"/>
      <c r="U77" s="46"/>
      <c r="V77" s="46"/>
      <c r="W77" s="46">
        <v>158501.45000000001</v>
      </c>
      <c r="X77" s="46">
        <v>1</v>
      </c>
      <c r="Y77" s="46">
        <v>158501.45000000001</v>
      </c>
      <c r="Z77" s="46"/>
      <c r="AA77" s="46"/>
      <c r="AB77" s="46"/>
    </row>
    <row r="78" spans="1:88" ht="13" x14ac:dyDescent="0.3">
      <c r="A78" s="46">
        <v>50</v>
      </c>
      <c r="B78" s="46">
        <v>1</v>
      </c>
      <c r="C78" s="46">
        <v>0</v>
      </c>
      <c r="D78" s="46">
        <v>2</v>
      </c>
      <c r="E78" s="46">
        <v>0</v>
      </c>
      <c r="F78" s="46">
        <f>ROUND(F75+F76+F77,O78)</f>
        <v>1019113.6</v>
      </c>
      <c r="G78" s="46" t="s">
        <v>266</v>
      </c>
      <c r="H78" s="46" t="s">
        <v>280</v>
      </c>
      <c r="I78" s="46"/>
      <c r="J78" s="46"/>
      <c r="K78" s="46">
        <v>212</v>
      </c>
      <c r="L78" s="46">
        <v>37</v>
      </c>
      <c r="M78" s="46">
        <v>0</v>
      </c>
      <c r="N78" s="46" t="s">
        <v>30</v>
      </c>
      <c r="O78" s="46">
        <v>2</v>
      </c>
      <c r="P78" s="46"/>
      <c r="Q78" s="46"/>
      <c r="R78" s="46"/>
      <c r="S78" s="46"/>
      <c r="T78" s="46"/>
      <c r="U78" s="46"/>
      <c r="V78" s="46"/>
      <c r="W78" s="46">
        <v>1019113.6</v>
      </c>
      <c r="X78" s="46">
        <v>1</v>
      </c>
      <c r="Y78" s="46">
        <v>1019113.6</v>
      </c>
      <c r="Z78" s="46"/>
      <c r="AA78" s="46"/>
      <c r="AB78" s="46"/>
    </row>
    <row r="80" spans="1:88" ht="13" x14ac:dyDescent="0.3">
      <c r="A80" s="43">
        <v>4</v>
      </c>
      <c r="B80" s="43">
        <v>1</v>
      </c>
      <c r="C80" s="43"/>
      <c r="D80" s="43">
        <f>ROW(A93)</f>
        <v>93</v>
      </c>
      <c r="E80" s="43"/>
      <c r="F80" s="43" t="s">
        <v>174</v>
      </c>
      <c r="G80" s="43" t="s">
        <v>281</v>
      </c>
      <c r="H80" s="43" t="s">
        <v>30</v>
      </c>
      <c r="I80" s="43">
        <v>0</v>
      </c>
      <c r="J80" s="43"/>
      <c r="K80" s="43">
        <v>-1</v>
      </c>
      <c r="L80" s="43"/>
      <c r="M80" s="43" t="s">
        <v>30</v>
      </c>
      <c r="N80" s="43"/>
      <c r="O80" s="43"/>
      <c r="P80" s="43"/>
      <c r="Q80" s="43"/>
      <c r="R80" s="43"/>
      <c r="S80" s="43">
        <v>0</v>
      </c>
      <c r="T80" s="43"/>
      <c r="U80" s="43" t="s">
        <v>30</v>
      </c>
      <c r="V80" s="43">
        <v>0</v>
      </c>
      <c r="W80" s="43"/>
      <c r="X80" s="43"/>
      <c r="Y80" s="43"/>
      <c r="Z80" s="43"/>
      <c r="AA80" s="43"/>
      <c r="AB80" s="43" t="s">
        <v>30</v>
      </c>
      <c r="AC80" s="43" t="s">
        <v>30</v>
      </c>
      <c r="AD80" s="43" t="s">
        <v>30</v>
      </c>
      <c r="AE80" s="43" t="s">
        <v>30</v>
      </c>
      <c r="AF80" s="43" t="s">
        <v>30</v>
      </c>
      <c r="AG80" s="43" t="s">
        <v>30</v>
      </c>
      <c r="AH80" s="43"/>
      <c r="AI80" s="43"/>
      <c r="AJ80" s="43"/>
      <c r="AK80" s="43"/>
      <c r="AL80" s="43"/>
      <c r="AM80" s="43"/>
      <c r="AN80" s="43"/>
      <c r="AO80" s="43"/>
      <c r="AP80" s="43" t="s">
        <v>30</v>
      </c>
      <c r="AQ80" s="43" t="s">
        <v>30</v>
      </c>
      <c r="AR80" s="43" t="s">
        <v>30</v>
      </c>
      <c r="AS80" s="43"/>
      <c r="AT80" s="43"/>
      <c r="AU80" s="43"/>
      <c r="AV80" s="43"/>
      <c r="AW80" s="43"/>
      <c r="AX80" s="43"/>
      <c r="AY80" s="43"/>
      <c r="AZ80" s="43" t="s">
        <v>30</v>
      </c>
      <c r="BA80" s="43"/>
      <c r="BB80" s="43" t="s">
        <v>30</v>
      </c>
      <c r="BC80" s="43" t="s">
        <v>30</v>
      </c>
      <c r="BD80" s="43" t="s">
        <v>30</v>
      </c>
      <c r="BE80" s="43" t="s">
        <v>30</v>
      </c>
      <c r="BF80" s="43" t="s">
        <v>30</v>
      </c>
      <c r="BG80" s="43" t="s">
        <v>30</v>
      </c>
      <c r="BH80" s="43" t="s">
        <v>30</v>
      </c>
      <c r="BI80" s="43" t="s">
        <v>30</v>
      </c>
      <c r="BJ80" s="43" t="s">
        <v>30</v>
      </c>
      <c r="BK80" s="43" t="s">
        <v>30</v>
      </c>
      <c r="BL80" s="43" t="s">
        <v>30</v>
      </c>
      <c r="BM80" s="43" t="s">
        <v>30</v>
      </c>
      <c r="BN80" s="43" t="s">
        <v>30</v>
      </c>
      <c r="BO80" s="43" t="s">
        <v>30</v>
      </c>
      <c r="BP80" s="43" t="s">
        <v>30</v>
      </c>
      <c r="BQ80" s="43"/>
      <c r="BR80" s="43"/>
      <c r="BS80" s="43"/>
      <c r="BT80" s="43"/>
      <c r="BU80" s="43"/>
      <c r="BV80" s="43"/>
      <c r="BW80" s="43"/>
      <c r="BX80" s="43">
        <v>0</v>
      </c>
      <c r="BY80" s="43"/>
      <c r="BZ80" s="43"/>
      <c r="CA80" s="43"/>
      <c r="CB80" s="43"/>
      <c r="CC80" s="43"/>
      <c r="CD80" s="43"/>
      <c r="CE80" s="43"/>
      <c r="CF80" s="43"/>
      <c r="CG80" s="43"/>
      <c r="CH80" s="43"/>
      <c r="CI80" s="43"/>
      <c r="CJ80" s="43">
        <v>0</v>
      </c>
    </row>
    <row r="82" spans="1:245" ht="13" x14ac:dyDescent="0.3">
      <c r="A82" s="44">
        <v>52</v>
      </c>
      <c r="B82" s="44">
        <f t="shared" ref="B82:G82" si="52">B93</f>
        <v>1</v>
      </c>
      <c r="C82" s="44">
        <f t="shared" si="52"/>
        <v>4</v>
      </c>
      <c r="D82" s="44">
        <f t="shared" si="52"/>
        <v>80</v>
      </c>
      <c r="E82" s="44">
        <f t="shared" si="52"/>
        <v>0</v>
      </c>
      <c r="F82" s="44" t="str">
        <f t="shared" si="52"/>
        <v>Новый раздел</v>
      </c>
      <c r="G82" s="44" t="str">
        <f t="shared" si="52"/>
        <v>Устройство бортового камня</v>
      </c>
      <c r="H82" s="44"/>
      <c r="I82" s="44"/>
      <c r="J82" s="44"/>
      <c r="K82" s="44"/>
      <c r="L82" s="44"/>
      <c r="M82" s="44"/>
      <c r="N82" s="44"/>
      <c r="O82" s="44">
        <f t="shared" ref="O82:BZ82" si="53">O93</f>
        <v>587219.74</v>
      </c>
      <c r="P82" s="44">
        <f t="shared" si="53"/>
        <v>354334.03</v>
      </c>
      <c r="Q82" s="44">
        <f t="shared" si="53"/>
        <v>153497.99</v>
      </c>
      <c r="R82" s="44">
        <f t="shared" si="53"/>
        <v>84156.32</v>
      </c>
      <c r="S82" s="44">
        <f t="shared" si="53"/>
        <v>79387.72</v>
      </c>
      <c r="T82" s="44">
        <f t="shared" si="53"/>
        <v>0</v>
      </c>
      <c r="U82" s="44">
        <f t="shared" si="53"/>
        <v>368.08420000000001</v>
      </c>
      <c r="V82" s="44">
        <f t="shared" si="53"/>
        <v>0</v>
      </c>
      <c r="W82" s="44">
        <f t="shared" si="53"/>
        <v>0</v>
      </c>
      <c r="X82" s="44">
        <f t="shared" si="53"/>
        <v>55571.41</v>
      </c>
      <c r="Y82" s="44">
        <f t="shared" si="53"/>
        <v>7938.78</v>
      </c>
      <c r="Z82" s="44">
        <f t="shared" si="53"/>
        <v>0</v>
      </c>
      <c r="AA82" s="44">
        <f t="shared" si="53"/>
        <v>0</v>
      </c>
      <c r="AB82" s="44">
        <f t="shared" si="53"/>
        <v>587219.74</v>
      </c>
      <c r="AC82" s="44">
        <f t="shared" si="53"/>
        <v>354334.03</v>
      </c>
      <c r="AD82" s="44">
        <f t="shared" si="53"/>
        <v>153497.99</v>
      </c>
      <c r="AE82" s="44">
        <f t="shared" si="53"/>
        <v>84156.32</v>
      </c>
      <c r="AF82" s="44">
        <f t="shared" si="53"/>
        <v>79387.72</v>
      </c>
      <c r="AG82" s="44">
        <f t="shared" si="53"/>
        <v>0</v>
      </c>
      <c r="AH82" s="44">
        <f t="shared" si="53"/>
        <v>368.08420000000001</v>
      </c>
      <c r="AI82" s="44">
        <f t="shared" si="53"/>
        <v>0</v>
      </c>
      <c r="AJ82" s="44">
        <f t="shared" si="53"/>
        <v>0</v>
      </c>
      <c r="AK82" s="44">
        <f t="shared" si="53"/>
        <v>55571.41</v>
      </c>
      <c r="AL82" s="44">
        <f t="shared" si="53"/>
        <v>7938.78</v>
      </c>
      <c r="AM82" s="44">
        <f t="shared" si="53"/>
        <v>0</v>
      </c>
      <c r="AN82" s="44">
        <f t="shared" si="53"/>
        <v>0</v>
      </c>
      <c r="AO82" s="44">
        <f t="shared" si="53"/>
        <v>0</v>
      </c>
      <c r="AP82" s="44">
        <f t="shared" si="53"/>
        <v>0</v>
      </c>
      <c r="AQ82" s="44">
        <f t="shared" si="53"/>
        <v>0</v>
      </c>
      <c r="AR82" s="44">
        <f t="shared" si="53"/>
        <v>682710.07</v>
      </c>
      <c r="AS82" s="44">
        <f t="shared" si="53"/>
        <v>0</v>
      </c>
      <c r="AT82" s="44">
        <f t="shared" si="53"/>
        <v>0</v>
      </c>
      <c r="AU82" s="44">
        <f t="shared" si="53"/>
        <v>682710.07</v>
      </c>
      <c r="AV82" s="44">
        <f t="shared" si="53"/>
        <v>354334.03</v>
      </c>
      <c r="AW82" s="44">
        <f t="shared" si="53"/>
        <v>354334.03</v>
      </c>
      <c r="AX82" s="44">
        <f t="shared" si="53"/>
        <v>0</v>
      </c>
      <c r="AY82" s="44">
        <f t="shared" si="53"/>
        <v>354334.03</v>
      </c>
      <c r="AZ82" s="44">
        <f t="shared" si="53"/>
        <v>0</v>
      </c>
      <c r="BA82" s="44">
        <f t="shared" si="53"/>
        <v>0</v>
      </c>
      <c r="BB82" s="44">
        <f t="shared" si="53"/>
        <v>0</v>
      </c>
      <c r="BC82" s="44">
        <f t="shared" si="53"/>
        <v>0</v>
      </c>
      <c r="BD82" s="44">
        <f t="shared" si="53"/>
        <v>0</v>
      </c>
      <c r="BE82" s="44">
        <f t="shared" si="53"/>
        <v>0</v>
      </c>
      <c r="BF82" s="44">
        <f t="shared" si="53"/>
        <v>0</v>
      </c>
      <c r="BG82" s="44">
        <f t="shared" si="53"/>
        <v>0</v>
      </c>
      <c r="BH82" s="44">
        <f t="shared" si="53"/>
        <v>0</v>
      </c>
      <c r="BI82" s="44">
        <f t="shared" si="53"/>
        <v>0</v>
      </c>
      <c r="BJ82" s="44">
        <f t="shared" si="53"/>
        <v>0</v>
      </c>
      <c r="BK82" s="44">
        <f t="shared" si="53"/>
        <v>0</v>
      </c>
      <c r="BL82" s="44">
        <f t="shared" si="53"/>
        <v>0</v>
      </c>
      <c r="BM82" s="44">
        <f t="shared" si="53"/>
        <v>0</v>
      </c>
      <c r="BN82" s="44">
        <f t="shared" si="53"/>
        <v>0</v>
      </c>
      <c r="BO82" s="44">
        <f t="shared" si="53"/>
        <v>0</v>
      </c>
      <c r="BP82" s="44">
        <f t="shared" si="53"/>
        <v>0</v>
      </c>
      <c r="BQ82" s="44">
        <f t="shared" si="53"/>
        <v>0</v>
      </c>
      <c r="BR82" s="44">
        <f t="shared" si="53"/>
        <v>0</v>
      </c>
      <c r="BS82" s="44">
        <f t="shared" si="53"/>
        <v>0</v>
      </c>
      <c r="BT82" s="44">
        <f t="shared" si="53"/>
        <v>0</v>
      </c>
      <c r="BU82" s="44">
        <f t="shared" si="53"/>
        <v>0</v>
      </c>
      <c r="BV82" s="44">
        <f t="shared" si="53"/>
        <v>0</v>
      </c>
      <c r="BW82" s="44">
        <f t="shared" si="53"/>
        <v>0</v>
      </c>
      <c r="BX82" s="44">
        <f t="shared" si="53"/>
        <v>0</v>
      </c>
      <c r="BY82" s="44">
        <f t="shared" si="53"/>
        <v>0</v>
      </c>
      <c r="BZ82" s="44">
        <f t="shared" si="53"/>
        <v>0</v>
      </c>
      <c r="CA82" s="44">
        <f t="shared" ref="CA82:EL82" si="54">CA93</f>
        <v>682710.07</v>
      </c>
      <c r="CB82" s="44">
        <f t="shared" si="54"/>
        <v>0</v>
      </c>
      <c r="CC82" s="44">
        <f t="shared" si="54"/>
        <v>0</v>
      </c>
      <c r="CD82" s="44">
        <f t="shared" si="54"/>
        <v>682710.07</v>
      </c>
      <c r="CE82" s="44">
        <f t="shared" si="54"/>
        <v>354334.03</v>
      </c>
      <c r="CF82" s="44">
        <f t="shared" si="54"/>
        <v>354334.03</v>
      </c>
      <c r="CG82" s="44">
        <f t="shared" si="54"/>
        <v>0</v>
      </c>
      <c r="CH82" s="44">
        <f t="shared" si="54"/>
        <v>354334.03</v>
      </c>
      <c r="CI82" s="44">
        <f t="shared" si="54"/>
        <v>0</v>
      </c>
      <c r="CJ82" s="44">
        <f t="shared" si="54"/>
        <v>0</v>
      </c>
      <c r="CK82" s="44">
        <f t="shared" si="54"/>
        <v>0</v>
      </c>
      <c r="CL82" s="44">
        <f t="shared" si="54"/>
        <v>0</v>
      </c>
      <c r="CM82" s="44">
        <f t="shared" si="54"/>
        <v>0</v>
      </c>
      <c r="CN82" s="44">
        <f t="shared" si="54"/>
        <v>0</v>
      </c>
      <c r="CO82" s="44">
        <f t="shared" si="54"/>
        <v>0</v>
      </c>
      <c r="CP82" s="44">
        <f t="shared" si="54"/>
        <v>0</v>
      </c>
      <c r="CQ82" s="44">
        <f t="shared" si="54"/>
        <v>0</v>
      </c>
      <c r="CR82" s="44">
        <f t="shared" si="54"/>
        <v>0</v>
      </c>
      <c r="CS82" s="44">
        <f t="shared" si="54"/>
        <v>0</v>
      </c>
      <c r="CT82" s="44">
        <f t="shared" si="54"/>
        <v>0</v>
      </c>
      <c r="CU82" s="44">
        <f t="shared" si="54"/>
        <v>0</v>
      </c>
      <c r="CV82" s="44">
        <f t="shared" si="54"/>
        <v>0</v>
      </c>
      <c r="CW82" s="44">
        <f t="shared" si="54"/>
        <v>0</v>
      </c>
      <c r="CX82" s="44">
        <f t="shared" si="54"/>
        <v>0</v>
      </c>
      <c r="CY82" s="44">
        <f t="shared" si="54"/>
        <v>0</v>
      </c>
      <c r="CZ82" s="44">
        <f t="shared" si="54"/>
        <v>0</v>
      </c>
      <c r="DA82" s="44">
        <f t="shared" si="54"/>
        <v>0</v>
      </c>
      <c r="DB82" s="44">
        <f t="shared" si="54"/>
        <v>0</v>
      </c>
      <c r="DC82" s="44">
        <f t="shared" si="54"/>
        <v>0</v>
      </c>
      <c r="DD82" s="44">
        <f t="shared" si="54"/>
        <v>0</v>
      </c>
      <c r="DE82" s="44">
        <f t="shared" si="54"/>
        <v>0</v>
      </c>
      <c r="DF82" s="44">
        <f t="shared" si="54"/>
        <v>0</v>
      </c>
      <c r="DG82" s="45">
        <f t="shared" si="54"/>
        <v>0</v>
      </c>
      <c r="DH82" s="45">
        <f t="shared" si="54"/>
        <v>0</v>
      </c>
      <c r="DI82" s="45">
        <f t="shared" si="54"/>
        <v>0</v>
      </c>
      <c r="DJ82" s="45">
        <f t="shared" si="54"/>
        <v>0</v>
      </c>
      <c r="DK82" s="45">
        <f t="shared" si="54"/>
        <v>0</v>
      </c>
      <c r="DL82" s="45">
        <f t="shared" si="54"/>
        <v>0</v>
      </c>
      <c r="DM82" s="45">
        <f t="shared" si="54"/>
        <v>0</v>
      </c>
      <c r="DN82" s="45">
        <f t="shared" si="54"/>
        <v>0</v>
      </c>
      <c r="DO82" s="45">
        <f t="shared" si="54"/>
        <v>0</v>
      </c>
      <c r="DP82" s="45">
        <f t="shared" si="54"/>
        <v>0</v>
      </c>
      <c r="DQ82" s="45">
        <f t="shared" si="54"/>
        <v>0</v>
      </c>
      <c r="DR82" s="45">
        <f t="shared" si="54"/>
        <v>0</v>
      </c>
      <c r="DS82" s="45">
        <f t="shared" si="54"/>
        <v>0</v>
      </c>
      <c r="DT82" s="45">
        <f t="shared" si="54"/>
        <v>0</v>
      </c>
      <c r="DU82" s="45">
        <f t="shared" si="54"/>
        <v>0</v>
      </c>
      <c r="DV82" s="45">
        <f t="shared" si="54"/>
        <v>0</v>
      </c>
      <c r="DW82" s="45">
        <f t="shared" si="54"/>
        <v>0</v>
      </c>
      <c r="DX82" s="45">
        <f t="shared" si="54"/>
        <v>0</v>
      </c>
      <c r="DY82" s="45">
        <f t="shared" si="54"/>
        <v>0</v>
      </c>
      <c r="DZ82" s="45">
        <f t="shared" si="54"/>
        <v>0</v>
      </c>
      <c r="EA82" s="45">
        <f t="shared" si="54"/>
        <v>0</v>
      </c>
      <c r="EB82" s="45">
        <f t="shared" si="54"/>
        <v>0</v>
      </c>
      <c r="EC82" s="45">
        <f t="shared" si="54"/>
        <v>0</v>
      </c>
      <c r="ED82" s="45">
        <f t="shared" si="54"/>
        <v>0</v>
      </c>
      <c r="EE82" s="45">
        <f t="shared" si="54"/>
        <v>0</v>
      </c>
      <c r="EF82" s="45">
        <f t="shared" si="54"/>
        <v>0</v>
      </c>
      <c r="EG82" s="45">
        <f t="shared" si="54"/>
        <v>0</v>
      </c>
      <c r="EH82" s="45">
        <f t="shared" si="54"/>
        <v>0</v>
      </c>
      <c r="EI82" s="45">
        <f t="shared" si="54"/>
        <v>0</v>
      </c>
      <c r="EJ82" s="45">
        <f t="shared" si="54"/>
        <v>0</v>
      </c>
      <c r="EK82" s="45">
        <f t="shared" si="54"/>
        <v>0</v>
      </c>
      <c r="EL82" s="45">
        <f t="shared" si="54"/>
        <v>0</v>
      </c>
      <c r="EM82" s="45">
        <f t="shared" ref="EM82:GX82" si="55">EM93</f>
        <v>0</v>
      </c>
      <c r="EN82" s="45">
        <f t="shared" si="55"/>
        <v>0</v>
      </c>
      <c r="EO82" s="45">
        <f t="shared" si="55"/>
        <v>0</v>
      </c>
      <c r="EP82" s="45">
        <f t="shared" si="55"/>
        <v>0</v>
      </c>
      <c r="EQ82" s="45">
        <f t="shared" si="55"/>
        <v>0</v>
      </c>
      <c r="ER82" s="45">
        <f t="shared" si="55"/>
        <v>0</v>
      </c>
      <c r="ES82" s="45">
        <f t="shared" si="55"/>
        <v>0</v>
      </c>
      <c r="ET82" s="45">
        <f t="shared" si="55"/>
        <v>0</v>
      </c>
      <c r="EU82" s="45">
        <f t="shared" si="55"/>
        <v>0</v>
      </c>
      <c r="EV82" s="45">
        <f t="shared" si="55"/>
        <v>0</v>
      </c>
      <c r="EW82" s="45">
        <f t="shared" si="55"/>
        <v>0</v>
      </c>
      <c r="EX82" s="45">
        <f t="shared" si="55"/>
        <v>0</v>
      </c>
      <c r="EY82" s="45">
        <f t="shared" si="55"/>
        <v>0</v>
      </c>
      <c r="EZ82" s="45">
        <f t="shared" si="55"/>
        <v>0</v>
      </c>
      <c r="FA82" s="45">
        <f t="shared" si="55"/>
        <v>0</v>
      </c>
      <c r="FB82" s="45">
        <f t="shared" si="55"/>
        <v>0</v>
      </c>
      <c r="FC82" s="45">
        <f t="shared" si="55"/>
        <v>0</v>
      </c>
      <c r="FD82" s="45">
        <f t="shared" si="55"/>
        <v>0</v>
      </c>
      <c r="FE82" s="45">
        <f t="shared" si="55"/>
        <v>0</v>
      </c>
      <c r="FF82" s="45">
        <f t="shared" si="55"/>
        <v>0</v>
      </c>
      <c r="FG82" s="45">
        <f t="shared" si="55"/>
        <v>0</v>
      </c>
      <c r="FH82" s="45">
        <f t="shared" si="55"/>
        <v>0</v>
      </c>
      <c r="FI82" s="45">
        <f t="shared" si="55"/>
        <v>0</v>
      </c>
      <c r="FJ82" s="45">
        <f t="shared" si="55"/>
        <v>0</v>
      </c>
      <c r="FK82" s="45">
        <f t="shared" si="55"/>
        <v>0</v>
      </c>
      <c r="FL82" s="45">
        <f t="shared" si="55"/>
        <v>0</v>
      </c>
      <c r="FM82" s="45">
        <f t="shared" si="55"/>
        <v>0</v>
      </c>
      <c r="FN82" s="45">
        <f t="shared" si="55"/>
        <v>0</v>
      </c>
      <c r="FO82" s="45">
        <f t="shared" si="55"/>
        <v>0</v>
      </c>
      <c r="FP82" s="45">
        <f t="shared" si="55"/>
        <v>0</v>
      </c>
      <c r="FQ82" s="45">
        <f t="shared" si="55"/>
        <v>0</v>
      </c>
      <c r="FR82" s="45">
        <f t="shared" si="55"/>
        <v>0</v>
      </c>
      <c r="FS82" s="45">
        <f t="shared" si="55"/>
        <v>0</v>
      </c>
      <c r="FT82" s="45">
        <f t="shared" si="55"/>
        <v>0</v>
      </c>
      <c r="FU82" s="45">
        <f t="shared" si="55"/>
        <v>0</v>
      </c>
      <c r="FV82" s="45">
        <f t="shared" si="55"/>
        <v>0</v>
      </c>
      <c r="FW82" s="45">
        <f t="shared" si="55"/>
        <v>0</v>
      </c>
      <c r="FX82" s="45">
        <f t="shared" si="55"/>
        <v>0</v>
      </c>
      <c r="FY82" s="45">
        <f t="shared" si="55"/>
        <v>0</v>
      </c>
      <c r="FZ82" s="45">
        <f t="shared" si="55"/>
        <v>0</v>
      </c>
      <c r="GA82" s="45">
        <f t="shared" si="55"/>
        <v>0</v>
      </c>
      <c r="GB82" s="45">
        <f t="shared" si="55"/>
        <v>0</v>
      </c>
      <c r="GC82" s="45">
        <f t="shared" si="55"/>
        <v>0</v>
      </c>
      <c r="GD82" s="45">
        <f t="shared" si="55"/>
        <v>0</v>
      </c>
      <c r="GE82" s="45">
        <f t="shared" si="55"/>
        <v>0</v>
      </c>
      <c r="GF82" s="45">
        <f t="shared" si="55"/>
        <v>0</v>
      </c>
      <c r="GG82" s="45">
        <f t="shared" si="55"/>
        <v>0</v>
      </c>
      <c r="GH82" s="45">
        <f t="shared" si="55"/>
        <v>0</v>
      </c>
      <c r="GI82" s="45">
        <f t="shared" si="55"/>
        <v>0</v>
      </c>
      <c r="GJ82" s="45">
        <f t="shared" si="55"/>
        <v>0</v>
      </c>
      <c r="GK82" s="45">
        <f t="shared" si="55"/>
        <v>0</v>
      </c>
      <c r="GL82" s="45">
        <f t="shared" si="55"/>
        <v>0</v>
      </c>
      <c r="GM82" s="45">
        <f t="shared" si="55"/>
        <v>0</v>
      </c>
      <c r="GN82" s="45">
        <f t="shared" si="55"/>
        <v>0</v>
      </c>
      <c r="GO82" s="45">
        <f t="shared" si="55"/>
        <v>0</v>
      </c>
      <c r="GP82" s="45">
        <f t="shared" si="55"/>
        <v>0</v>
      </c>
      <c r="GQ82" s="45">
        <f t="shared" si="55"/>
        <v>0</v>
      </c>
      <c r="GR82" s="45">
        <f t="shared" si="55"/>
        <v>0</v>
      </c>
      <c r="GS82" s="45">
        <f t="shared" si="55"/>
        <v>0</v>
      </c>
      <c r="GT82" s="45">
        <f t="shared" si="55"/>
        <v>0</v>
      </c>
      <c r="GU82" s="45">
        <f t="shared" si="55"/>
        <v>0</v>
      </c>
      <c r="GV82" s="45">
        <f t="shared" si="55"/>
        <v>0</v>
      </c>
      <c r="GW82" s="45">
        <f t="shared" si="55"/>
        <v>0</v>
      </c>
      <c r="GX82" s="45">
        <f t="shared" si="55"/>
        <v>0</v>
      </c>
    </row>
    <row r="84" spans="1:245" x14ac:dyDescent="0.25">
      <c r="A84" s="2">
        <v>17</v>
      </c>
      <c r="B84" s="2">
        <v>1</v>
      </c>
      <c r="C84" s="2">
        <f>ROW('SmtRes (2)'!A41)</f>
        <v>41</v>
      </c>
      <c r="D84" s="2">
        <f>ROW('EtalonRes (2)'!A39)</f>
        <v>39</v>
      </c>
      <c r="E84" s="2" t="s">
        <v>282</v>
      </c>
      <c r="F84" s="2" t="s">
        <v>283</v>
      </c>
      <c r="G84" s="2" t="s">
        <v>284</v>
      </c>
      <c r="H84" s="2" t="s">
        <v>64</v>
      </c>
      <c r="I84" s="2">
        <v>262</v>
      </c>
      <c r="J84" s="2">
        <v>0</v>
      </c>
      <c r="K84" s="2">
        <v>262</v>
      </c>
      <c r="O84" s="2">
        <f t="shared" ref="O84:O91" si="56">ROUND(CP84,2)</f>
        <v>241736.92</v>
      </c>
      <c r="P84" s="2">
        <f t="shared" ref="P84:P91" si="57">ROUND(CQ84*I84,2)</f>
        <v>150532.1</v>
      </c>
      <c r="Q84" s="2">
        <f t="shared" ref="Q84:Q91" si="58">ROUND(CR84*I84,2)</f>
        <v>52392.14</v>
      </c>
      <c r="R84" s="2">
        <f t="shared" ref="R84:R91" si="59">ROUND(CS84*I84,2)</f>
        <v>29611.24</v>
      </c>
      <c r="S84" s="2">
        <f t="shared" ref="S84:S91" si="60">ROUND(CT84*I84,2)</f>
        <v>38812.68</v>
      </c>
      <c r="T84" s="2">
        <f t="shared" ref="T84:T91" si="61">ROUND(CU84*I84,2)</f>
        <v>0</v>
      </c>
      <c r="U84" s="2">
        <f t="shared" ref="U84:U91" si="62">CV84*I84</f>
        <v>172.92</v>
      </c>
      <c r="V84" s="2">
        <f t="shared" ref="V84:V91" si="63">CW84*I84</f>
        <v>0</v>
      </c>
      <c r="W84" s="2">
        <f t="shared" ref="W84:W91" si="64">ROUND(CX84*I84,2)</f>
        <v>0</v>
      </c>
      <c r="X84" s="2">
        <f t="shared" ref="X84:Y91" si="65">ROUND(CY84,2)</f>
        <v>27168.880000000001</v>
      </c>
      <c r="Y84" s="2">
        <f t="shared" si="65"/>
        <v>3881.27</v>
      </c>
      <c r="AA84" s="2">
        <v>52262273</v>
      </c>
      <c r="AB84" s="2">
        <f t="shared" ref="AB84:AB91" si="66">ROUND((AC84+AD84+AF84),6)</f>
        <v>922.66</v>
      </c>
      <c r="AC84" s="2">
        <f>ROUND((ES84),6)</f>
        <v>574.54999999999995</v>
      </c>
      <c r="AD84" s="2">
        <f>ROUND((((ET84)-(EU84))+AE84),6)</f>
        <v>199.97</v>
      </c>
      <c r="AE84" s="2">
        <f t="shared" ref="AE84:AF87" si="67">ROUND((EU84),6)</f>
        <v>113.02</v>
      </c>
      <c r="AF84" s="2">
        <f t="shared" si="67"/>
        <v>148.13999999999999</v>
      </c>
      <c r="AG84" s="2">
        <f t="shared" ref="AG84:AG91" si="68">ROUND((AP84),6)</f>
        <v>0</v>
      </c>
      <c r="AH84" s="2">
        <f t="shared" ref="AH84:AI87" si="69">(EW84)</f>
        <v>0.66</v>
      </c>
      <c r="AI84" s="2">
        <f t="shared" si="69"/>
        <v>0</v>
      </c>
      <c r="AJ84" s="2">
        <f t="shared" ref="AJ84:AJ91" si="70">(AS84)</f>
        <v>0</v>
      </c>
      <c r="AK84" s="2">
        <v>922.66</v>
      </c>
      <c r="AL84" s="2">
        <v>574.54999999999995</v>
      </c>
      <c r="AM84" s="2">
        <v>199.97</v>
      </c>
      <c r="AN84" s="2">
        <v>113.02</v>
      </c>
      <c r="AO84" s="2">
        <v>148.13999999999999</v>
      </c>
      <c r="AP84" s="2">
        <v>0</v>
      </c>
      <c r="AQ84" s="2">
        <v>0.66</v>
      </c>
      <c r="AR84" s="2">
        <v>0</v>
      </c>
      <c r="AS84" s="2">
        <v>0</v>
      </c>
      <c r="AT84" s="2">
        <v>70</v>
      </c>
      <c r="AU84" s="2">
        <v>10</v>
      </c>
      <c r="AV84" s="2">
        <v>1</v>
      </c>
      <c r="AW84" s="2">
        <v>1</v>
      </c>
      <c r="AZ84" s="2">
        <v>1</v>
      </c>
      <c r="BA84" s="2">
        <v>1</v>
      </c>
      <c r="BB84" s="2">
        <v>1</v>
      </c>
      <c r="BC84" s="2">
        <v>1</v>
      </c>
      <c r="BD84" s="2" t="s">
        <v>30</v>
      </c>
      <c r="BE84" s="2" t="s">
        <v>30</v>
      </c>
      <c r="BF84" s="2" t="s">
        <v>30</v>
      </c>
      <c r="BG84" s="2" t="s">
        <v>30</v>
      </c>
      <c r="BH84" s="2">
        <v>0</v>
      </c>
      <c r="BI84" s="2">
        <v>4</v>
      </c>
      <c r="BJ84" s="2" t="s">
        <v>285</v>
      </c>
      <c r="BM84" s="2">
        <v>0</v>
      </c>
      <c r="BN84" s="2">
        <v>0</v>
      </c>
      <c r="BO84" s="2" t="s">
        <v>30</v>
      </c>
      <c r="BP84" s="2">
        <v>0</v>
      </c>
      <c r="BQ84" s="2">
        <v>1</v>
      </c>
      <c r="BR84" s="2">
        <v>0</v>
      </c>
      <c r="BS84" s="2">
        <v>1</v>
      </c>
      <c r="BT84" s="2">
        <v>1</v>
      </c>
      <c r="BU84" s="2">
        <v>1</v>
      </c>
      <c r="BV84" s="2">
        <v>1</v>
      </c>
      <c r="BW84" s="2">
        <v>1</v>
      </c>
      <c r="BX84" s="2">
        <v>1</v>
      </c>
      <c r="BY84" s="2" t="s">
        <v>30</v>
      </c>
      <c r="BZ84" s="2">
        <v>70</v>
      </c>
      <c r="CA84" s="2">
        <v>10</v>
      </c>
      <c r="CB84" s="2" t="s">
        <v>30</v>
      </c>
      <c r="CE84" s="2">
        <v>0</v>
      </c>
      <c r="CF84" s="2">
        <v>0</v>
      </c>
      <c r="CG84" s="2">
        <v>0</v>
      </c>
      <c r="CM84" s="2">
        <v>0</v>
      </c>
      <c r="CN84" s="2" t="s">
        <v>30</v>
      </c>
      <c r="CO84" s="2">
        <v>0</v>
      </c>
      <c r="CP84" s="2">
        <f t="shared" ref="CP84:CP91" si="71">(P84+Q84+S84)</f>
        <v>241736.92</v>
      </c>
      <c r="CQ84" s="2">
        <f t="shared" ref="CQ84:CQ91" si="72">(AC84*BC84*AW84)</f>
        <v>574.54999999999995</v>
      </c>
      <c r="CR84" s="2">
        <f>((((ET84)*BB84-(EU84)*BS84)+AE84*BS84)*AV84)</f>
        <v>199.97</v>
      </c>
      <c r="CS84" s="2">
        <f t="shared" ref="CS84:CS91" si="73">(AE84*BS84*AV84)</f>
        <v>113.02</v>
      </c>
      <c r="CT84" s="2">
        <f t="shared" ref="CT84:CT91" si="74">(AF84*BA84*AV84)</f>
        <v>148.13999999999999</v>
      </c>
      <c r="CU84" s="2">
        <f t="shared" ref="CU84:CU91" si="75">AG84</f>
        <v>0</v>
      </c>
      <c r="CV84" s="2">
        <f t="shared" ref="CV84:CV91" si="76">(AH84*AV84)</f>
        <v>0.66</v>
      </c>
      <c r="CW84" s="2">
        <f t="shared" ref="CW84:CX91" si="77">AI84</f>
        <v>0</v>
      </c>
      <c r="CX84" s="2">
        <f t="shared" si="77"/>
        <v>0</v>
      </c>
      <c r="CY84" s="2">
        <f t="shared" ref="CY84:CY91" si="78">((S84*BZ84)/100)</f>
        <v>27168.876</v>
      </c>
      <c r="CZ84" s="2">
        <f t="shared" ref="CZ84:CZ91" si="79">((S84*CA84)/100)</f>
        <v>3881.268</v>
      </c>
      <c r="DC84" s="2" t="s">
        <v>30</v>
      </c>
      <c r="DD84" s="2" t="s">
        <v>30</v>
      </c>
      <c r="DE84" s="2" t="s">
        <v>30</v>
      </c>
      <c r="DF84" s="2" t="s">
        <v>30</v>
      </c>
      <c r="DG84" s="2" t="s">
        <v>30</v>
      </c>
      <c r="DH84" s="2" t="s">
        <v>30</v>
      </c>
      <c r="DI84" s="2" t="s">
        <v>30</v>
      </c>
      <c r="DJ84" s="2" t="s">
        <v>30</v>
      </c>
      <c r="DK84" s="2" t="s">
        <v>30</v>
      </c>
      <c r="DL84" s="2" t="s">
        <v>30</v>
      </c>
      <c r="DM84" s="2" t="s">
        <v>30</v>
      </c>
      <c r="DN84" s="2">
        <v>0</v>
      </c>
      <c r="DO84" s="2">
        <v>0</v>
      </c>
      <c r="DP84" s="2">
        <v>1</v>
      </c>
      <c r="DQ84" s="2">
        <v>1</v>
      </c>
      <c r="DU84" s="2">
        <v>1003</v>
      </c>
      <c r="DV84" s="2" t="s">
        <v>64</v>
      </c>
      <c r="DW84" s="2" t="s">
        <v>64</v>
      </c>
      <c r="DX84" s="2">
        <v>1</v>
      </c>
      <c r="DZ84" s="2" t="s">
        <v>30</v>
      </c>
      <c r="EA84" s="2" t="s">
        <v>30</v>
      </c>
      <c r="EB84" s="2" t="s">
        <v>30</v>
      </c>
      <c r="EC84" s="2" t="s">
        <v>30</v>
      </c>
      <c r="EE84" s="2">
        <v>49661954</v>
      </c>
      <c r="EF84" s="2">
        <v>1</v>
      </c>
      <c r="EG84" s="2" t="s">
        <v>180</v>
      </c>
      <c r="EH84" s="2">
        <v>0</v>
      </c>
      <c r="EI84" s="2" t="s">
        <v>30</v>
      </c>
      <c r="EJ84" s="2">
        <v>4</v>
      </c>
      <c r="EK84" s="2">
        <v>0</v>
      </c>
      <c r="EL84" s="2" t="s">
        <v>181</v>
      </c>
      <c r="EM84" s="2" t="s">
        <v>182</v>
      </c>
      <c r="EO84" s="2" t="s">
        <v>30</v>
      </c>
      <c r="EQ84" s="2">
        <v>0</v>
      </c>
      <c r="ER84" s="2">
        <v>922.66</v>
      </c>
      <c r="ES84" s="2">
        <v>574.54999999999995</v>
      </c>
      <c r="ET84" s="2">
        <v>199.97</v>
      </c>
      <c r="EU84" s="2">
        <v>113.02</v>
      </c>
      <c r="EV84" s="2">
        <v>148.13999999999999</v>
      </c>
      <c r="EW84" s="2">
        <v>0.66</v>
      </c>
      <c r="EX84" s="2">
        <v>0</v>
      </c>
      <c r="EY84" s="2">
        <v>0</v>
      </c>
      <c r="FQ84" s="2">
        <v>0</v>
      </c>
      <c r="FR84" s="2">
        <f t="shared" ref="FR84:FR91" si="80">ROUND(IF(AND(BH84=3,BI84=3),P84,0),2)</f>
        <v>0</v>
      </c>
      <c r="FS84" s="2">
        <v>0</v>
      </c>
      <c r="FX84" s="2">
        <v>70</v>
      </c>
      <c r="FY84" s="2">
        <v>10</v>
      </c>
      <c r="GA84" s="2" t="s">
        <v>30</v>
      </c>
      <c r="GD84" s="2">
        <v>0</v>
      </c>
      <c r="GF84" s="2">
        <v>999669814</v>
      </c>
      <c r="GG84" s="2">
        <v>2</v>
      </c>
      <c r="GH84" s="2">
        <v>1</v>
      </c>
      <c r="GI84" s="2">
        <v>-2</v>
      </c>
      <c r="GJ84" s="2">
        <v>0</v>
      </c>
      <c r="GK84" s="2">
        <f>ROUND(R84*(R12)/100,2)</f>
        <v>31980.14</v>
      </c>
      <c r="GL84" s="2">
        <f t="shared" ref="GL84:GL91" si="81">ROUND(IF(AND(BH84=3,BI84=3,FS84&lt;&gt;0),P84,0),2)</f>
        <v>0</v>
      </c>
      <c r="GM84" s="2">
        <f>ROUND(O84+X84+Y84+GK84,2)+GX84</f>
        <v>304767.21000000002</v>
      </c>
      <c r="GN84" s="2">
        <f>IF(OR(BI84=0,BI84=1),ROUND(O84+X84+Y84+GK84,2),0)</f>
        <v>0</v>
      </c>
      <c r="GO84" s="2">
        <f>IF(BI84=2,ROUND(O84+X84+Y84+GK84,2),0)</f>
        <v>0</v>
      </c>
      <c r="GP84" s="2">
        <f>IF(BI84=4,ROUND(O84+X84+Y84+GK84,2)+GX84,0)</f>
        <v>304767.21000000002</v>
      </c>
      <c r="GR84" s="2">
        <v>0</v>
      </c>
      <c r="GS84" s="2">
        <v>3</v>
      </c>
      <c r="GT84" s="2">
        <v>0</v>
      </c>
      <c r="GU84" s="2" t="s">
        <v>30</v>
      </c>
      <c r="GV84" s="2">
        <f t="shared" ref="GV84:GV91" si="82">ROUND((GT84),6)</f>
        <v>0</v>
      </c>
      <c r="GW84" s="2">
        <v>1</v>
      </c>
      <c r="GX84" s="2">
        <f t="shared" ref="GX84:GX91" si="83">ROUND(HC84*I84,2)</f>
        <v>0</v>
      </c>
      <c r="HA84" s="2">
        <v>0</v>
      </c>
      <c r="HB84" s="2">
        <v>0</v>
      </c>
      <c r="HC84" s="2">
        <f t="shared" ref="HC84:HC91" si="84">GV84*GW84</f>
        <v>0</v>
      </c>
      <c r="HE84" s="2" t="s">
        <v>30</v>
      </c>
      <c r="HF84" s="2" t="s">
        <v>30</v>
      </c>
      <c r="HM84" s="2" t="s">
        <v>30</v>
      </c>
      <c r="HN84" s="2" t="s">
        <v>30</v>
      </c>
      <c r="HO84" s="2" t="s">
        <v>30</v>
      </c>
      <c r="HP84" s="2" t="s">
        <v>30</v>
      </c>
      <c r="HQ84" s="2" t="s">
        <v>30</v>
      </c>
      <c r="IK84" s="2">
        <v>0</v>
      </c>
    </row>
    <row r="85" spans="1:245" x14ac:dyDescent="0.25">
      <c r="A85" s="2">
        <v>18</v>
      </c>
      <c r="B85" s="2">
        <v>1</v>
      </c>
      <c r="C85" s="2">
        <v>39</v>
      </c>
      <c r="E85" s="2" t="s">
        <v>35</v>
      </c>
      <c r="F85" s="2" t="s">
        <v>286</v>
      </c>
      <c r="G85" s="2" t="s">
        <v>287</v>
      </c>
      <c r="H85" s="2" t="s">
        <v>62</v>
      </c>
      <c r="I85" s="2">
        <f>I84*J85</f>
        <v>-0.15720000000000001</v>
      </c>
      <c r="J85" s="2">
        <v>-5.9999999999999995E-4</v>
      </c>
      <c r="K85" s="2">
        <v>-5.9999999999999995E-4</v>
      </c>
      <c r="O85" s="2">
        <f t="shared" si="56"/>
        <v>-538.79999999999995</v>
      </c>
      <c r="P85" s="2">
        <f t="shared" si="57"/>
        <v>-538.79999999999995</v>
      </c>
      <c r="Q85" s="2">
        <f t="shared" si="58"/>
        <v>0</v>
      </c>
      <c r="R85" s="2">
        <f t="shared" si="59"/>
        <v>0</v>
      </c>
      <c r="S85" s="2">
        <f t="shared" si="60"/>
        <v>0</v>
      </c>
      <c r="T85" s="2">
        <f t="shared" si="61"/>
        <v>0</v>
      </c>
      <c r="U85" s="2">
        <f t="shared" si="62"/>
        <v>0</v>
      </c>
      <c r="V85" s="2">
        <f t="shared" si="63"/>
        <v>0</v>
      </c>
      <c r="W85" s="2">
        <f t="shared" si="64"/>
        <v>0</v>
      </c>
      <c r="X85" s="2">
        <f t="shared" si="65"/>
        <v>0</v>
      </c>
      <c r="Y85" s="2">
        <f t="shared" si="65"/>
        <v>0</v>
      </c>
      <c r="AA85" s="2">
        <v>52262273</v>
      </c>
      <c r="AB85" s="2">
        <f t="shared" si="66"/>
        <v>3427.48</v>
      </c>
      <c r="AC85" s="2">
        <f>ROUND((ES85),6)</f>
        <v>3427.48</v>
      </c>
      <c r="AD85" s="2">
        <f>ROUND((((ET85)-(EU85))+AE85),6)</f>
        <v>0</v>
      </c>
      <c r="AE85" s="2">
        <f t="shared" si="67"/>
        <v>0</v>
      </c>
      <c r="AF85" s="2">
        <f t="shared" si="67"/>
        <v>0</v>
      </c>
      <c r="AG85" s="2">
        <f t="shared" si="68"/>
        <v>0</v>
      </c>
      <c r="AH85" s="2">
        <f t="shared" si="69"/>
        <v>0</v>
      </c>
      <c r="AI85" s="2">
        <f t="shared" si="69"/>
        <v>0</v>
      </c>
      <c r="AJ85" s="2">
        <f t="shared" si="70"/>
        <v>0</v>
      </c>
      <c r="AK85" s="2">
        <v>3427.48</v>
      </c>
      <c r="AL85" s="2">
        <v>3427.48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70</v>
      </c>
      <c r="AU85" s="2">
        <v>10</v>
      </c>
      <c r="AV85" s="2">
        <v>1</v>
      </c>
      <c r="AW85" s="2">
        <v>1</v>
      </c>
      <c r="AZ85" s="2">
        <v>1</v>
      </c>
      <c r="BA85" s="2">
        <v>1</v>
      </c>
      <c r="BB85" s="2">
        <v>1</v>
      </c>
      <c r="BC85" s="2">
        <v>1</v>
      </c>
      <c r="BD85" s="2" t="s">
        <v>30</v>
      </c>
      <c r="BE85" s="2" t="s">
        <v>30</v>
      </c>
      <c r="BF85" s="2" t="s">
        <v>30</v>
      </c>
      <c r="BG85" s="2" t="s">
        <v>30</v>
      </c>
      <c r="BH85" s="2">
        <v>3</v>
      </c>
      <c r="BI85" s="2">
        <v>4</v>
      </c>
      <c r="BJ85" s="2" t="s">
        <v>288</v>
      </c>
      <c r="BM85" s="2">
        <v>0</v>
      </c>
      <c r="BN85" s="2">
        <v>0</v>
      </c>
      <c r="BO85" s="2" t="s">
        <v>30</v>
      </c>
      <c r="BP85" s="2">
        <v>0</v>
      </c>
      <c r="BQ85" s="2">
        <v>1</v>
      </c>
      <c r="BR85" s="2">
        <v>1</v>
      </c>
      <c r="BS85" s="2">
        <v>1</v>
      </c>
      <c r="BT85" s="2">
        <v>1</v>
      </c>
      <c r="BU85" s="2">
        <v>1</v>
      </c>
      <c r="BV85" s="2">
        <v>1</v>
      </c>
      <c r="BW85" s="2">
        <v>1</v>
      </c>
      <c r="BX85" s="2">
        <v>1</v>
      </c>
      <c r="BY85" s="2" t="s">
        <v>30</v>
      </c>
      <c r="BZ85" s="2">
        <v>70</v>
      </c>
      <c r="CA85" s="2">
        <v>10</v>
      </c>
      <c r="CB85" s="2" t="s">
        <v>30</v>
      </c>
      <c r="CE85" s="2">
        <v>0</v>
      </c>
      <c r="CF85" s="2">
        <v>0</v>
      </c>
      <c r="CG85" s="2">
        <v>0</v>
      </c>
      <c r="CM85" s="2">
        <v>0</v>
      </c>
      <c r="CN85" s="2" t="s">
        <v>30</v>
      </c>
      <c r="CO85" s="2">
        <v>0</v>
      </c>
      <c r="CP85" s="2">
        <f t="shared" si="71"/>
        <v>-538.79999999999995</v>
      </c>
      <c r="CQ85" s="2">
        <f t="shared" si="72"/>
        <v>3427.48</v>
      </c>
      <c r="CR85" s="2">
        <f>((((ET85)*BB85-(EU85)*BS85)+AE85*BS85)*AV85)</f>
        <v>0</v>
      </c>
      <c r="CS85" s="2">
        <f t="shared" si="73"/>
        <v>0</v>
      </c>
      <c r="CT85" s="2">
        <f t="shared" si="74"/>
        <v>0</v>
      </c>
      <c r="CU85" s="2">
        <f t="shared" si="75"/>
        <v>0</v>
      </c>
      <c r="CV85" s="2">
        <f t="shared" si="76"/>
        <v>0</v>
      </c>
      <c r="CW85" s="2">
        <f t="shared" si="77"/>
        <v>0</v>
      </c>
      <c r="CX85" s="2">
        <f t="shared" si="77"/>
        <v>0</v>
      </c>
      <c r="CY85" s="2">
        <f t="shared" si="78"/>
        <v>0</v>
      </c>
      <c r="CZ85" s="2">
        <f t="shared" si="79"/>
        <v>0</v>
      </c>
      <c r="DC85" s="2" t="s">
        <v>30</v>
      </c>
      <c r="DD85" s="2" t="s">
        <v>30</v>
      </c>
      <c r="DE85" s="2" t="s">
        <v>30</v>
      </c>
      <c r="DF85" s="2" t="s">
        <v>30</v>
      </c>
      <c r="DG85" s="2" t="s">
        <v>30</v>
      </c>
      <c r="DH85" s="2" t="s">
        <v>30</v>
      </c>
      <c r="DI85" s="2" t="s">
        <v>30</v>
      </c>
      <c r="DJ85" s="2" t="s">
        <v>30</v>
      </c>
      <c r="DK85" s="2" t="s">
        <v>30</v>
      </c>
      <c r="DL85" s="2" t="s">
        <v>30</v>
      </c>
      <c r="DM85" s="2" t="s">
        <v>30</v>
      </c>
      <c r="DN85" s="2">
        <v>0</v>
      </c>
      <c r="DO85" s="2">
        <v>0</v>
      </c>
      <c r="DP85" s="2">
        <v>1</v>
      </c>
      <c r="DQ85" s="2">
        <v>1</v>
      </c>
      <c r="DU85" s="2">
        <v>1007</v>
      </c>
      <c r="DV85" s="2" t="s">
        <v>62</v>
      </c>
      <c r="DW85" s="2" t="s">
        <v>62</v>
      </c>
      <c r="DX85" s="2">
        <v>1</v>
      </c>
      <c r="DZ85" s="2" t="s">
        <v>30</v>
      </c>
      <c r="EA85" s="2" t="s">
        <v>30</v>
      </c>
      <c r="EB85" s="2" t="s">
        <v>30</v>
      </c>
      <c r="EC85" s="2" t="s">
        <v>30</v>
      </c>
      <c r="EE85" s="2">
        <v>49661954</v>
      </c>
      <c r="EF85" s="2">
        <v>1</v>
      </c>
      <c r="EG85" s="2" t="s">
        <v>180</v>
      </c>
      <c r="EH85" s="2">
        <v>0</v>
      </c>
      <c r="EI85" s="2" t="s">
        <v>30</v>
      </c>
      <c r="EJ85" s="2">
        <v>4</v>
      </c>
      <c r="EK85" s="2">
        <v>0</v>
      </c>
      <c r="EL85" s="2" t="s">
        <v>181</v>
      </c>
      <c r="EM85" s="2" t="s">
        <v>182</v>
      </c>
      <c r="EO85" s="2" t="s">
        <v>30</v>
      </c>
      <c r="EQ85" s="2">
        <v>0</v>
      </c>
      <c r="ER85" s="2">
        <v>3427.48</v>
      </c>
      <c r="ES85" s="2">
        <v>3427.48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FQ85" s="2">
        <v>0</v>
      </c>
      <c r="FR85" s="2">
        <f t="shared" si="80"/>
        <v>0</v>
      </c>
      <c r="FS85" s="2">
        <v>0</v>
      </c>
      <c r="FX85" s="2">
        <v>70</v>
      </c>
      <c r="FY85" s="2">
        <v>10</v>
      </c>
      <c r="GA85" s="2" t="s">
        <v>30</v>
      </c>
      <c r="GD85" s="2">
        <v>0</v>
      </c>
      <c r="GF85" s="2">
        <v>820745631</v>
      </c>
      <c r="GG85" s="2">
        <v>2</v>
      </c>
      <c r="GH85" s="2">
        <v>1</v>
      </c>
      <c r="GI85" s="2">
        <v>-2</v>
      </c>
      <c r="GJ85" s="2">
        <v>0</v>
      </c>
      <c r="GK85" s="2">
        <f>ROUND(R85*(R12)/100,2)</f>
        <v>0</v>
      </c>
      <c r="GL85" s="2">
        <f t="shared" si="81"/>
        <v>0</v>
      </c>
      <c r="GM85" s="2">
        <f>ROUND(O85+X85+Y85+GK85,2)+GX85</f>
        <v>-538.79999999999995</v>
      </c>
      <c r="GN85" s="2">
        <f>IF(OR(BI85=0,BI85=1),ROUND(O85+X85+Y85+GK85,2),0)</f>
        <v>0</v>
      </c>
      <c r="GO85" s="2">
        <f>IF(BI85=2,ROUND(O85+X85+Y85+GK85,2),0)</f>
        <v>0</v>
      </c>
      <c r="GP85" s="2">
        <f>IF(BI85=4,ROUND(O85+X85+Y85+GK85,2)+GX85,0)</f>
        <v>-538.79999999999995</v>
      </c>
      <c r="GR85" s="2">
        <v>0</v>
      </c>
      <c r="GS85" s="2">
        <v>3</v>
      </c>
      <c r="GT85" s="2">
        <v>0</v>
      </c>
      <c r="GU85" s="2" t="s">
        <v>30</v>
      </c>
      <c r="GV85" s="2">
        <f t="shared" si="82"/>
        <v>0</v>
      </c>
      <c r="GW85" s="2">
        <v>1</v>
      </c>
      <c r="GX85" s="2">
        <f t="shared" si="83"/>
        <v>0</v>
      </c>
      <c r="HA85" s="2">
        <v>0</v>
      </c>
      <c r="HB85" s="2">
        <v>0</v>
      </c>
      <c r="HC85" s="2">
        <f t="shared" si="84"/>
        <v>0</v>
      </c>
      <c r="HE85" s="2" t="s">
        <v>30</v>
      </c>
      <c r="HF85" s="2" t="s">
        <v>30</v>
      </c>
      <c r="HM85" s="2" t="s">
        <v>30</v>
      </c>
      <c r="HN85" s="2" t="s">
        <v>30</v>
      </c>
      <c r="HO85" s="2" t="s">
        <v>30</v>
      </c>
      <c r="HP85" s="2" t="s">
        <v>30</v>
      </c>
      <c r="HQ85" s="2" t="s">
        <v>30</v>
      </c>
      <c r="IK85" s="2">
        <v>0</v>
      </c>
    </row>
    <row r="86" spans="1:245" x14ac:dyDescent="0.25">
      <c r="A86" s="2">
        <v>18</v>
      </c>
      <c r="B86" s="2">
        <v>1</v>
      </c>
      <c r="C86" s="2">
        <v>41</v>
      </c>
      <c r="E86" s="2" t="s">
        <v>36</v>
      </c>
      <c r="F86" s="2" t="s">
        <v>289</v>
      </c>
      <c r="G86" s="2" t="s">
        <v>290</v>
      </c>
      <c r="H86" s="2" t="s">
        <v>63</v>
      </c>
      <c r="I86" s="2">
        <f>I84*J86</f>
        <v>-64.451999999999998</v>
      </c>
      <c r="J86" s="2">
        <v>-0.246</v>
      </c>
      <c r="K86" s="2">
        <v>-0.246</v>
      </c>
      <c r="O86" s="2">
        <f t="shared" si="56"/>
        <v>0</v>
      </c>
      <c r="P86" s="2">
        <f t="shared" si="57"/>
        <v>0</v>
      </c>
      <c r="Q86" s="2">
        <f t="shared" si="58"/>
        <v>0</v>
      </c>
      <c r="R86" s="2">
        <f t="shared" si="59"/>
        <v>0</v>
      </c>
      <c r="S86" s="2">
        <f t="shared" si="60"/>
        <v>0</v>
      </c>
      <c r="T86" s="2">
        <f t="shared" si="61"/>
        <v>0</v>
      </c>
      <c r="U86" s="2">
        <f t="shared" si="62"/>
        <v>0</v>
      </c>
      <c r="V86" s="2">
        <f t="shared" si="63"/>
        <v>0</v>
      </c>
      <c r="W86" s="2">
        <f t="shared" si="64"/>
        <v>0</v>
      </c>
      <c r="X86" s="2">
        <f t="shared" si="65"/>
        <v>0</v>
      </c>
      <c r="Y86" s="2">
        <f t="shared" si="65"/>
        <v>0</v>
      </c>
      <c r="AA86" s="2">
        <v>52262273</v>
      </c>
      <c r="AB86" s="2">
        <f t="shared" si="66"/>
        <v>0</v>
      </c>
      <c r="AC86" s="2">
        <f>ROUND((ES86),6)</f>
        <v>0</v>
      </c>
      <c r="AD86" s="2">
        <f>ROUND((((ET86)-(EU86))+AE86),6)</f>
        <v>0</v>
      </c>
      <c r="AE86" s="2">
        <f t="shared" si="67"/>
        <v>0</v>
      </c>
      <c r="AF86" s="2">
        <f t="shared" si="67"/>
        <v>0</v>
      </c>
      <c r="AG86" s="2">
        <f t="shared" si="68"/>
        <v>0</v>
      </c>
      <c r="AH86" s="2">
        <f t="shared" si="69"/>
        <v>0</v>
      </c>
      <c r="AI86" s="2">
        <f t="shared" si="69"/>
        <v>0</v>
      </c>
      <c r="AJ86" s="2">
        <f t="shared" si="70"/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70</v>
      </c>
      <c r="AU86" s="2">
        <v>10</v>
      </c>
      <c r="AV86" s="2">
        <v>1</v>
      </c>
      <c r="AW86" s="2">
        <v>1</v>
      </c>
      <c r="AZ86" s="2">
        <v>1</v>
      </c>
      <c r="BA86" s="2">
        <v>1</v>
      </c>
      <c r="BB86" s="2">
        <v>1</v>
      </c>
      <c r="BC86" s="2">
        <v>1</v>
      </c>
      <c r="BD86" s="2" t="s">
        <v>30</v>
      </c>
      <c r="BE86" s="2" t="s">
        <v>30</v>
      </c>
      <c r="BF86" s="2" t="s">
        <v>30</v>
      </c>
      <c r="BG86" s="2" t="s">
        <v>30</v>
      </c>
      <c r="BH86" s="2">
        <v>3</v>
      </c>
      <c r="BI86" s="2">
        <v>4</v>
      </c>
      <c r="BJ86" s="2" t="s">
        <v>30</v>
      </c>
      <c r="BM86" s="2">
        <v>0</v>
      </c>
      <c r="BN86" s="2">
        <v>0</v>
      </c>
      <c r="BO86" s="2" t="s">
        <v>30</v>
      </c>
      <c r="BP86" s="2">
        <v>0</v>
      </c>
      <c r="BQ86" s="2">
        <v>1</v>
      </c>
      <c r="BR86" s="2">
        <v>1</v>
      </c>
      <c r="BS86" s="2">
        <v>1</v>
      </c>
      <c r="BT86" s="2">
        <v>1</v>
      </c>
      <c r="BU86" s="2">
        <v>1</v>
      </c>
      <c r="BV86" s="2">
        <v>1</v>
      </c>
      <c r="BW86" s="2">
        <v>1</v>
      </c>
      <c r="BX86" s="2">
        <v>1</v>
      </c>
      <c r="BY86" s="2" t="s">
        <v>30</v>
      </c>
      <c r="BZ86" s="2">
        <v>70</v>
      </c>
      <c r="CA86" s="2">
        <v>10</v>
      </c>
      <c r="CB86" s="2" t="s">
        <v>30</v>
      </c>
      <c r="CE86" s="2">
        <v>0</v>
      </c>
      <c r="CF86" s="2">
        <v>0</v>
      </c>
      <c r="CG86" s="2">
        <v>0</v>
      </c>
      <c r="CM86" s="2">
        <v>0</v>
      </c>
      <c r="CN86" s="2" t="s">
        <v>30</v>
      </c>
      <c r="CO86" s="2">
        <v>0</v>
      </c>
      <c r="CP86" s="2">
        <f t="shared" si="71"/>
        <v>0</v>
      </c>
      <c r="CQ86" s="2">
        <f t="shared" si="72"/>
        <v>0</v>
      </c>
      <c r="CR86" s="2">
        <f>((((ET86)*BB86-(EU86)*BS86)+AE86*BS86)*AV86)</f>
        <v>0</v>
      </c>
      <c r="CS86" s="2">
        <f t="shared" si="73"/>
        <v>0</v>
      </c>
      <c r="CT86" s="2">
        <f t="shared" si="74"/>
        <v>0</v>
      </c>
      <c r="CU86" s="2">
        <f t="shared" si="75"/>
        <v>0</v>
      </c>
      <c r="CV86" s="2">
        <f t="shared" si="76"/>
        <v>0</v>
      </c>
      <c r="CW86" s="2">
        <f t="shared" si="77"/>
        <v>0</v>
      </c>
      <c r="CX86" s="2">
        <f t="shared" si="77"/>
        <v>0</v>
      </c>
      <c r="CY86" s="2">
        <f t="shared" si="78"/>
        <v>0</v>
      </c>
      <c r="CZ86" s="2">
        <f t="shared" si="79"/>
        <v>0</v>
      </c>
      <c r="DC86" s="2" t="s">
        <v>30</v>
      </c>
      <c r="DD86" s="2" t="s">
        <v>30</v>
      </c>
      <c r="DE86" s="2" t="s">
        <v>30</v>
      </c>
      <c r="DF86" s="2" t="s">
        <v>30</v>
      </c>
      <c r="DG86" s="2" t="s">
        <v>30</v>
      </c>
      <c r="DH86" s="2" t="s">
        <v>30</v>
      </c>
      <c r="DI86" s="2" t="s">
        <v>30</v>
      </c>
      <c r="DJ86" s="2" t="s">
        <v>30</v>
      </c>
      <c r="DK86" s="2" t="s">
        <v>30</v>
      </c>
      <c r="DL86" s="2" t="s">
        <v>30</v>
      </c>
      <c r="DM86" s="2" t="s">
        <v>30</v>
      </c>
      <c r="DN86" s="2">
        <v>0</v>
      </c>
      <c r="DO86" s="2">
        <v>0</v>
      </c>
      <c r="DP86" s="2">
        <v>1</v>
      </c>
      <c r="DQ86" s="2">
        <v>1</v>
      </c>
      <c r="DU86" s="2">
        <v>1009</v>
      </c>
      <c r="DV86" s="2" t="s">
        <v>63</v>
      </c>
      <c r="DW86" s="2" t="s">
        <v>63</v>
      </c>
      <c r="DX86" s="2">
        <v>1000</v>
      </c>
      <c r="DZ86" s="2" t="s">
        <v>30</v>
      </c>
      <c r="EA86" s="2" t="s">
        <v>30</v>
      </c>
      <c r="EB86" s="2" t="s">
        <v>30</v>
      </c>
      <c r="EC86" s="2" t="s">
        <v>30</v>
      </c>
      <c r="EE86" s="2">
        <v>49661954</v>
      </c>
      <c r="EF86" s="2">
        <v>1</v>
      </c>
      <c r="EG86" s="2" t="s">
        <v>180</v>
      </c>
      <c r="EH86" s="2">
        <v>0</v>
      </c>
      <c r="EI86" s="2" t="s">
        <v>30</v>
      </c>
      <c r="EJ86" s="2">
        <v>4</v>
      </c>
      <c r="EK86" s="2">
        <v>0</v>
      </c>
      <c r="EL86" s="2" t="s">
        <v>181</v>
      </c>
      <c r="EM86" s="2" t="s">
        <v>182</v>
      </c>
      <c r="EO86" s="2" t="s">
        <v>30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FQ86" s="2">
        <v>0</v>
      </c>
      <c r="FR86" s="2">
        <f t="shared" si="80"/>
        <v>0</v>
      </c>
      <c r="FS86" s="2">
        <v>0</v>
      </c>
      <c r="FX86" s="2">
        <v>70</v>
      </c>
      <c r="FY86" s="2">
        <v>10</v>
      </c>
      <c r="GA86" s="2" t="s">
        <v>30</v>
      </c>
      <c r="GD86" s="2">
        <v>0</v>
      </c>
      <c r="GF86" s="2">
        <v>1489638031</v>
      </c>
      <c r="GG86" s="2">
        <v>2</v>
      </c>
      <c r="GH86" s="2">
        <v>1</v>
      </c>
      <c r="GI86" s="2">
        <v>-2</v>
      </c>
      <c r="GJ86" s="2">
        <v>0</v>
      </c>
      <c r="GK86" s="2">
        <f>ROUND(R86*(R12)/100,2)</f>
        <v>0</v>
      </c>
      <c r="GL86" s="2">
        <f t="shared" si="81"/>
        <v>0</v>
      </c>
      <c r="GM86" s="2">
        <f>ROUND(O86+X86+Y86+GK86,2)+GX86</f>
        <v>0</v>
      </c>
      <c r="GN86" s="2">
        <f>IF(OR(BI86=0,BI86=1),ROUND(O86+X86+Y86+GK86,2),0)</f>
        <v>0</v>
      </c>
      <c r="GO86" s="2">
        <f>IF(BI86=2,ROUND(O86+X86+Y86+GK86,2),0)</f>
        <v>0</v>
      </c>
      <c r="GP86" s="2">
        <f>IF(BI86=4,ROUND(O86+X86+Y86+GK86,2)+GX86,0)</f>
        <v>0</v>
      </c>
      <c r="GR86" s="2">
        <v>0</v>
      </c>
      <c r="GS86" s="2">
        <v>3</v>
      </c>
      <c r="GT86" s="2">
        <v>0</v>
      </c>
      <c r="GU86" s="2" t="s">
        <v>30</v>
      </c>
      <c r="GV86" s="2">
        <f t="shared" si="82"/>
        <v>0</v>
      </c>
      <c r="GW86" s="2">
        <v>1</v>
      </c>
      <c r="GX86" s="2">
        <f t="shared" si="83"/>
        <v>0</v>
      </c>
      <c r="HA86" s="2">
        <v>0</v>
      </c>
      <c r="HB86" s="2">
        <v>0</v>
      </c>
      <c r="HC86" s="2">
        <f t="shared" si="84"/>
        <v>0</v>
      </c>
      <c r="HE86" s="2" t="s">
        <v>30</v>
      </c>
      <c r="HF86" s="2" t="s">
        <v>30</v>
      </c>
      <c r="HM86" s="2" t="s">
        <v>30</v>
      </c>
      <c r="HN86" s="2" t="s">
        <v>30</v>
      </c>
      <c r="HO86" s="2" t="s">
        <v>30</v>
      </c>
      <c r="HP86" s="2" t="s">
        <v>30</v>
      </c>
      <c r="HQ86" s="2" t="s">
        <v>30</v>
      </c>
      <c r="IK86" s="2">
        <v>0</v>
      </c>
    </row>
    <row r="87" spans="1:245" x14ac:dyDescent="0.25">
      <c r="A87" s="2">
        <v>17</v>
      </c>
      <c r="B87" s="2">
        <v>1</v>
      </c>
      <c r="C87" s="2">
        <f>ROW('SmtRes (2)'!A43)</f>
        <v>43</v>
      </c>
      <c r="D87" s="2">
        <f>ROW('EtalonRes (2)'!A41)</f>
        <v>41</v>
      </c>
      <c r="E87" s="2" t="s">
        <v>291</v>
      </c>
      <c r="F87" s="2" t="s">
        <v>199</v>
      </c>
      <c r="G87" s="2" t="s">
        <v>292</v>
      </c>
      <c r="H87" s="2" t="s">
        <v>63</v>
      </c>
      <c r="I87" s="2">
        <v>64.451999999999998</v>
      </c>
      <c r="J87" s="2">
        <v>0</v>
      </c>
      <c r="K87" s="2">
        <v>64.451999999999998</v>
      </c>
      <c r="O87" s="2">
        <f t="shared" si="56"/>
        <v>3945.75</v>
      </c>
      <c r="P87" s="2">
        <f t="shared" si="57"/>
        <v>0</v>
      </c>
      <c r="Q87" s="2">
        <f t="shared" si="58"/>
        <v>3945.75</v>
      </c>
      <c r="R87" s="2">
        <f t="shared" si="59"/>
        <v>2127.56</v>
      </c>
      <c r="S87" s="2">
        <f t="shared" si="60"/>
        <v>0</v>
      </c>
      <c r="T87" s="2">
        <f t="shared" si="61"/>
        <v>0</v>
      </c>
      <c r="U87" s="2">
        <f t="shared" si="62"/>
        <v>0</v>
      </c>
      <c r="V87" s="2">
        <f t="shared" si="63"/>
        <v>0</v>
      </c>
      <c r="W87" s="2">
        <f t="shared" si="64"/>
        <v>0</v>
      </c>
      <c r="X87" s="2">
        <f t="shared" si="65"/>
        <v>0</v>
      </c>
      <c r="Y87" s="2">
        <f t="shared" si="65"/>
        <v>0</v>
      </c>
      <c r="AA87" s="2">
        <v>52262273</v>
      </c>
      <c r="AB87" s="2">
        <f t="shared" si="66"/>
        <v>61.22</v>
      </c>
      <c r="AC87" s="2">
        <f>ROUND((ES87),6)</f>
        <v>0</v>
      </c>
      <c r="AD87" s="2">
        <f>ROUND((((ET87)-(EU87))+AE87),6)</f>
        <v>61.22</v>
      </c>
      <c r="AE87" s="2">
        <f t="shared" si="67"/>
        <v>33.01</v>
      </c>
      <c r="AF87" s="2">
        <f t="shared" si="67"/>
        <v>0</v>
      </c>
      <c r="AG87" s="2">
        <f t="shared" si="68"/>
        <v>0</v>
      </c>
      <c r="AH87" s="2">
        <f t="shared" si="69"/>
        <v>0</v>
      </c>
      <c r="AI87" s="2">
        <f t="shared" si="69"/>
        <v>0</v>
      </c>
      <c r="AJ87" s="2">
        <f t="shared" si="70"/>
        <v>0</v>
      </c>
      <c r="AK87" s="2">
        <v>61.22</v>
      </c>
      <c r="AL87" s="2">
        <v>0</v>
      </c>
      <c r="AM87" s="2">
        <v>61.22</v>
      </c>
      <c r="AN87" s="2">
        <v>33.01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1</v>
      </c>
      <c r="AW87" s="2">
        <v>1</v>
      </c>
      <c r="AZ87" s="2">
        <v>1</v>
      </c>
      <c r="BA87" s="2">
        <v>1</v>
      </c>
      <c r="BB87" s="2">
        <v>1</v>
      </c>
      <c r="BC87" s="2">
        <v>1</v>
      </c>
      <c r="BD87" s="2" t="s">
        <v>30</v>
      </c>
      <c r="BE87" s="2" t="s">
        <v>30</v>
      </c>
      <c r="BF87" s="2" t="s">
        <v>30</v>
      </c>
      <c r="BG87" s="2" t="s">
        <v>30</v>
      </c>
      <c r="BH87" s="2">
        <v>0</v>
      </c>
      <c r="BI87" s="2">
        <v>4</v>
      </c>
      <c r="BJ87" s="2" t="s">
        <v>201</v>
      </c>
      <c r="BM87" s="2">
        <v>1</v>
      </c>
      <c r="BN87" s="2">
        <v>0</v>
      </c>
      <c r="BO87" s="2" t="s">
        <v>30</v>
      </c>
      <c r="BP87" s="2">
        <v>0</v>
      </c>
      <c r="BQ87" s="2">
        <v>1</v>
      </c>
      <c r="BR87" s="2">
        <v>0</v>
      </c>
      <c r="BS87" s="2">
        <v>1</v>
      </c>
      <c r="BT87" s="2">
        <v>1</v>
      </c>
      <c r="BU87" s="2">
        <v>1</v>
      </c>
      <c r="BV87" s="2">
        <v>1</v>
      </c>
      <c r="BW87" s="2">
        <v>1</v>
      </c>
      <c r="BX87" s="2">
        <v>1</v>
      </c>
      <c r="BY87" s="2" t="s">
        <v>30</v>
      </c>
      <c r="BZ87" s="2">
        <v>0</v>
      </c>
      <c r="CA87" s="2">
        <v>0</v>
      </c>
      <c r="CB87" s="2" t="s">
        <v>30</v>
      </c>
      <c r="CE87" s="2">
        <v>0</v>
      </c>
      <c r="CF87" s="2">
        <v>0</v>
      </c>
      <c r="CG87" s="2">
        <v>0</v>
      </c>
      <c r="CM87" s="2">
        <v>0</v>
      </c>
      <c r="CN87" s="2" t="s">
        <v>30</v>
      </c>
      <c r="CO87" s="2">
        <v>0</v>
      </c>
      <c r="CP87" s="2">
        <f t="shared" si="71"/>
        <v>3945.75</v>
      </c>
      <c r="CQ87" s="2">
        <f t="shared" si="72"/>
        <v>0</v>
      </c>
      <c r="CR87" s="2">
        <f>((((ET87)*BB87-(EU87)*BS87)+AE87*BS87)*AV87)</f>
        <v>61.22</v>
      </c>
      <c r="CS87" s="2">
        <f t="shared" si="73"/>
        <v>33.01</v>
      </c>
      <c r="CT87" s="2">
        <f t="shared" si="74"/>
        <v>0</v>
      </c>
      <c r="CU87" s="2">
        <f t="shared" si="75"/>
        <v>0</v>
      </c>
      <c r="CV87" s="2">
        <f t="shared" si="76"/>
        <v>0</v>
      </c>
      <c r="CW87" s="2">
        <f t="shared" si="77"/>
        <v>0</v>
      </c>
      <c r="CX87" s="2">
        <f t="shared" si="77"/>
        <v>0</v>
      </c>
      <c r="CY87" s="2">
        <f t="shared" si="78"/>
        <v>0</v>
      </c>
      <c r="CZ87" s="2">
        <f t="shared" si="79"/>
        <v>0</v>
      </c>
      <c r="DC87" s="2" t="s">
        <v>30</v>
      </c>
      <c r="DD87" s="2" t="s">
        <v>30</v>
      </c>
      <c r="DE87" s="2" t="s">
        <v>30</v>
      </c>
      <c r="DF87" s="2" t="s">
        <v>30</v>
      </c>
      <c r="DG87" s="2" t="s">
        <v>30</v>
      </c>
      <c r="DH87" s="2" t="s">
        <v>30</v>
      </c>
      <c r="DI87" s="2" t="s">
        <v>30</v>
      </c>
      <c r="DJ87" s="2" t="s">
        <v>30</v>
      </c>
      <c r="DK87" s="2" t="s">
        <v>30</v>
      </c>
      <c r="DL87" s="2" t="s">
        <v>30</v>
      </c>
      <c r="DM87" s="2" t="s">
        <v>30</v>
      </c>
      <c r="DN87" s="2">
        <v>0</v>
      </c>
      <c r="DO87" s="2">
        <v>0</v>
      </c>
      <c r="DP87" s="2">
        <v>1</v>
      </c>
      <c r="DQ87" s="2">
        <v>1</v>
      </c>
      <c r="DU87" s="2">
        <v>1009</v>
      </c>
      <c r="DV87" s="2" t="s">
        <v>63</v>
      </c>
      <c r="DW87" s="2" t="s">
        <v>63</v>
      </c>
      <c r="DX87" s="2">
        <v>1000</v>
      </c>
      <c r="DZ87" s="2" t="s">
        <v>30</v>
      </c>
      <c r="EA87" s="2" t="s">
        <v>30</v>
      </c>
      <c r="EB87" s="2" t="s">
        <v>30</v>
      </c>
      <c r="EC87" s="2" t="s">
        <v>30</v>
      </c>
      <c r="EE87" s="2">
        <v>49661956</v>
      </c>
      <c r="EF87" s="2">
        <v>1</v>
      </c>
      <c r="EG87" s="2" t="s">
        <v>180</v>
      </c>
      <c r="EH87" s="2">
        <v>0</v>
      </c>
      <c r="EI87" s="2" t="s">
        <v>30</v>
      </c>
      <c r="EJ87" s="2">
        <v>4</v>
      </c>
      <c r="EK87" s="2">
        <v>1</v>
      </c>
      <c r="EL87" s="2" t="s">
        <v>202</v>
      </c>
      <c r="EM87" s="2" t="s">
        <v>182</v>
      </c>
      <c r="EO87" s="2" t="s">
        <v>30</v>
      </c>
      <c r="EQ87" s="2">
        <v>0</v>
      </c>
      <c r="ER87" s="2">
        <v>61.22</v>
      </c>
      <c r="ES87" s="2">
        <v>0</v>
      </c>
      <c r="ET87" s="2">
        <v>61.22</v>
      </c>
      <c r="EU87" s="2">
        <v>33.01</v>
      </c>
      <c r="EV87" s="2">
        <v>0</v>
      </c>
      <c r="EW87" s="2">
        <v>0</v>
      </c>
      <c r="EX87" s="2">
        <v>0</v>
      </c>
      <c r="EY87" s="2">
        <v>0</v>
      </c>
      <c r="FQ87" s="2">
        <v>0</v>
      </c>
      <c r="FR87" s="2">
        <f t="shared" si="80"/>
        <v>0</v>
      </c>
      <c r="FS87" s="2">
        <v>0</v>
      </c>
      <c r="FX87" s="2">
        <v>0</v>
      </c>
      <c r="FY87" s="2">
        <v>0</v>
      </c>
      <c r="GA87" s="2" t="s">
        <v>30</v>
      </c>
      <c r="GD87" s="2">
        <v>1</v>
      </c>
      <c r="GF87" s="2">
        <v>1602572179</v>
      </c>
      <c r="GG87" s="2">
        <v>2</v>
      </c>
      <c r="GH87" s="2">
        <v>1</v>
      </c>
      <c r="GI87" s="2">
        <v>-2</v>
      </c>
      <c r="GJ87" s="2">
        <v>0</v>
      </c>
      <c r="GK87" s="2">
        <v>0</v>
      </c>
      <c r="GL87" s="2">
        <f t="shared" si="81"/>
        <v>0</v>
      </c>
      <c r="GM87" s="2">
        <f>ROUND(O87+X87+Y87,2)+GX87</f>
        <v>3945.75</v>
      </c>
      <c r="GN87" s="2">
        <f>IF(OR(BI87=0,BI87=1),ROUND(O87+X87+Y87,2),0)</f>
        <v>0</v>
      </c>
      <c r="GO87" s="2">
        <f>IF(BI87=2,ROUND(O87+X87+Y87,2),0)</f>
        <v>0</v>
      </c>
      <c r="GP87" s="2">
        <f>IF(BI87=4,ROUND(O87+X87+Y87,2)+GX87,0)</f>
        <v>3945.75</v>
      </c>
      <c r="GR87" s="2">
        <v>0</v>
      </c>
      <c r="GS87" s="2">
        <v>0</v>
      </c>
      <c r="GT87" s="2">
        <v>0</v>
      </c>
      <c r="GU87" s="2" t="s">
        <v>30</v>
      </c>
      <c r="GV87" s="2">
        <f t="shared" si="82"/>
        <v>0</v>
      </c>
      <c r="GW87" s="2">
        <v>1</v>
      </c>
      <c r="GX87" s="2">
        <f t="shared" si="83"/>
        <v>0</v>
      </c>
      <c r="HA87" s="2">
        <v>0</v>
      </c>
      <c r="HB87" s="2">
        <v>0</v>
      </c>
      <c r="HC87" s="2">
        <f t="shared" si="84"/>
        <v>0</v>
      </c>
      <c r="HE87" s="2" t="s">
        <v>30</v>
      </c>
      <c r="HF87" s="2" t="s">
        <v>30</v>
      </c>
      <c r="HM87" s="2" t="s">
        <v>30</v>
      </c>
      <c r="HN87" s="2" t="s">
        <v>30</v>
      </c>
      <c r="HO87" s="2" t="s">
        <v>30</v>
      </c>
      <c r="HP87" s="2" t="s">
        <v>30</v>
      </c>
      <c r="HQ87" s="2" t="s">
        <v>30</v>
      </c>
      <c r="IK87" s="2">
        <v>0</v>
      </c>
    </row>
    <row r="88" spans="1:245" x14ac:dyDescent="0.25">
      <c r="A88" s="2">
        <v>17</v>
      </c>
      <c r="B88" s="2">
        <v>1</v>
      </c>
      <c r="C88" s="2">
        <f>ROW('SmtRes (2)'!A45)</f>
        <v>45</v>
      </c>
      <c r="D88" s="2">
        <f>ROW('EtalonRes (2)'!A43)</f>
        <v>43</v>
      </c>
      <c r="E88" s="2" t="s">
        <v>293</v>
      </c>
      <c r="F88" s="2" t="s">
        <v>204</v>
      </c>
      <c r="G88" s="2" t="s">
        <v>205</v>
      </c>
      <c r="H88" s="2" t="s">
        <v>63</v>
      </c>
      <c r="I88" s="2">
        <v>64.451999999999998</v>
      </c>
      <c r="J88" s="2">
        <v>0</v>
      </c>
      <c r="K88" s="2">
        <v>64.451999999999998</v>
      </c>
      <c r="O88" s="2">
        <f t="shared" si="56"/>
        <v>97160.1</v>
      </c>
      <c r="P88" s="2">
        <f t="shared" si="57"/>
        <v>0</v>
      </c>
      <c r="Q88" s="2">
        <f t="shared" si="58"/>
        <v>97160.1</v>
      </c>
      <c r="R88" s="2">
        <f t="shared" si="59"/>
        <v>52417.52</v>
      </c>
      <c r="S88" s="2">
        <f t="shared" si="60"/>
        <v>0</v>
      </c>
      <c r="T88" s="2">
        <f t="shared" si="61"/>
        <v>0</v>
      </c>
      <c r="U88" s="2">
        <f t="shared" si="62"/>
        <v>0</v>
      </c>
      <c r="V88" s="2">
        <f t="shared" si="63"/>
        <v>0</v>
      </c>
      <c r="W88" s="2">
        <f t="shared" si="64"/>
        <v>0</v>
      </c>
      <c r="X88" s="2">
        <f t="shared" si="65"/>
        <v>0</v>
      </c>
      <c r="Y88" s="2">
        <f t="shared" si="65"/>
        <v>0</v>
      </c>
      <c r="AA88" s="2">
        <v>52262273</v>
      </c>
      <c r="AB88" s="2">
        <f t="shared" si="66"/>
        <v>1507.48</v>
      </c>
      <c r="AC88" s="2">
        <f>ROUND(((ES88*52)),6)</f>
        <v>0</v>
      </c>
      <c r="AD88" s="2">
        <f>ROUND(((((ET88*52))-((EU88*52)))+AE88),6)</f>
        <v>1507.48</v>
      </c>
      <c r="AE88" s="2">
        <f>ROUND(((EU88*52)),6)</f>
        <v>813.28</v>
      </c>
      <c r="AF88" s="2">
        <f>ROUND(((EV88*52)),6)</f>
        <v>0</v>
      </c>
      <c r="AG88" s="2">
        <f t="shared" si="68"/>
        <v>0</v>
      </c>
      <c r="AH88" s="2">
        <f>((EW88*52))</f>
        <v>0</v>
      </c>
      <c r="AI88" s="2">
        <f>((EX88*52))</f>
        <v>0</v>
      </c>
      <c r="AJ88" s="2">
        <f t="shared" si="70"/>
        <v>0</v>
      </c>
      <c r="AK88" s="2">
        <v>28.99</v>
      </c>
      <c r="AL88" s="2">
        <v>0</v>
      </c>
      <c r="AM88" s="2">
        <v>28.99</v>
      </c>
      <c r="AN88" s="2">
        <v>15.64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1</v>
      </c>
      <c r="AW88" s="2">
        <v>1</v>
      </c>
      <c r="AZ88" s="2">
        <v>1</v>
      </c>
      <c r="BA88" s="2">
        <v>1</v>
      </c>
      <c r="BB88" s="2">
        <v>1</v>
      </c>
      <c r="BC88" s="2">
        <v>1</v>
      </c>
      <c r="BD88" s="2" t="s">
        <v>30</v>
      </c>
      <c r="BE88" s="2" t="s">
        <v>30</v>
      </c>
      <c r="BF88" s="2" t="s">
        <v>30</v>
      </c>
      <c r="BG88" s="2" t="s">
        <v>30</v>
      </c>
      <c r="BH88" s="2">
        <v>0</v>
      </c>
      <c r="BI88" s="2">
        <v>4</v>
      </c>
      <c r="BJ88" s="2" t="s">
        <v>206</v>
      </c>
      <c r="BM88" s="2">
        <v>1</v>
      </c>
      <c r="BN88" s="2">
        <v>0</v>
      </c>
      <c r="BO88" s="2" t="s">
        <v>30</v>
      </c>
      <c r="BP88" s="2">
        <v>0</v>
      </c>
      <c r="BQ88" s="2">
        <v>1</v>
      </c>
      <c r="BR88" s="2">
        <v>0</v>
      </c>
      <c r="BS88" s="2">
        <v>1</v>
      </c>
      <c r="BT88" s="2">
        <v>1</v>
      </c>
      <c r="BU88" s="2">
        <v>1</v>
      </c>
      <c r="BV88" s="2">
        <v>1</v>
      </c>
      <c r="BW88" s="2">
        <v>1</v>
      </c>
      <c r="BX88" s="2">
        <v>1</v>
      </c>
      <c r="BY88" s="2" t="s">
        <v>30</v>
      </c>
      <c r="BZ88" s="2">
        <v>0</v>
      </c>
      <c r="CA88" s="2">
        <v>0</v>
      </c>
      <c r="CB88" s="2" t="s">
        <v>30</v>
      </c>
      <c r="CE88" s="2">
        <v>0</v>
      </c>
      <c r="CF88" s="2">
        <v>0</v>
      </c>
      <c r="CG88" s="2">
        <v>0</v>
      </c>
      <c r="CM88" s="2">
        <v>0</v>
      </c>
      <c r="CN88" s="2" t="s">
        <v>30</v>
      </c>
      <c r="CO88" s="2">
        <v>0</v>
      </c>
      <c r="CP88" s="2">
        <f t="shared" si="71"/>
        <v>97160.1</v>
      </c>
      <c r="CQ88" s="2">
        <f t="shared" si="72"/>
        <v>0</v>
      </c>
      <c r="CR88" s="2">
        <f>(((((ET88*52))*BB88-((EU88*52))*BS88)+AE88*BS88)*AV88)</f>
        <v>1507.48</v>
      </c>
      <c r="CS88" s="2">
        <f t="shared" si="73"/>
        <v>813.28</v>
      </c>
      <c r="CT88" s="2">
        <f t="shared" si="74"/>
        <v>0</v>
      </c>
      <c r="CU88" s="2">
        <f t="shared" si="75"/>
        <v>0</v>
      </c>
      <c r="CV88" s="2">
        <f t="shared" si="76"/>
        <v>0</v>
      </c>
      <c r="CW88" s="2">
        <f t="shared" si="77"/>
        <v>0</v>
      </c>
      <c r="CX88" s="2">
        <f t="shared" si="77"/>
        <v>0</v>
      </c>
      <c r="CY88" s="2">
        <f t="shared" si="78"/>
        <v>0</v>
      </c>
      <c r="CZ88" s="2">
        <f t="shared" si="79"/>
        <v>0</v>
      </c>
      <c r="DC88" s="2" t="s">
        <v>30</v>
      </c>
      <c r="DD88" s="2" t="s">
        <v>207</v>
      </c>
      <c r="DE88" s="2" t="s">
        <v>207</v>
      </c>
      <c r="DF88" s="2" t="s">
        <v>207</v>
      </c>
      <c r="DG88" s="2" t="s">
        <v>207</v>
      </c>
      <c r="DH88" s="2" t="s">
        <v>30</v>
      </c>
      <c r="DI88" s="2" t="s">
        <v>207</v>
      </c>
      <c r="DJ88" s="2" t="s">
        <v>207</v>
      </c>
      <c r="DK88" s="2" t="s">
        <v>30</v>
      </c>
      <c r="DL88" s="2" t="s">
        <v>30</v>
      </c>
      <c r="DM88" s="2" t="s">
        <v>30</v>
      </c>
      <c r="DN88" s="2">
        <v>0</v>
      </c>
      <c r="DO88" s="2">
        <v>0</v>
      </c>
      <c r="DP88" s="2">
        <v>1</v>
      </c>
      <c r="DQ88" s="2">
        <v>1</v>
      </c>
      <c r="DU88" s="2">
        <v>1009</v>
      </c>
      <c r="DV88" s="2" t="s">
        <v>63</v>
      </c>
      <c r="DW88" s="2" t="s">
        <v>63</v>
      </c>
      <c r="DX88" s="2">
        <v>1000</v>
      </c>
      <c r="DZ88" s="2" t="s">
        <v>30</v>
      </c>
      <c r="EA88" s="2" t="s">
        <v>30</v>
      </c>
      <c r="EB88" s="2" t="s">
        <v>30</v>
      </c>
      <c r="EC88" s="2" t="s">
        <v>30</v>
      </c>
      <c r="EE88" s="2">
        <v>49661956</v>
      </c>
      <c r="EF88" s="2">
        <v>1</v>
      </c>
      <c r="EG88" s="2" t="s">
        <v>180</v>
      </c>
      <c r="EH88" s="2">
        <v>0</v>
      </c>
      <c r="EI88" s="2" t="s">
        <v>30</v>
      </c>
      <c r="EJ88" s="2">
        <v>4</v>
      </c>
      <c r="EK88" s="2">
        <v>1</v>
      </c>
      <c r="EL88" s="2" t="s">
        <v>202</v>
      </c>
      <c r="EM88" s="2" t="s">
        <v>182</v>
      </c>
      <c r="EO88" s="2" t="s">
        <v>30</v>
      </c>
      <c r="EQ88" s="2">
        <v>0</v>
      </c>
      <c r="ER88" s="2">
        <v>28.99</v>
      </c>
      <c r="ES88" s="2">
        <v>0</v>
      </c>
      <c r="ET88" s="2">
        <v>28.99</v>
      </c>
      <c r="EU88" s="2">
        <v>15.64</v>
      </c>
      <c r="EV88" s="2">
        <v>0</v>
      </c>
      <c r="EW88" s="2">
        <v>0</v>
      </c>
      <c r="EX88" s="2">
        <v>0</v>
      </c>
      <c r="EY88" s="2">
        <v>0</v>
      </c>
      <c r="FQ88" s="2">
        <v>0</v>
      </c>
      <c r="FR88" s="2">
        <f t="shared" si="80"/>
        <v>0</v>
      </c>
      <c r="FS88" s="2">
        <v>0</v>
      </c>
      <c r="FX88" s="2">
        <v>0</v>
      </c>
      <c r="FY88" s="2">
        <v>0</v>
      </c>
      <c r="GA88" s="2" t="s">
        <v>30</v>
      </c>
      <c r="GD88" s="2">
        <v>1</v>
      </c>
      <c r="GF88" s="2">
        <v>-1355325295</v>
      </c>
      <c r="GG88" s="2">
        <v>2</v>
      </c>
      <c r="GH88" s="2">
        <v>1</v>
      </c>
      <c r="GI88" s="2">
        <v>-2</v>
      </c>
      <c r="GJ88" s="2">
        <v>0</v>
      </c>
      <c r="GK88" s="2">
        <v>0</v>
      </c>
      <c r="GL88" s="2">
        <f t="shared" si="81"/>
        <v>0</v>
      </c>
      <c r="GM88" s="2">
        <f>ROUND(O88+X88+Y88,2)+GX88</f>
        <v>97160.1</v>
      </c>
      <c r="GN88" s="2">
        <f>IF(OR(BI88=0,BI88=1),ROUND(O88+X88+Y88,2),0)</f>
        <v>0</v>
      </c>
      <c r="GO88" s="2">
        <f>IF(BI88=2,ROUND(O88+X88+Y88,2),0)</f>
        <v>0</v>
      </c>
      <c r="GP88" s="2">
        <f>IF(BI88=4,ROUND(O88+X88+Y88,2)+GX88,0)</f>
        <v>97160.1</v>
      </c>
      <c r="GR88" s="2">
        <v>0</v>
      </c>
      <c r="GS88" s="2">
        <v>0</v>
      </c>
      <c r="GT88" s="2">
        <v>0</v>
      </c>
      <c r="GU88" s="2" t="s">
        <v>30</v>
      </c>
      <c r="GV88" s="2">
        <f t="shared" si="82"/>
        <v>0</v>
      </c>
      <c r="GW88" s="2">
        <v>1</v>
      </c>
      <c r="GX88" s="2">
        <f t="shared" si="83"/>
        <v>0</v>
      </c>
      <c r="HA88" s="2">
        <v>0</v>
      </c>
      <c r="HB88" s="2">
        <v>0</v>
      </c>
      <c r="HC88" s="2">
        <f t="shared" si="84"/>
        <v>0</v>
      </c>
      <c r="HE88" s="2" t="s">
        <v>30</v>
      </c>
      <c r="HF88" s="2" t="s">
        <v>30</v>
      </c>
      <c r="HM88" s="2" t="s">
        <v>30</v>
      </c>
      <c r="HN88" s="2" t="s">
        <v>30</v>
      </c>
      <c r="HO88" s="2" t="s">
        <v>30</v>
      </c>
      <c r="HP88" s="2" t="s">
        <v>30</v>
      </c>
      <c r="HQ88" s="2" t="s">
        <v>30</v>
      </c>
      <c r="IK88" s="2">
        <v>0</v>
      </c>
    </row>
    <row r="89" spans="1:245" x14ac:dyDescent="0.25">
      <c r="A89" s="2">
        <v>17</v>
      </c>
      <c r="B89" s="2">
        <v>1</v>
      </c>
      <c r="C89" s="2">
        <f>ROW('SmtRes (2)'!A49)</f>
        <v>49</v>
      </c>
      <c r="D89" s="2">
        <f>ROW('EtalonRes (2)'!A47)</f>
        <v>47</v>
      </c>
      <c r="E89" s="2" t="s">
        <v>294</v>
      </c>
      <c r="F89" s="2" t="s">
        <v>295</v>
      </c>
      <c r="G89" s="2" t="s">
        <v>296</v>
      </c>
      <c r="H89" s="2" t="s">
        <v>65</v>
      </c>
      <c r="I89" s="2">
        <f>ROUND(236/100,9)</f>
        <v>2.36</v>
      </c>
      <c r="J89" s="2">
        <v>0</v>
      </c>
      <c r="K89" s="2">
        <f>ROUND(236/100,9)</f>
        <v>2.36</v>
      </c>
      <c r="O89" s="2">
        <f t="shared" si="56"/>
        <v>174271.11</v>
      </c>
      <c r="P89" s="2">
        <f t="shared" si="57"/>
        <v>134911.74</v>
      </c>
      <c r="Q89" s="2">
        <f t="shared" si="58"/>
        <v>0</v>
      </c>
      <c r="R89" s="2">
        <f t="shared" si="59"/>
        <v>0</v>
      </c>
      <c r="S89" s="2">
        <f t="shared" si="60"/>
        <v>39359.370000000003</v>
      </c>
      <c r="T89" s="2">
        <f t="shared" si="61"/>
        <v>0</v>
      </c>
      <c r="U89" s="2">
        <f t="shared" si="62"/>
        <v>189.43719999999999</v>
      </c>
      <c r="V89" s="2">
        <f t="shared" si="63"/>
        <v>0</v>
      </c>
      <c r="W89" s="2">
        <f t="shared" si="64"/>
        <v>0</v>
      </c>
      <c r="X89" s="2">
        <f t="shared" si="65"/>
        <v>27551.56</v>
      </c>
      <c r="Y89" s="2">
        <f t="shared" si="65"/>
        <v>3935.94</v>
      </c>
      <c r="AA89" s="2">
        <v>52262273</v>
      </c>
      <c r="AB89" s="2">
        <f t="shared" si="66"/>
        <v>73843.69</v>
      </c>
      <c r="AC89" s="2">
        <f>ROUND((ES89),6)</f>
        <v>57165.99</v>
      </c>
      <c r="AD89" s="2">
        <f>ROUND((((ET89)-(EU89))+AE89),6)</f>
        <v>0</v>
      </c>
      <c r="AE89" s="2">
        <f t="shared" ref="AE89:AF91" si="85">ROUND((EU89),6)</f>
        <v>0</v>
      </c>
      <c r="AF89" s="2">
        <f t="shared" si="85"/>
        <v>16677.7</v>
      </c>
      <c r="AG89" s="2">
        <f t="shared" si="68"/>
        <v>0</v>
      </c>
      <c r="AH89" s="2">
        <f t="shared" ref="AH89:AI91" si="86">(EW89)</f>
        <v>80.27</v>
      </c>
      <c r="AI89" s="2">
        <f t="shared" si="86"/>
        <v>0</v>
      </c>
      <c r="AJ89" s="2">
        <f t="shared" si="70"/>
        <v>0</v>
      </c>
      <c r="AK89" s="2">
        <v>73843.69</v>
      </c>
      <c r="AL89" s="2">
        <v>57165.99</v>
      </c>
      <c r="AM89" s="2">
        <v>0</v>
      </c>
      <c r="AN89" s="2">
        <v>0</v>
      </c>
      <c r="AO89" s="2">
        <v>16677.7</v>
      </c>
      <c r="AP89" s="2">
        <v>0</v>
      </c>
      <c r="AQ89" s="2">
        <v>80.27</v>
      </c>
      <c r="AR89" s="2">
        <v>0</v>
      </c>
      <c r="AS89" s="2">
        <v>0</v>
      </c>
      <c r="AT89" s="2">
        <v>70</v>
      </c>
      <c r="AU89" s="2">
        <v>10</v>
      </c>
      <c r="AV89" s="2">
        <v>1</v>
      </c>
      <c r="AW89" s="2">
        <v>1</v>
      </c>
      <c r="AZ89" s="2">
        <v>1</v>
      </c>
      <c r="BA89" s="2">
        <v>1</v>
      </c>
      <c r="BB89" s="2">
        <v>1</v>
      </c>
      <c r="BC89" s="2">
        <v>1</v>
      </c>
      <c r="BD89" s="2" t="s">
        <v>30</v>
      </c>
      <c r="BE89" s="2" t="s">
        <v>30</v>
      </c>
      <c r="BF89" s="2" t="s">
        <v>30</v>
      </c>
      <c r="BG89" s="2" t="s">
        <v>30</v>
      </c>
      <c r="BH89" s="2">
        <v>0</v>
      </c>
      <c r="BI89" s="2">
        <v>4</v>
      </c>
      <c r="BJ89" s="2" t="s">
        <v>297</v>
      </c>
      <c r="BM89" s="2">
        <v>0</v>
      </c>
      <c r="BN89" s="2">
        <v>0</v>
      </c>
      <c r="BO89" s="2" t="s">
        <v>30</v>
      </c>
      <c r="BP89" s="2">
        <v>0</v>
      </c>
      <c r="BQ89" s="2">
        <v>1</v>
      </c>
      <c r="BR89" s="2">
        <v>0</v>
      </c>
      <c r="BS89" s="2">
        <v>1</v>
      </c>
      <c r="BT89" s="2">
        <v>1</v>
      </c>
      <c r="BU89" s="2">
        <v>1</v>
      </c>
      <c r="BV89" s="2">
        <v>1</v>
      </c>
      <c r="BW89" s="2">
        <v>1</v>
      </c>
      <c r="BX89" s="2">
        <v>1</v>
      </c>
      <c r="BY89" s="2" t="s">
        <v>30</v>
      </c>
      <c r="BZ89" s="2">
        <v>70</v>
      </c>
      <c r="CA89" s="2">
        <v>10</v>
      </c>
      <c r="CB89" s="2" t="s">
        <v>30</v>
      </c>
      <c r="CE89" s="2">
        <v>0</v>
      </c>
      <c r="CF89" s="2">
        <v>0</v>
      </c>
      <c r="CG89" s="2">
        <v>0</v>
      </c>
      <c r="CM89" s="2">
        <v>0</v>
      </c>
      <c r="CN89" s="2" t="s">
        <v>30</v>
      </c>
      <c r="CO89" s="2">
        <v>0</v>
      </c>
      <c r="CP89" s="2">
        <f t="shared" si="71"/>
        <v>174271.11</v>
      </c>
      <c r="CQ89" s="2">
        <f t="shared" si="72"/>
        <v>57165.99</v>
      </c>
      <c r="CR89" s="2">
        <f>((((ET89)*BB89-(EU89)*BS89)+AE89*BS89)*AV89)</f>
        <v>0</v>
      </c>
      <c r="CS89" s="2">
        <f t="shared" si="73"/>
        <v>0</v>
      </c>
      <c r="CT89" s="2">
        <f t="shared" si="74"/>
        <v>16677.7</v>
      </c>
      <c r="CU89" s="2">
        <f t="shared" si="75"/>
        <v>0</v>
      </c>
      <c r="CV89" s="2">
        <f t="shared" si="76"/>
        <v>80.27</v>
      </c>
      <c r="CW89" s="2">
        <f t="shared" si="77"/>
        <v>0</v>
      </c>
      <c r="CX89" s="2">
        <f t="shared" si="77"/>
        <v>0</v>
      </c>
      <c r="CY89" s="2">
        <f t="shared" si="78"/>
        <v>27551.559000000001</v>
      </c>
      <c r="CZ89" s="2">
        <f t="shared" si="79"/>
        <v>3935.9369999999999</v>
      </c>
      <c r="DC89" s="2" t="s">
        <v>30</v>
      </c>
      <c r="DD89" s="2" t="s">
        <v>30</v>
      </c>
      <c r="DE89" s="2" t="s">
        <v>30</v>
      </c>
      <c r="DF89" s="2" t="s">
        <v>30</v>
      </c>
      <c r="DG89" s="2" t="s">
        <v>30</v>
      </c>
      <c r="DH89" s="2" t="s">
        <v>30</v>
      </c>
      <c r="DI89" s="2" t="s">
        <v>30</v>
      </c>
      <c r="DJ89" s="2" t="s">
        <v>30</v>
      </c>
      <c r="DK89" s="2" t="s">
        <v>30</v>
      </c>
      <c r="DL89" s="2" t="s">
        <v>30</v>
      </c>
      <c r="DM89" s="2" t="s">
        <v>30</v>
      </c>
      <c r="DN89" s="2">
        <v>0</v>
      </c>
      <c r="DO89" s="2">
        <v>0</v>
      </c>
      <c r="DP89" s="2">
        <v>1</v>
      </c>
      <c r="DQ89" s="2">
        <v>1</v>
      </c>
      <c r="DU89" s="2">
        <v>1003</v>
      </c>
      <c r="DV89" s="2" t="s">
        <v>65</v>
      </c>
      <c r="DW89" s="2" t="s">
        <v>65</v>
      </c>
      <c r="DX89" s="2">
        <v>100</v>
      </c>
      <c r="DZ89" s="2" t="s">
        <v>30</v>
      </c>
      <c r="EA89" s="2" t="s">
        <v>30</v>
      </c>
      <c r="EB89" s="2" t="s">
        <v>30</v>
      </c>
      <c r="EC89" s="2" t="s">
        <v>30</v>
      </c>
      <c r="EE89" s="2">
        <v>49661954</v>
      </c>
      <c r="EF89" s="2">
        <v>1</v>
      </c>
      <c r="EG89" s="2" t="s">
        <v>180</v>
      </c>
      <c r="EH89" s="2">
        <v>0</v>
      </c>
      <c r="EI89" s="2" t="s">
        <v>30</v>
      </c>
      <c r="EJ89" s="2">
        <v>4</v>
      </c>
      <c r="EK89" s="2">
        <v>0</v>
      </c>
      <c r="EL89" s="2" t="s">
        <v>181</v>
      </c>
      <c r="EM89" s="2" t="s">
        <v>182</v>
      </c>
      <c r="EO89" s="2" t="s">
        <v>30</v>
      </c>
      <c r="EQ89" s="2">
        <v>0</v>
      </c>
      <c r="ER89" s="2">
        <v>73843.69</v>
      </c>
      <c r="ES89" s="2">
        <v>57165.99</v>
      </c>
      <c r="ET89" s="2">
        <v>0</v>
      </c>
      <c r="EU89" s="2">
        <v>0</v>
      </c>
      <c r="EV89" s="2">
        <v>16677.7</v>
      </c>
      <c r="EW89" s="2">
        <v>80.27</v>
      </c>
      <c r="EX89" s="2">
        <v>0</v>
      </c>
      <c r="EY89" s="2">
        <v>0</v>
      </c>
      <c r="FQ89" s="2">
        <v>0</v>
      </c>
      <c r="FR89" s="2">
        <f t="shared" si="80"/>
        <v>0</v>
      </c>
      <c r="FS89" s="2">
        <v>0</v>
      </c>
      <c r="FX89" s="2">
        <v>70</v>
      </c>
      <c r="FY89" s="2">
        <v>10</v>
      </c>
      <c r="GA89" s="2" t="s">
        <v>30</v>
      </c>
      <c r="GD89" s="2">
        <v>0</v>
      </c>
      <c r="GF89" s="2">
        <v>497378928</v>
      </c>
      <c r="GG89" s="2">
        <v>2</v>
      </c>
      <c r="GH89" s="2">
        <v>1</v>
      </c>
      <c r="GI89" s="2">
        <v>-2</v>
      </c>
      <c r="GJ89" s="2">
        <v>0</v>
      </c>
      <c r="GK89" s="2">
        <f>ROUND(R89*(R12)/100,2)</f>
        <v>0</v>
      </c>
      <c r="GL89" s="2">
        <f t="shared" si="81"/>
        <v>0</v>
      </c>
      <c r="GM89" s="2">
        <f>ROUND(O89+X89+Y89+GK89,2)+GX89</f>
        <v>205758.61</v>
      </c>
      <c r="GN89" s="2">
        <f>IF(OR(BI89=0,BI89=1),ROUND(O89+X89+Y89+GK89,2),0)</f>
        <v>0</v>
      </c>
      <c r="GO89" s="2">
        <f>IF(BI89=2,ROUND(O89+X89+Y89+GK89,2),0)</f>
        <v>0</v>
      </c>
      <c r="GP89" s="2">
        <f>IF(BI89=4,ROUND(O89+X89+Y89+GK89,2)+GX89,0)</f>
        <v>205758.61</v>
      </c>
      <c r="GR89" s="2">
        <v>0</v>
      </c>
      <c r="GS89" s="2">
        <v>3</v>
      </c>
      <c r="GT89" s="2">
        <v>0</v>
      </c>
      <c r="GU89" s="2" t="s">
        <v>30</v>
      </c>
      <c r="GV89" s="2">
        <f t="shared" si="82"/>
        <v>0</v>
      </c>
      <c r="GW89" s="2">
        <v>1</v>
      </c>
      <c r="GX89" s="2">
        <f t="shared" si="83"/>
        <v>0</v>
      </c>
      <c r="HA89" s="2">
        <v>0</v>
      </c>
      <c r="HB89" s="2">
        <v>0</v>
      </c>
      <c r="HC89" s="2">
        <f t="shared" si="84"/>
        <v>0</v>
      </c>
      <c r="HE89" s="2" t="s">
        <v>30</v>
      </c>
      <c r="HF89" s="2" t="s">
        <v>30</v>
      </c>
      <c r="HM89" s="2" t="s">
        <v>30</v>
      </c>
      <c r="HN89" s="2" t="s">
        <v>30</v>
      </c>
      <c r="HO89" s="2" t="s">
        <v>30</v>
      </c>
      <c r="HP89" s="2" t="s">
        <v>30</v>
      </c>
      <c r="HQ89" s="2" t="s">
        <v>30</v>
      </c>
      <c r="IK89" s="2">
        <v>0</v>
      </c>
    </row>
    <row r="90" spans="1:245" x14ac:dyDescent="0.25">
      <c r="A90" s="2">
        <v>18</v>
      </c>
      <c r="B90" s="2">
        <v>1</v>
      </c>
      <c r="C90" s="2">
        <v>48</v>
      </c>
      <c r="E90" s="2" t="s">
        <v>37</v>
      </c>
      <c r="F90" s="2" t="s">
        <v>286</v>
      </c>
      <c r="G90" s="2" t="s">
        <v>287</v>
      </c>
      <c r="H90" s="2" t="s">
        <v>62</v>
      </c>
      <c r="I90" s="2">
        <f>I89*J90</f>
        <v>-0.1416</v>
      </c>
      <c r="J90" s="2">
        <v>-0.06</v>
      </c>
      <c r="K90" s="2">
        <v>-0.06</v>
      </c>
      <c r="O90" s="2">
        <f t="shared" si="56"/>
        <v>-485.33</v>
      </c>
      <c r="P90" s="2">
        <f t="shared" si="57"/>
        <v>-485.33</v>
      </c>
      <c r="Q90" s="2">
        <f t="shared" si="58"/>
        <v>0</v>
      </c>
      <c r="R90" s="2">
        <f t="shared" si="59"/>
        <v>0</v>
      </c>
      <c r="S90" s="2">
        <f t="shared" si="60"/>
        <v>0</v>
      </c>
      <c r="T90" s="2">
        <f t="shared" si="61"/>
        <v>0</v>
      </c>
      <c r="U90" s="2">
        <f t="shared" si="62"/>
        <v>0</v>
      </c>
      <c r="V90" s="2">
        <f t="shared" si="63"/>
        <v>0</v>
      </c>
      <c r="W90" s="2">
        <f t="shared" si="64"/>
        <v>0</v>
      </c>
      <c r="X90" s="2">
        <f t="shared" si="65"/>
        <v>0</v>
      </c>
      <c r="Y90" s="2">
        <f t="shared" si="65"/>
        <v>0</v>
      </c>
      <c r="AA90" s="2">
        <v>52262273</v>
      </c>
      <c r="AB90" s="2">
        <f t="shared" si="66"/>
        <v>3427.48</v>
      </c>
      <c r="AC90" s="2">
        <f>ROUND((ES90),6)</f>
        <v>3427.48</v>
      </c>
      <c r="AD90" s="2">
        <f>ROUND((((ET90)-(EU90))+AE90),6)</f>
        <v>0</v>
      </c>
      <c r="AE90" s="2">
        <f t="shared" si="85"/>
        <v>0</v>
      </c>
      <c r="AF90" s="2">
        <f t="shared" si="85"/>
        <v>0</v>
      </c>
      <c r="AG90" s="2">
        <f t="shared" si="68"/>
        <v>0</v>
      </c>
      <c r="AH90" s="2">
        <f t="shared" si="86"/>
        <v>0</v>
      </c>
      <c r="AI90" s="2">
        <f t="shared" si="86"/>
        <v>0</v>
      </c>
      <c r="AJ90" s="2">
        <f t="shared" si="70"/>
        <v>0</v>
      </c>
      <c r="AK90" s="2">
        <v>3427.48</v>
      </c>
      <c r="AL90" s="2">
        <v>3427.48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70</v>
      </c>
      <c r="AU90" s="2">
        <v>10</v>
      </c>
      <c r="AV90" s="2">
        <v>1</v>
      </c>
      <c r="AW90" s="2">
        <v>1</v>
      </c>
      <c r="AZ90" s="2">
        <v>1</v>
      </c>
      <c r="BA90" s="2">
        <v>1</v>
      </c>
      <c r="BB90" s="2">
        <v>1</v>
      </c>
      <c r="BC90" s="2">
        <v>1</v>
      </c>
      <c r="BD90" s="2" t="s">
        <v>30</v>
      </c>
      <c r="BE90" s="2" t="s">
        <v>30</v>
      </c>
      <c r="BF90" s="2" t="s">
        <v>30</v>
      </c>
      <c r="BG90" s="2" t="s">
        <v>30</v>
      </c>
      <c r="BH90" s="2">
        <v>3</v>
      </c>
      <c r="BI90" s="2">
        <v>4</v>
      </c>
      <c r="BJ90" s="2" t="s">
        <v>288</v>
      </c>
      <c r="BM90" s="2">
        <v>0</v>
      </c>
      <c r="BN90" s="2">
        <v>0</v>
      </c>
      <c r="BO90" s="2" t="s">
        <v>30</v>
      </c>
      <c r="BP90" s="2">
        <v>0</v>
      </c>
      <c r="BQ90" s="2">
        <v>1</v>
      </c>
      <c r="BR90" s="2">
        <v>1</v>
      </c>
      <c r="BS90" s="2">
        <v>1</v>
      </c>
      <c r="BT90" s="2">
        <v>1</v>
      </c>
      <c r="BU90" s="2">
        <v>1</v>
      </c>
      <c r="BV90" s="2">
        <v>1</v>
      </c>
      <c r="BW90" s="2">
        <v>1</v>
      </c>
      <c r="BX90" s="2">
        <v>1</v>
      </c>
      <c r="BY90" s="2" t="s">
        <v>30</v>
      </c>
      <c r="BZ90" s="2">
        <v>70</v>
      </c>
      <c r="CA90" s="2">
        <v>10</v>
      </c>
      <c r="CB90" s="2" t="s">
        <v>30</v>
      </c>
      <c r="CE90" s="2">
        <v>0</v>
      </c>
      <c r="CF90" s="2">
        <v>0</v>
      </c>
      <c r="CG90" s="2">
        <v>0</v>
      </c>
      <c r="CM90" s="2">
        <v>0</v>
      </c>
      <c r="CN90" s="2" t="s">
        <v>30</v>
      </c>
      <c r="CO90" s="2">
        <v>0</v>
      </c>
      <c r="CP90" s="2">
        <f t="shared" si="71"/>
        <v>-485.33</v>
      </c>
      <c r="CQ90" s="2">
        <f t="shared" si="72"/>
        <v>3427.48</v>
      </c>
      <c r="CR90" s="2">
        <f>((((ET90)*BB90-(EU90)*BS90)+AE90*BS90)*AV90)</f>
        <v>0</v>
      </c>
      <c r="CS90" s="2">
        <f t="shared" si="73"/>
        <v>0</v>
      </c>
      <c r="CT90" s="2">
        <f t="shared" si="74"/>
        <v>0</v>
      </c>
      <c r="CU90" s="2">
        <f t="shared" si="75"/>
        <v>0</v>
      </c>
      <c r="CV90" s="2">
        <f t="shared" si="76"/>
        <v>0</v>
      </c>
      <c r="CW90" s="2">
        <f t="shared" si="77"/>
        <v>0</v>
      </c>
      <c r="CX90" s="2">
        <f t="shared" si="77"/>
        <v>0</v>
      </c>
      <c r="CY90" s="2">
        <f t="shared" si="78"/>
        <v>0</v>
      </c>
      <c r="CZ90" s="2">
        <f t="shared" si="79"/>
        <v>0</v>
      </c>
      <c r="DC90" s="2" t="s">
        <v>30</v>
      </c>
      <c r="DD90" s="2" t="s">
        <v>30</v>
      </c>
      <c r="DE90" s="2" t="s">
        <v>30</v>
      </c>
      <c r="DF90" s="2" t="s">
        <v>30</v>
      </c>
      <c r="DG90" s="2" t="s">
        <v>30</v>
      </c>
      <c r="DH90" s="2" t="s">
        <v>30</v>
      </c>
      <c r="DI90" s="2" t="s">
        <v>30</v>
      </c>
      <c r="DJ90" s="2" t="s">
        <v>30</v>
      </c>
      <c r="DK90" s="2" t="s">
        <v>30</v>
      </c>
      <c r="DL90" s="2" t="s">
        <v>30</v>
      </c>
      <c r="DM90" s="2" t="s">
        <v>30</v>
      </c>
      <c r="DN90" s="2">
        <v>0</v>
      </c>
      <c r="DO90" s="2">
        <v>0</v>
      </c>
      <c r="DP90" s="2">
        <v>1</v>
      </c>
      <c r="DQ90" s="2">
        <v>1</v>
      </c>
      <c r="DU90" s="2">
        <v>1007</v>
      </c>
      <c r="DV90" s="2" t="s">
        <v>62</v>
      </c>
      <c r="DW90" s="2" t="s">
        <v>62</v>
      </c>
      <c r="DX90" s="2">
        <v>1</v>
      </c>
      <c r="DZ90" s="2" t="s">
        <v>30</v>
      </c>
      <c r="EA90" s="2" t="s">
        <v>30</v>
      </c>
      <c r="EB90" s="2" t="s">
        <v>30</v>
      </c>
      <c r="EC90" s="2" t="s">
        <v>30</v>
      </c>
      <c r="EE90" s="2">
        <v>49661954</v>
      </c>
      <c r="EF90" s="2">
        <v>1</v>
      </c>
      <c r="EG90" s="2" t="s">
        <v>180</v>
      </c>
      <c r="EH90" s="2">
        <v>0</v>
      </c>
      <c r="EI90" s="2" t="s">
        <v>30</v>
      </c>
      <c r="EJ90" s="2">
        <v>4</v>
      </c>
      <c r="EK90" s="2">
        <v>0</v>
      </c>
      <c r="EL90" s="2" t="s">
        <v>181</v>
      </c>
      <c r="EM90" s="2" t="s">
        <v>182</v>
      </c>
      <c r="EO90" s="2" t="s">
        <v>30</v>
      </c>
      <c r="EQ90" s="2">
        <v>0</v>
      </c>
      <c r="ER90" s="2">
        <v>3427.48</v>
      </c>
      <c r="ES90" s="2">
        <v>3427.48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FQ90" s="2">
        <v>0</v>
      </c>
      <c r="FR90" s="2">
        <f t="shared" si="80"/>
        <v>0</v>
      </c>
      <c r="FS90" s="2">
        <v>0</v>
      </c>
      <c r="FX90" s="2">
        <v>70</v>
      </c>
      <c r="FY90" s="2">
        <v>10</v>
      </c>
      <c r="GA90" s="2" t="s">
        <v>30</v>
      </c>
      <c r="GD90" s="2">
        <v>0</v>
      </c>
      <c r="GF90" s="2">
        <v>820745631</v>
      </c>
      <c r="GG90" s="2">
        <v>2</v>
      </c>
      <c r="GH90" s="2">
        <v>1</v>
      </c>
      <c r="GI90" s="2">
        <v>-2</v>
      </c>
      <c r="GJ90" s="2">
        <v>0</v>
      </c>
      <c r="GK90" s="2">
        <f>ROUND(R90*(R12)/100,2)</f>
        <v>0</v>
      </c>
      <c r="GL90" s="2">
        <f t="shared" si="81"/>
        <v>0</v>
      </c>
      <c r="GM90" s="2">
        <f>ROUND(O90+X90+Y90+GK90,2)+GX90</f>
        <v>-485.33</v>
      </c>
      <c r="GN90" s="2">
        <f>IF(OR(BI90=0,BI90=1),ROUND(O90+X90+Y90+GK90,2),0)</f>
        <v>0</v>
      </c>
      <c r="GO90" s="2">
        <f>IF(BI90=2,ROUND(O90+X90+Y90+GK90,2),0)</f>
        <v>0</v>
      </c>
      <c r="GP90" s="2">
        <f>IF(BI90=4,ROUND(O90+X90+Y90+GK90,2)+GX90,0)</f>
        <v>-485.33</v>
      </c>
      <c r="GR90" s="2">
        <v>0</v>
      </c>
      <c r="GS90" s="2">
        <v>3</v>
      </c>
      <c r="GT90" s="2">
        <v>0</v>
      </c>
      <c r="GU90" s="2" t="s">
        <v>30</v>
      </c>
      <c r="GV90" s="2">
        <f t="shared" si="82"/>
        <v>0</v>
      </c>
      <c r="GW90" s="2">
        <v>1</v>
      </c>
      <c r="GX90" s="2">
        <f t="shared" si="83"/>
        <v>0</v>
      </c>
      <c r="HA90" s="2">
        <v>0</v>
      </c>
      <c r="HB90" s="2">
        <v>0</v>
      </c>
      <c r="HC90" s="2">
        <f t="shared" si="84"/>
        <v>0</v>
      </c>
      <c r="HE90" s="2" t="s">
        <v>30</v>
      </c>
      <c r="HF90" s="2" t="s">
        <v>30</v>
      </c>
      <c r="HM90" s="2" t="s">
        <v>30</v>
      </c>
      <c r="HN90" s="2" t="s">
        <v>30</v>
      </c>
      <c r="HO90" s="2" t="s">
        <v>30</v>
      </c>
      <c r="HP90" s="2" t="s">
        <v>30</v>
      </c>
      <c r="HQ90" s="2" t="s">
        <v>30</v>
      </c>
      <c r="IK90" s="2">
        <v>0</v>
      </c>
    </row>
    <row r="91" spans="1:245" x14ac:dyDescent="0.25">
      <c r="A91" s="2">
        <v>17</v>
      </c>
      <c r="B91" s="2">
        <v>1</v>
      </c>
      <c r="C91" s="2">
        <f>ROW('SmtRes (2)'!A51)</f>
        <v>51</v>
      </c>
      <c r="D91" s="2">
        <f>ROW('EtalonRes (2)'!A49)</f>
        <v>49</v>
      </c>
      <c r="E91" s="2" t="s">
        <v>298</v>
      </c>
      <c r="F91" s="2" t="s">
        <v>299</v>
      </c>
      <c r="G91" s="2" t="s">
        <v>300</v>
      </c>
      <c r="H91" s="2" t="s">
        <v>66</v>
      </c>
      <c r="I91" s="2">
        <f>ROUND(498/100,9)</f>
        <v>4.9800000000000004</v>
      </c>
      <c r="J91" s="2">
        <v>0</v>
      </c>
      <c r="K91" s="2">
        <f>ROUND(498/100,9)</f>
        <v>4.9800000000000004</v>
      </c>
      <c r="O91" s="2">
        <f t="shared" si="56"/>
        <v>71129.990000000005</v>
      </c>
      <c r="P91" s="2">
        <f t="shared" si="57"/>
        <v>69914.320000000007</v>
      </c>
      <c r="Q91" s="2">
        <f t="shared" si="58"/>
        <v>0</v>
      </c>
      <c r="R91" s="2">
        <f t="shared" si="59"/>
        <v>0</v>
      </c>
      <c r="S91" s="2">
        <f t="shared" si="60"/>
        <v>1215.67</v>
      </c>
      <c r="T91" s="2">
        <f t="shared" si="61"/>
        <v>0</v>
      </c>
      <c r="U91" s="2">
        <f t="shared" si="62"/>
        <v>5.7270000000000003</v>
      </c>
      <c r="V91" s="2">
        <f t="shared" si="63"/>
        <v>0</v>
      </c>
      <c r="W91" s="2">
        <f t="shared" si="64"/>
        <v>0</v>
      </c>
      <c r="X91" s="2">
        <f t="shared" si="65"/>
        <v>850.97</v>
      </c>
      <c r="Y91" s="2">
        <f t="shared" si="65"/>
        <v>121.57</v>
      </c>
      <c r="AA91" s="2">
        <v>52262273</v>
      </c>
      <c r="AB91" s="2">
        <f t="shared" si="66"/>
        <v>14283.13</v>
      </c>
      <c r="AC91" s="2">
        <f>ROUND((ES91),6)</f>
        <v>14039.02</v>
      </c>
      <c r="AD91" s="2">
        <f>ROUND((((ET91)-(EU91))+AE91),6)</f>
        <v>0</v>
      </c>
      <c r="AE91" s="2">
        <f t="shared" si="85"/>
        <v>0</v>
      </c>
      <c r="AF91" s="2">
        <f t="shared" si="85"/>
        <v>244.11</v>
      </c>
      <c r="AG91" s="2">
        <f t="shared" si="68"/>
        <v>0</v>
      </c>
      <c r="AH91" s="2">
        <f t="shared" si="86"/>
        <v>1.1499999999999999</v>
      </c>
      <c r="AI91" s="2">
        <f t="shared" si="86"/>
        <v>0</v>
      </c>
      <c r="AJ91" s="2">
        <f t="shared" si="70"/>
        <v>0</v>
      </c>
      <c r="AK91" s="2">
        <v>14283.13</v>
      </c>
      <c r="AL91" s="2">
        <v>14039.02</v>
      </c>
      <c r="AM91" s="2">
        <v>0</v>
      </c>
      <c r="AN91" s="2">
        <v>0</v>
      </c>
      <c r="AO91" s="2">
        <v>244.11</v>
      </c>
      <c r="AP91" s="2">
        <v>0</v>
      </c>
      <c r="AQ91" s="2">
        <v>1.1499999999999999</v>
      </c>
      <c r="AR91" s="2">
        <v>0</v>
      </c>
      <c r="AS91" s="2">
        <v>0</v>
      </c>
      <c r="AT91" s="2">
        <v>70</v>
      </c>
      <c r="AU91" s="2">
        <v>10</v>
      </c>
      <c r="AV91" s="2">
        <v>1</v>
      </c>
      <c r="AW91" s="2">
        <v>1</v>
      </c>
      <c r="AZ91" s="2">
        <v>1</v>
      </c>
      <c r="BA91" s="2">
        <v>1</v>
      </c>
      <c r="BB91" s="2">
        <v>1</v>
      </c>
      <c r="BC91" s="2">
        <v>1</v>
      </c>
      <c r="BD91" s="2" t="s">
        <v>30</v>
      </c>
      <c r="BE91" s="2" t="s">
        <v>30</v>
      </c>
      <c r="BF91" s="2" t="s">
        <v>30</v>
      </c>
      <c r="BG91" s="2" t="s">
        <v>30</v>
      </c>
      <c r="BH91" s="2">
        <v>0</v>
      </c>
      <c r="BI91" s="2">
        <v>4</v>
      </c>
      <c r="BJ91" s="2" t="s">
        <v>301</v>
      </c>
      <c r="BM91" s="2">
        <v>0</v>
      </c>
      <c r="BN91" s="2">
        <v>0</v>
      </c>
      <c r="BO91" s="2" t="s">
        <v>30</v>
      </c>
      <c r="BP91" s="2">
        <v>0</v>
      </c>
      <c r="BQ91" s="2">
        <v>1</v>
      </c>
      <c r="BR91" s="2">
        <v>0</v>
      </c>
      <c r="BS91" s="2">
        <v>1</v>
      </c>
      <c r="BT91" s="2">
        <v>1</v>
      </c>
      <c r="BU91" s="2">
        <v>1</v>
      </c>
      <c r="BV91" s="2">
        <v>1</v>
      </c>
      <c r="BW91" s="2">
        <v>1</v>
      </c>
      <c r="BX91" s="2">
        <v>1</v>
      </c>
      <c r="BY91" s="2" t="s">
        <v>30</v>
      </c>
      <c r="BZ91" s="2">
        <v>70</v>
      </c>
      <c r="CA91" s="2">
        <v>10</v>
      </c>
      <c r="CB91" s="2" t="s">
        <v>30</v>
      </c>
      <c r="CE91" s="2">
        <v>0</v>
      </c>
      <c r="CF91" s="2">
        <v>0</v>
      </c>
      <c r="CG91" s="2">
        <v>0</v>
      </c>
      <c r="CM91" s="2">
        <v>0</v>
      </c>
      <c r="CN91" s="2" t="s">
        <v>30</v>
      </c>
      <c r="CO91" s="2">
        <v>0</v>
      </c>
      <c r="CP91" s="2">
        <f t="shared" si="71"/>
        <v>71129.990000000005</v>
      </c>
      <c r="CQ91" s="2">
        <f t="shared" si="72"/>
        <v>14039.02</v>
      </c>
      <c r="CR91" s="2">
        <f>((((ET91)*BB91-(EU91)*BS91)+AE91*BS91)*AV91)</f>
        <v>0</v>
      </c>
      <c r="CS91" s="2">
        <f t="shared" si="73"/>
        <v>0</v>
      </c>
      <c r="CT91" s="2">
        <f t="shared" si="74"/>
        <v>244.11</v>
      </c>
      <c r="CU91" s="2">
        <f t="shared" si="75"/>
        <v>0</v>
      </c>
      <c r="CV91" s="2">
        <f t="shared" si="76"/>
        <v>1.1499999999999999</v>
      </c>
      <c r="CW91" s="2">
        <f t="shared" si="77"/>
        <v>0</v>
      </c>
      <c r="CX91" s="2">
        <f t="shared" si="77"/>
        <v>0</v>
      </c>
      <c r="CY91" s="2">
        <f t="shared" si="78"/>
        <v>850.96900000000005</v>
      </c>
      <c r="CZ91" s="2">
        <f t="shared" si="79"/>
        <v>121.56699999999999</v>
      </c>
      <c r="DC91" s="2" t="s">
        <v>30</v>
      </c>
      <c r="DD91" s="2" t="s">
        <v>30</v>
      </c>
      <c r="DE91" s="2" t="s">
        <v>30</v>
      </c>
      <c r="DF91" s="2" t="s">
        <v>30</v>
      </c>
      <c r="DG91" s="2" t="s">
        <v>30</v>
      </c>
      <c r="DH91" s="2" t="s">
        <v>30</v>
      </c>
      <c r="DI91" s="2" t="s">
        <v>30</v>
      </c>
      <c r="DJ91" s="2" t="s">
        <v>30</v>
      </c>
      <c r="DK91" s="2" t="s">
        <v>30</v>
      </c>
      <c r="DL91" s="2" t="s">
        <v>30</v>
      </c>
      <c r="DM91" s="2" t="s">
        <v>30</v>
      </c>
      <c r="DN91" s="2">
        <v>0</v>
      </c>
      <c r="DO91" s="2">
        <v>0</v>
      </c>
      <c r="DP91" s="2">
        <v>1</v>
      </c>
      <c r="DQ91" s="2">
        <v>1</v>
      </c>
      <c r="DU91" s="2">
        <v>1010</v>
      </c>
      <c r="DV91" s="2" t="s">
        <v>66</v>
      </c>
      <c r="DW91" s="2" t="s">
        <v>66</v>
      </c>
      <c r="DX91" s="2">
        <v>100</v>
      </c>
      <c r="DZ91" s="2" t="s">
        <v>30</v>
      </c>
      <c r="EA91" s="2" t="s">
        <v>30</v>
      </c>
      <c r="EB91" s="2" t="s">
        <v>30</v>
      </c>
      <c r="EC91" s="2" t="s">
        <v>30</v>
      </c>
      <c r="EE91" s="2">
        <v>49661954</v>
      </c>
      <c r="EF91" s="2">
        <v>1</v>
      </c>
      <c r="EG91" s="2" t="s">
        <v>180</v>
      </c>
      <c r="EH91" s="2">
        <v>0</v>
      </c>
      <c r="EI91" s="2" t="s">
        <v>30</v>
      </c>
      <c r="EJ91" s="2">
        <v>4</v>
      </c>
      <c r="EK91" s="2">
        <v>0</v>
      </c>
      <c r="EL91" s="2" t="s">
        <v>181</v>
      </c>
      <c r="EM91" s="2" t="s">
        <v>182</v>
      </c>
      <c r="EO91" s="2" t="s">
        <v>30</v>
      </c>
      <c r="EQ91" s="2">
        <v>0</v>
      </c>
      <c r="ER91" s="2">
        <v>14283.13</v>
      </c>
      <c r="ES91" s="2">
        <v>14039.02</v>
      </c>
      <c r="ET91" s="2">
        <v>0</v>
      </c>
      <c r="EU91" s="2">
        <v>0</v>
      </c>
      <c r="EV91" s="2">
        <v>244.11</v>
      </c>
      <c r="EW91" s="2">
        <v>1.1499999999999999</v>
      </c>
      <c r="EX91" s="2">
        <v>0</v>
      </c>
      <c r="EY91" s="2">
        <v>0</v>
      </c>
      <c r="FQ91" s="2">
        <v>0</v>
      </c>
      <c r="FR91" s="2">
        <f t="shared" si="80"/>
        <v>0</v>
      </c>
      <c r="FS91" s="2">
        <v>0</v>
      </c>
      <c r="FX91" s="2">
        <v>70</v>
      </c>
      <c r="FY91" s="2">
        <v>10</v>
      </c>
      <c r="GA91" s="2" t="s">
        <v>30</v>
      </c>
      <c r="GD91" s="2">
        <v>0</v>
      </c>
      <c r="GF91" s="2">
        <v>-171485880</v>
      </c>
      <c r="GG91" s="2">
        <v>2</v>
      </c>
      <c r="GH91" s="2">
        <v>1</v>
      </c>
      <c r="GI91" s="2">
        <v>-2</v>
      </c>
      <c r="GJ91" s="2">
        <v>0</v>
      </c>
      <c r="GK91" s="2">
        <f>ROUND(R91*(R12)/100,2)</f>
        <v>0</v>
      </c>
      <c r="GL91" s="2">
        <f t="shared" si="81"/>
        <v>0</v>
      </c>
      <c r="GM91" s="2">
        <f>ROUND(O91+X91+Y91+GK91,2)+GX91</f>
        <v>72102.53</v>
      </c>
      <c r="GN91" s="2">
        <f>IF(OR(BI91=0,BI91=1),ROUND(O91+X91+Y91+GK91,2),0)</f>
        <v>0</v>
      </c>
      <c r="GO91" s="2">
        <f>IF(BI91=2,ROUND(O91+X91+Y91+GK91,2),0)</f>
        <v>0</v>
      </c>
      <c r="GP91" s="2">
        <f>IF(BI91=4,ROUND(O91+X91+Y91+GK91,2)+GX91,0)</f>
        <v>72102.53</v>
      </c>
      <c r="GR91" s="2">
        <v>0</v>
      </c>
      <c r="GS91" s="2">
        <v>0</v>
      </c>
      <c r="GT91" s="2">
        <v>0</v>
      </c>
      <c r="GU91" s="2" t="s">
        <v>30</v>
      </c>
      <c r="GV91" s="2">
        <f t="shared" si="82"/>
        <v>0</v>
      </c>
      <c r="GW91" s="2">
        <v>1</v>
      </c>
      <c r="GX91" s="2">
        <f t="shared" si="83"/>
        <v>0</v>
      </c>
      <c r="HA91" s="2">
        <v>0</v>
      </c>
      <c r="HB91" s="2">
        <v>0</v>
      </c>
      <c r="HC91" s="2">
        <f t="shared" si="84"/>
        <v>0</v>
      </c>
      <c r="HE91" s="2" t="s">
        <v>30</v>
      </c>
      <c r="HF91" s="2" t="s">
        <v>30</v>
      </c>
      <c r="HM91" s="2" t="s">
        <v>30</v>
      </c>
      <c r="HN91" s="2" t="s">
        <v>30</v>
      </c>
      <c r="HO91" s="2" t="s">
        <v>30</v>
      </c>
      <c r="HP91" s="2" t="s">
        <v>30</v>
      </c>
      <c r="HQ91" s="2" t="s">
        <v>30</v>
      </c>
      <c r="IK91" s="2">
        <v>0</v>
      </c>
    </row>
    <row r="93" spans="1:245" ht="13" x14ac:dyDescent="0.3">
      <c r="A93" s="44">
        <v>51</v>
      </c>
      <c r="B93" s="44">
        <f>B80</f>
        <v>1</v>
      </c>
      <c r="C93" s="44">
        <f>A80</f>
        <v>4</v>
      </c>
      <c r="D93" s="44">
        <f>ROW(A80)</f>
        <v>80</v>
      </c>
      <c r="E93" s="44"/>
      <c r="F93" s="44" t="str">
        <f>IF(F80&lt;&gt;"",F80,"")</f>
        <v>Новый раздел</v>
      </c>
      <c r="G93" s="44" t="str">
        <f>IF(G80&lt;&gt;"",G80,"")</f>
        <v>Устройство бортового камня</v>
      </c>
      <c r="H93" s="44">
        <v>0</v>
      </c>
      <c r="I93" s="44"/>
      <c r="J93" s="44"/>
      <c r="K93" s="44"/>
      <c r="L93" s="44"/>
      <c r="M93" s="44"/>
      <c r="N93" s="44"/>
      <c r="O93" s="44">
        <f t="shared" ref="O93:T93" si="87">ROUND(AB93,2)</f>
        <v>587219.74</v>
      </c>
      <c r="P93" s="44">
        <f t="shared" si="87"/>
        <v>354334.03</v>
      </c>
      <c r="Q93" s="44">
        <f t="shared" si="87"/>
        <v>153497.99</v>
      </c>
      <c r="R93" s="44">
        <f t="shared" si="87"/>
        <v>84156.32</v>
      </c>
      <c r="S93" s="44">
        <f t="shared" si="87"/>
        <v>79387.72</v>
      </c>
      <c r="T93" s="44">
        <f t="shared" si="87"/>
        <v>0</v>
      </c>
      <c r="U93" s="44">
        <f>AH93</f>
        <v>368.08420000000001</v>
      </c>
      <c r="V93" s="44">
        <f>AI93</f>
        <v>0</v>
      </c>
      <c r="W93" s="44">
        <f>ROUND(AJ93,2)</f>
        <v>0</v>
      </c>
      <c r="X93" s="44">
        <f>ROUND(AK93,2)</f>
        <v>55571.41</v>
      </c>
      <c r="Y93" s="44">
        <f>ROUND(AL93,2)</f>
        <v>7938.78</v>
      </c>
      <c r="Z93" s="44"/>
      <c r="AA93" s="44"/>
      <c r="AB93" s="44">
        <f>ROUND(SUMIF(AA84:AA91,"=52262273",O84:O91),2)</f>
        <v>587219.74</v>
      </c>
      <c r="AC93" s="44">
        <f>ROUND(SUMIF(AA84:AA91,"=52262273",P84:P91),2)</f>
        <v>354334.03</v>
      </c>
      <c r="AD93" s="44">
        <f>ROUND(SUMIF(AA84:AA91,"=52262273",Q84:Q91),2)</f>
        <v>153497.99</v>
      </c>
      <c r="AE93" s="44">
        <f>ROUND(SUMIF(AA84:AA91,"=52262273",R84:R91),2)</f>
        <v>84156.32</v>
      </c>
      <c r="AF93" s="44">
        <f>ROUND(SUMIF(AA84:AA91,"=52262273",S84:S91),2)</f>
        <v>79387.72</v>
      </c>
      <c r="AG93" s="44">
        <f>ROUND(SUMIF(AA84:AA91,"=52262273",T84:T91),2)</f>
        <v>0</v>
      </c>
      <c r="AH93" s="44">
        <f>SUMIF(AA84:AA91,"=52262273",U84:U91)</f>
        <v>368.08420000000001</v>
      </c>
      <c r="AI93" s="44">
        <f>SUMIF(AA84:AA91,"=52262273",V84:V91)</f>
        <v>0</v>
      </c>
      <c r="AJ93" s="44">
        <f>ROUND(SUMIF(AA84:AA91,"=52262273",W84:W91),2)</f>
        <v>0</v>
      </c>
      <c r="AK93" s="44">
        <f>ROUND(SUMIF(AA84:AA91,"=52262273",X84:X91),2)</f>
        <v>55571.41</v>
      </c>
      <c r="AL93" s="44">
        <f>ROUND(SUMIF(AA84:AA91,"=52262273",Y84:Y91),2)</f>
        <v>7938.78</v>
      </c>
      <c r="AM93" s="44"/>
      <c r="AN93" s="44"/>
      <c r="AO93" s="44">
        <f t="shared" ref="AO93:BD93" si="88">ROUND(BX93,2)</f>
        <v>0</v>
      </c>
      <c r="AP93" s="44">
        <f t="shared" si="88"/>
        <v>0</v>
      </c>
      <c r="AQ93" s="44">
        <f t="shared" si="88"/>
        <v>0</v>
      </c>
      <c r="AR93" s="44">
        <f t="shared" si="88"/>
        <v>682710.07</v>
      </c>
      <c r="AS93" s="44">
        <f t="shared" si="88"/>
        <v>0</v>
      </c>
      <c r="AT93" s="44">
        <f t="shared" si="88"/>
        <v>0</v>
      </c>
      <c r="AU93" s="44">
        <f t="shared" si="88"/>
        <v>682710.07</v>
      </c>
      <c r="AV93" s="44">
        <f t="shared" si="88"/>
        <v>354334.03</v>
      </c>
      <c r="AW93" s="44">
        <f t="shared" si="88"/>
        <v>354334.03</v>
      </c>
      <c r="AX93" s="44">
        <f t="shared" si="88"/>
        <v>0</v>
      </c>
      <c r="AY93" s="44">
        <f t="shared" si="88"/>
        <v>354334.03</v>
      </c>
      <c r="AZ93" s="44">
        <f t="shared" si="88"/>
        <v>0</v>
      </c>
      <c r="BA93" s="44">
        <f t="shared" si="88"/>
        <v>0</v>
      </c>
      <c r="BB93" s="44">
        <f t="shared" si="88"/>
        <v>0</v>
      </c>
      <c r="BC93" s="44">
        <f t="shared" si="88"/>
        <v>0</v>
      </c>
      <c r="BD93" s="44">
        <f t="shared" si="88"/>
        <v>0</v>
      </c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>
        <f>ROUND(SUMIF(AA84:AA91,"=52262273",FQ84:FQ91),2)</f>
        <v>0</v>
      </c>
      <c r="BY93" s="44">
        <f>ROUND(SUMIF(AA84:AA91,"=52262273",FR84:FR91),2)</f>
        <v>0</v>
      </c>
      <c r="BZ93" s="44">
        <f>ROUND(SUMIF(AA84:AA91,"=52262273",GL84:GL91),2)</f>
        <v>0</v>
      </c>
      <c r="CA93" s="44">
        <f>ROUND(SUMIF(AA84:AA91,"=52262273",GM84:GM91),2)</f>
        <v>682710.07</v>
      </c>
      <c r="CB93" s="44">
        <f>ROUND(SUMIF(AA84:AA91,"=52262273",GN84:GN91),2)</f>
        <v>0</v>
      </c>
      <c r="CC93" s="44">
        <f>ROUND(SUMIF(AA84:AA91,"=52262273",GO84:GO91),2)</f>
        <v>0</v>
      </c>
      <c r="CD93" s="44">
        <f>ROUND(SUMIF(AA84:AA91,"=52262273",GP84:GP91),2)</f>
        <v>682710.07</v>
      </c>
      <c r="CE93" s="44">
        <f>AC93-BX93</f>
        <v>354334.03</v>
      </c>
      <c r="CF93" s="44">
        <f>AC93-BY93</f>
        <v>354334.03</v>
      </c>
      <c r="CG93" s="44">
        <f>BX93-BZ93</f>
        <v>0</v>
      </c>
      <c r="CH93" s="44">
        <f>AC93-BX93-BY93+BZ93</f>
        <v>354334.03</v>
      </c>
      <c r="CI93" s="44">
        <f>BY93-BZ93</f>
        <v>0</v>
      </c>
      <c r="CJ93" s="44">
        <f>ROUND(SUMIF(AA84:AA91,"=52262273",GX84:GX91),2)</f>
        <v>0</v>
      </c>
      <c r="CK93" s="44">
        <f>ROUND(SUMIF(AA84:AA91,"=52262273",GY84:GY91),2)</f>
        <v>0</v>
      </c>
      <c r="CL93" s="44">
        <f>ROUND(SUMIF(AA84:AA91,"=52262273",GZ84:GZ91),2)</f>
        <v>0</v>
      </c>
      <c r="CM93" s="44">
        <f>ROUND(SUMIF(AA84:AA91,"=52262273",HD84:HD91),2)</f>
        <v>0</v>
      </c>
      <c r="CN93" s="44"/>
      <c r="CO93" s="44"/>
      <c r="CP93" s="44"/>
      <c r="CQ93" s="44"/>
      <c r="CR93" s="44"/>
      <c r="CS93" s="44"/>
      <c r="CT93" s="44"/>
      <c r="CU93" s="44"/>
      <c r="CV93" s="44"/>
      <c r="CW93" s="44"/>
      <c r="CX93" s="44"/>
      <c r="CY93" s="44"/>
      <c r="CZ93" s="44"/>
      <c r="DA93" s="44"/>
      <c r="DB93" s="44"/>
      <c r="DC93" s="44"/>
      <c r="DD93" s="44"/>
      <c r="DE93" s="44"/>
      <c r="DF93" s="44"/>
      <c r="DG93" s="45"/>
      <c r="DH93" s="45"/>
      <c r="DI93" s="45"/>
      <c r="DJ93" s="45"/>
      <c r="DK93" s="45"/>
      <c r="DL93" s="45"/>
      <c r="DM93" s="45"/>
      <c r="DN93" s="45"/>
      <c r="DO93" s="45"/>
      <c r="DP93" s="45"/>
      <c r="DQ93" s="45"/>
      <c r="DR93" s="45"/>
      <c r="DS93" s="45"/>
      <c r="DT93" s="45"/>
      <c r="DU93" s="45"/>
      <c r="DV93" s="45"/>
      <c r="DW93" s="45"/>
      <c r="DX93" s="45"/>
      <c r="DY93" s="45"/>
      <c r="DZ93" s="45"/>
      <c r="EA93" s="45"/>
      <c r="EB93" s="45"/>
      <c r="EC93" s="45"/>
      <c r="ED93" s="45"/>
      <c r="EE93" s="45"/>
      <c r="EF93" s="45"/>
      <c r="EG93" s="45"/>
      <c r="EH93" s="45"/>
      <c r="EI93" s="45"/>
      <c r="EJ93" s="45"/>
      <c r="EK93" s="45"/>
      <c r="EL93" s="45"/>
      <c r="EM93" s="45"/>
      <c r="EN93" s="45"/>
      <c r="EO93" s="45"/>
      <c r="EP93" s="45"/>
      <c r="EQ93" s="45"/>
      <c r="ER93" s="45"/>
      <c r="ES93" s="45"/>
      <c r="ET93" s="45"/>
      <c r="EU93" s="45"/>
      <c r="EV93" s="45"/>
      <c r="EW93" s="45"/>
      <c r="EX93" s="45"/>
      <c r="EY93" s="45"/>
      <c r="EZ93" s="45"/>
      <c r="FA93" s="45"/>
      <c r="FB93" s="45"/>
      <c r="FC93" s="45"/>
      <c r="FD93" s="45"/>
      <c r="FE93" s="45"/>
      <c r="FF93" s="45"/>
      <c r="FG93" s="45"/>
      <c r="FH93" s="45"/>
      <c r="FI93" s="45"/>
      <c r="FJ93" s="45"/>
      <c r="FK93" s="45"/>
      <c r="FL93" s="45"/>
      <c r="FM93" s="45"/>
      <c r="FN93" s="45"/>
      <c r="FO93" s="45"/>
      <c r="FP93" s="45"/>
      <c r="FQ93" s="45"/>
      <c r="FR93" s="45"/>
      <c r="FS93" s="45"/>
      <c r="FT93" s="45"/>
      <c r="FU93" s="45"/>
      <c r="FV93" s="45"/>
      <c r="FW93" s="45"/>
      <c r="FX93" s="45"/>
      <c r="FY93" s="45"/>
      <c r="FZ93" s="45"/>
      <c r="GA93" s="45"/>
      <c r="GB93" s="45"/>
      <c r="GC93" s="45"/>
      <c r="GD93" s="45"/>
      <c r="GE93" s="45"/>
      <c r="GF93" s="45"/>
      <c r="GG93" s="45"/>
      <c r="GH93" s="45"/>
      <c r="GI93" s="45"/>
      <c r="GJ93" s="45"/>
      <c r="GK93" s="45"/>
      <c r="GL93" s="45"/>
      <c r="GM93" s="45"/>
      <c r="GN93" s="45"/>
      <c r="GO93" s="45"/>
      <c r="GP93" s="45"/>
      <c r="GQ93" s="45"/>
      <c r="GR93" s="45"/>
      <c r="GS93" s="45"/>
      <c r="GT93" s="45"/>
      <c r="GU93" s="45"/>
      <c r="GV93" s="45"/>
      <c r="GW93" s="45"/>
      <c r="GX93" s="45">
        <v>0</v>
      </c>
    </row>
    <row r="95" spans="1:245" ht="13" x14ac:dyDescent="0.3">
      <c r="A95" s="46">
        <v>50</v>
      </c>
      <c r="B95" s="46">
        <v>0</v>
      </c>
      <c r="C95" s="46">
        <v>0</v>
      </c>
      <c r="D95" s="46">
        <v>1</v>
      </c>
      <c r="E95" s="46">
        <v>201</v>
      </c>
      <c r="F95" s="46">
        <f>ROUND('Source (2)'!O93,O95)</f>
        <v>587219.74</v>
      </c>
      <c r="G95" s="46" t="s">
        <v>214</v>
      </c>
      <c r="H95" s="46" t="s">
        <v>215</v>
      </c>
      <c r="I95" s="46"/>
      <c r="J95" s="46"/>
      <c r="K95" s="46">
        <v>201</v>
      </c>
      <c r="L95" s="46">
        <v>1</v>
      </c>
      <c r="M95" s="46">
        <v>3</v>
      </c>
      <c r="N95" s="46" t="s">
        <v>30</v>
      </c>
      <c r="O95" s="46">
        <v>2</v>
      </c>
      <c r="P95" s="46"/>
      <c r="Q95" s="46"/>
      <c r="R95" s="46"/>
      <c r="S95" s="46"/>
      <c r="T95" s="46"/>
      <c r="U95" s="46"/>
      <c r="V95" s="46"/>
      <c r="W95" s="46">
        <v>587219.74</v>
      </c>
      <c r="X95" s="46">
        <v>1</v>
      </c>
      <c r="Y95" s="46">
        <v>587219.74</v>
      </c>
      <c r="Z95" s="46"/>
      <c r="AA95" s="46"/>
      <c r="AB95" s="46"/>
    </row>
    <row r="96" spans="1:245" ht="13" x14ac:dyDescent="0.3">
      <c r="A96" s="46">
        <v>50</v>
      </c>
      <c r="B96" s="46">
        <v>0</v>
      </c>
      <c r="C96" s="46">
        <v>0</v>
      </c>
      <c r="D96" s="46">
        <v>1</v>
      </c>
      <c r="E96" s="46">
        <v>202</v>
      </c>
      <c r="F96" s="46">
        <f>ROUND('Source (2)'!P93,O96)</f>
        <v>354334.03</v>
      </c>
      <c r="G96" s="46" t="s">
        <v>216</v>
      </c>
      <c r="H96" s="46" t="s">
        <v>217</v>
      </c>
      <c r="I96" s="46"/>
      <c r="J96" s="46"/>
      <c r="K96" s="46">
        <v>202</v>
      </c>
      <c r="L96" s="46">
        <v>2</v>
      </c>
      <c r="M96" s="46">
        <v>3</v>
      </c>
      <c r="N96" s="46" t="s">
        <v>30</v>
      </c>
      <c r="O96" s="46">
        <v>2</v>
      </c>
      <c r="P96" s="46"/>
      <c r="Q96" s="46"/>
      <c r="R96" s="46"/>
      <c r="S96" s="46"/>
      <c r="T96" s="46"/>
      <c r="U96" s="46"/>
      <c r="V96" s="46"/>
      <c r="W96" s="46">
        <v>354334.03</v>
      </c>
      <c r="X96" s="46">
        <v>1</v>
      </c>
      <c r="Y96" s="46">
        <v>354334.03</v>
      </c>
      <c r="Z96" s="46"/>
      <c r="AA96" s="46"/>
      <c r="AB96" s="46"/>
    </row>
    <row r="97" spans="1:28" ht="13" x14ac:dyDescent="0.3">
      <c r="A97" s="46">
        <v>50</v>
      </c>
      <c r="B97" s="46">
        <v>0</v>
      </c>
      <c r="C97" s="46">
        <v>0</v>
      </c>
      <c r="D97" s="46">
        <v>1</v>
      </c>
      <c r="E97" s="46">
        <v>222</v>
      </c>
      <c r="F97" s="46">
        <f>ROUND('Source (2)'!AO93,O97)</f>
        <v>0</v>
      </c>
      <c r="G97" s="46" t="s">
        <v>218</v>
      </c>
      <c r="H97" s="46" t="s">
        <v>219</v>
      </c>
      <c r="I97" s="46"/>
      <c r="J97" s="46"/>
      <c r="K97" s="46">
        <v>222</v>
      </c>
      <c r="L97" s="46">
        <v>3</v>
      </c>
      <c r="M97" s="46">
        <v>3</v>
      </c>
      <c r="N97" s="46" t="s">
        <v>30</v>
      </c>
      <c r="O97" s="46">
        <v>2</v>
      </c>
      <c r="P97" s="46"/>
      <c r="Q97" s="46"/>
      <c r="R97" s="46"/>
      <c r="S97" s="46"/>
      <c r="T97" s="46"/>
      <c r="U97" s="46"/>
      <c r="V97" s="46"/>
      <c r="W97" s="46">
        <v>0</v>
      </c>
      <c r="X97" s="46">
        <v>1</v>
      </c>
      <c r="Y97" s="46">
        <v>0</v>
      </c>
      <c r="Z97" s="46"/>
      <c r="AA97" s="46"/>
      <c r="AB97" s="46"/>
    </row>
    <row r="98" spans="1:28" ht="13" x14ac:dyDescent="0.3">
      <c r="A98" s="46">
        <v>50</v>
      </c>
      <c r="B98" s="46">
        <v>0</v>
      </c>
      <c r="C98" s="46">
        <v>0</v>
      </c>
      <c r="D98" s="46">
        <v>1</v>
      </c>
      <c r="E98" s="46">
        <v>225</v>
      </c>
      <c r="F98" s="46">
        <f>ROUND('Source (2)'!AV93,O98)</f>
        <v>354334.03</v>
      </c>
      <c r="G98" s="46" t="s">
        <v>220</v>
      </c>
      <c r="H98" s="46" t="s">
        <v>221</v>
      </c>
      <c r="I98" s="46"/>
      <c r="J98" s="46"/>
      <c r="K98" s="46">
        <v>225</v>
      </c>
      <c r="L98" s="46">
        <v>4</v>
      </c>
      <c r="M98" s="46">
        <v>3</v>
      </c>
      <c r="N98" s="46" t="s">
        <v>30</v>
      </c>
      <c r="O98" s="46">
        <v>2</v>
      </c>
      <c r="P98" s="46"/>
      <c r="Q98" s="46"/>
      <c r="R98" s="46"/>
      <c r="S98" s="46"/>
      <c r="T98" s="46"/>
      <c r="U98" s="46"/>
      <c r="V98" s="46"/>
      <c r="W98" s="46">
        <v>354334.03</v>
      </c>
      <c r="X98" s="46">
        <v>1</v>
      </c>
      <c r="Y98" s="46">
        <v>354334.03</v>
      </c>
      <c r="Z98" s="46"/>
      <c r="AA98" s="46"/>
      <c r="AB98" s="46"/>
    </row>
    <row r="99" spans="1:28" ht="13" x14ac:dyDescent="0.3">
      <c r="A99" s="46">
        <v>50</v>
      </c>
      <c r="B99" s="46">
        <v>0</v>
      </c>
      <c r="C99" s="46">
        <v>0</v>
      </c>
      <c r="D99" s="46">
        <v>1</v>
      </c>
      <c r="E99" s="46">
        <v>226</v>
      </c>
      <c r="F99" s="46">
        <f>ROUND('Source (2)'!AW93,O99)</f>
        <v>354334.03</v>
      </c>
      <c r="G99" s="46" t="s">
        <v>222</v>
      </c>
      <c r="H99" s="46" t="s">
        <v>223</v>
      </c>
      <c r="I99" s="46"/>
      <c r="J99" s="46"/>
      <c r="K99" s="46">
        <v>226</v>
      </c>
      <c r="L99" s="46">
        <v>5</v>
      </c>
      <c r="M99" s="46">
        <v>3</v>
      </c>
      <c r="N99" s="46" t="s">
        <v>30</v>
      </c>
      <c r="O99" s="46">
        <v>2</v>
      </c>
      <c r="P99" s="46"/>
      <c r="Q99" s="46"/>
      <c r="R99" s="46"/>
      <c r="S99" s="46"/>
      <c r="T99" s="46"/>
      <c r="U99" s="46"/>
      <c r="V99" s="46"/>
      <c r="W99" s="46">
        <v>354334.03</v>
      </c>
      <c r="X99" s="46">
        <v>1</v>
      </c>
      <c r="Y99" s="46">
        <v>354334.03</v>
      </c>
      <c r="Z99" s="46"/>
      <c r="AA99" s="46"/>
      <c r="AB99" s="46"/>
    </row>
    <row r="100" spans="1:28" ht="13" x14ac:dyDescent="0.3">
      <c r="A100" s="46">
        <v>50</v>
      </c>
      <c r="B100" s="46">
        <v>0</v>
      </c>
      <c r="C100" s="46">
        <v>0</v>
      </c>
      <c r="D100" s="46">
        <v>1</v>
      </c>
      <c r="E100" s="46">
        <v>227</v>
      </c>
      <c r="F100" s="46">
        <f>ROUND('Source (2)'!AX93,O100)</f>
        <v>0</v>
      </c>
      <c r="G100" s="46" t="s">
        <v>224</v>
      </c>
      <c r="H100" s="46" t="s">
        <v>225</v>
      </c>
      <c r="I100" s="46"/>
      <c r="J100" s="46"/>
      <c r="K100" s="46">
        <v>227</v>
      </c>
      <c r="L100" s="46">
        <v>6</v>
      </c>
      <c r="M100" s="46">
        <v>3</v>
      </c>
      <c r="N100" s="46" t="s">
        <v>30</v>
      </c>
      <c r="O100" s="46">
        <v>2</v>
      </c>
      <c r="P100" s="46"/>
      <c r="Q100" s="46"/>
      <c r="R100" s="46"/>
      <c r="S100" s="46"/>
      <c r="T100" s="46"/>
      <c r="U100" s="46"/>
      <c r="V100" s="46"/>
      <c r="W100" s="46">
        <v>0</v>
      </c>
      <c r="X100" s="46">
        <v>1</v>
      </c>
      <c r="Y100" s="46">
        <v>0</v>
      </c>
      <c r="Z100" s="46"/>
      <c r="AA100" s="46"/>
      <c r="AB100" s="46"/>
    </row>
    <row r="101" spans="1:28" ht="13" x14ac:dyDescent="0.3">
      <c r="A101" s="46">
        <v>50</v>
      </c>
      <c r="B101" s="46">
        <v>0</v>
      </c>
      <c r="C101" s="46">
        <v>0</v>
      </c>
      <c r="D101" s="46">
        <v>1</v>
      </c>
      <c r="E101" s="46">
        <v>228</v>
      </c>
      <c r="F101" s="46">
        <f>ROUND('Source (2)'!AY93,O101)</f>
        <v>354334.03</v>
      </c>
      <c r="G101" s="46" t="s">
        <v>226</v>
      </c>
      <c r="H101" s="46" t="s">
        <v>227</v>
      </c>
      <c r="I101" s="46"/>
      <c r="J101" s="46"/>
      <c r="K101" s="46">
        <v>228</v>
      </c>
      <c r="L101" s="46">
        <v>7</v>
      </c>
      <c r="M101" s="46">
        <v>3</v>
      </c>
      <c r="N101" s="46" t="s">
        <v>30</v>
      </c>
      <c r="O101" s="46">
        <v>2</v>
      </c>
      <c r="P101" s="46"/>
      <c r="Q101" s="46"/>
      <c r="R101" s="46"/>
      <c r="S101" s="46"/>
      <c r="T101" s="46"/>
      <c r="U101" s="46"/>
      <c r="V101" s="46"/>
      <c r="W101" s="46">
        <v>354334.03</v>
      </c>
      <c r="X101" s="46">
        <v>1</v>
      </c>
      <c r="Y101" s="46">
        <v>354334.03</v>
      </c>
      <c r="Z101" s="46"/>
      <c r="AA101" s="46"/>
      <c r="AB101" s="46"/>
    </row>
    <row r="102" spans="1:28" ht="13" x14ac:dyDescent="0.3">
      <c r="A102" s="46">
        <v>50</v>
      </c>
      <c r="B102" s="46">
        <v>0</v>
      </c>
      <c r="C102" s="46">
        <v>0</v>
      </c>
      <c r="D102" s="46">
        <v>1</v>
      </c>
      <c r="E102" s="46">
        <v>216</v>
      </c>
      <c r="F102" s="46">
        <f>ROUND('Source (2)'!AP93,O102)</f>
        <v>0</v>
      </c>
      <c r="G102" s="46" t="s">
        <v>228</v>
      </c>
      <c r="H102" s="46" t="s">
        <v>229</v>
      </c>
      <c r="I102" s="46"/>
      <c r="J102" s="46"/>
      <c r="K102" s="46">
        <v>216</v>
      </c>
      <c r="L102" s="46">
        <v>8</v>
      </c>
      <c r="M102" s="46">
        <v>3</v>
      </c>
      <c r="N102" s="46" t="s">
        <v>30</v>
      </c>
      <c r="O102" s="46">
        <v>2</v>
      </c>
      <c r="P102" s="46"/>
      <c r="Q102" s="46"/>
      <c r="R102" s="46"/>
      <c r="S102" s="46"/>
      <c r="T102" s="46"/>
      <c r="U102" s="46"/>
      <c r="V102" s="46"/>
      <c r="W102" s="46">
        <v>0</v>
      </c>
      <c r="X102" s="46">
        <v>1</v>
      </c>
      <c r="Y102" s="46">
        <v>0</v>
      </c>
      <c r="Z102" s="46"/>
      <c r="AA102" s="46"/>
      <c r="AB102" s="46"/>
    </row>
    <row r="103" spans="1:28" ht="13" x14ac:dyDescent="0.3">
      <c r="A103" s="46">
        <v>50</v>
      </c>
      <c r="B103" s="46">
        <v>0</v>
      </c>
      <c r="C103" s="46">
        <v>0</v>
      </c>
      <c r="D103" s="46">
        <v>1</v>
      </c>
      <c r="E103" s="46">
        <v>223</v>
      </c>
      <c r="F103" s="46">
        <f>ROUND('Source (2)'!AQ93,O103)</f>
        <v>0</v>
      </c>
      <c r="G103" s="46" t="s">
        <v>230</v>
      </c>
      <c r="H103" s="46" t="s">
        <v>231</v>
      </c>
      <c r="I103" s="46"/>
      <c r="J103" s="46"/>
      <c r="K103" s="46">
        <v>223</v>
      </c>
      <c r="L103" s="46">
        <v>9</v>
      </c>
      <c r="M103" s="46">
        <v>3</v>
      </c>
      <c r="N103" s="46" t="s">
        <v>30</v>
      </c>
      <c r="O103" s="46">
        <v>2</v>
      </c>
      <c r="P103" s="46"/>
      <c r="Q103" s="46"/>
      <c r="R103" s="46"/>
      <c r="S103" s="46"/>
      <c r="T103" s="46"/>
      <c r="U103" s="46"/>
      <c r="V103" s="46"/>
      <c r="W103" s="46">
        <v>0</v>
      </c>
      <c r="X103" s="46">
        <v>1</v>
      </c>
      <c r="Y103" s="46">
        <v>0</v>
      </c>
      <c r="Z103" s="46"/>
      <c r="AA103" s="46"/>
      <c r="AB103" s="46"/>
    </row>
    <row r="104" spans="1:28" ht="13" x14ac:dyDescent="0.3">
      <c r="A104" s="46">
        <v>50</v>
      </c>
      <c r="B104" s="46">
        <v>0</v>
      </c>
      <c r="C104" s="46">
        <v>0</v>
      </c>
      <c r="D104" s="46">
        <v>1</v>
      </c>
      <c r="E104" s="46">
        <v>229</v>
      </c>
      <c r="F104" s="46">
        <f>ROUND('Source (2)'!AZ93,O104)</f>
        <v>0</v>
      </c>
      <c r="G104" s="46" t="s">
        <v>232</v>
      </c>
      <c r="H104" s="46" t="s">
        <v>233</v>
      </c>
      <c r="I104" s="46"/>
      <c r="J104" s="46"/>
      <c r="K104" s="46">
        <v>229</v>
      </c>
      <c r="L104" s="46">
        <v>10</v>
      </c>
      <c r="M104" s="46">
        <v>3</v>
      </c>
      <c r="N104" s="46" t="s">
        <v>30</v>
      </c>
      <c r="O104" s="46">
        <v>2</v>
      </c>
      <c r="P104" s="46"/>
      <c r="Q104" s="46"/>
      <c r="R104" s="46"/>
      <c r="S104" s="46"/>
      <c r="T104" s="46"/>
      <c r="U104" s="46"/>
      <c r="V104" s="46"/>
      <c r="W104" s="46">
        <v>0</v>
      </c>
      <c r="X104" s="46">
        <v>1</v>
      </c>
      <c r="Y104" s="46">
        <v>0</v>
      </c>
      <c r="Z104" s="46"/>
      <c r="AA104" s="46"/>
      <c r="AB104" s="46"/>
    </row>
    <row r="105" spans="1:28" ht="13" x14ac:dyDescent="0.3">
      <c r="A105" s="46">
        <v>50</v>
      </c>
      <c r="B105" s="46">
        <v>0</v>
      </c>
      <c r="C105" s="46">
        <v>0</v>
      </c>
      <c r="D105" s="46">
        <v>1</v>
      </c>
      <c r="E105" s="46">
        <v>203</v>
      </c>
      <c r="F105" s="46">
        <f>ROUND('Source (2)'!Q93,O105)</f>
        <v>153497.99</v>
      </c>
      <c r="G105" s="46" t="s">
        <v>234</v>
      </c>
      <c r="H105" s="46" t="s">
        <v>235</v>
      </c>
      <c r="I105" s="46"/>
      <c r="J105" s="46"/>
      <c r="K105" s="46">
        <v>203</v>
      </c>
      <c r="L105" s="46">
        <v>11</v>
      </c>
      <c r="M105" s="46">
        <v>3</v>
      </c>
      <c r="N105" s="46" t="s">
        <v>30</v>
      </c>
      <c r="O105" s="46">
        <v>2</v>
      </c>
      <c r="P105" s="46"/>
      <c r="Q105" s="46"/>
      <c r="R105" s="46"/>
      <c r="S105" s="46"/>
      <c r="T105" s="46"/>
      <c r="U105" s="46"/>
      <c r="V105" s="46"/>
      <c r="W105" s="46">
        <v>153497.99</v>
      </c>
      <c r="X105" s="46">
        <v>1</v>
      </c>
      <c r="Y105" s="46">
        <v>153497.99</v>
      </c>
      <c r="Z105" s="46"/>
      <c r="AA105" s="46"/>
      <c r="AB105" s="46"/>
    </row>
    <row r="106" spans="1:28" ht="13" x14ac:dyDescent="0.3">
      <c r="A106" s="46">
        <v>50</v>
      </c>
      <c r="B106" s="46">
        <v>0</v>
      </c>
      <c r="C106" s="46">
        <v>0</v>
      </c>
      <c r="D106" s="46">
        <v>1</v>
      </c>
      <c r="E106" s="46">
        <v>231</v>
      </c>
      <c r="F106" s="46">
        <f>ROUND('Source (2)'!BB93,O106)</f>
        <v>0</v>
      </c>
      <c r="G106" s="46" t="s">
        <v>236</v>
      </c>
      <c r="H106" s="46" t="s">
        <v>237</v>
      </c>
      <c r="I106" s="46"/>
      <c r="J106" s="46"/>
      <c r="K106" s="46">
        <v>231</v>
      </c>
      <c r="L106" s="46">
        <v>12</v>
      </c>
      <c r="M106" s="46">
        <v>3</v>
      </c>
      <c r="N106" s="46" t="s">
        <v>30</v>
      </c>
      <c r="O106" s="46">
        <v>2</v>
      </c>
      <c r="P106" s="46"/>
      <c r="Q106" s="46"/>
      <c r="R106" s="46"/>
      <c r="S106" s="46"/>
      <c r="T106" s="46"/>
      <c r="U106" s="46"/>
      <c r="V106" s="46"/>
      <c r="W106" s="46">
        <v>0</v>
      </c>
      <c r="X106" s="46">
        <v>1</v>
      </c>
      <c r="Y106" s="46">
        <v>0</v>
      </c>
      <c r="Z106" s="46"/>
      <c r="AA106" s="46"/>
      <c r="AB106" s="46"/>
    </row>
    <row r="107" spans="1:28" ht="13" x14ac:dyDescent="0.3">
      <c r="A107" s="46">
        <v>50</v>
      </c>
      <c r="B107" s="46">
        <v>0</v>
      </c>
      <c r="C107" s="46">
        <v>0</v>
      </c>
      <c r="D107" s="46">
        <v>1</v>
      </c>
      <c r="E107" s="46">
        <v>204</v>
      </c>
      <c r="F107" s="46">
        <f>ROUND('Source (2)'!R93,O107)</f>
        <v>84156.32</v>
      </c>
      <c r="G107" s="46" t="s">
        <v>238</v>
      </c>
      <c r="H107" s="46" t="s">
        <v>239</v>
      </c>
      <c r="I107" s="46"/>
      <c r="J107" s="46"/>
      <c r="K107" s="46">
        <v>204</v>
      </c>
      <c r="L107" s="46">
        <v>13</v>
      </c>
      <c r="M107" s="46">
        <v>3</v>
      </c>
      <c r="N107" s="46" t="s">
        <v>30</v>
      </c>
      <c r="O107" s="46">
        <v>2</v>
      </c>
      <c r="P107" s="46"/>
      <c r="Q107" s="46"/>
      <c r="R107" s="46"/>
      <c r="S107" s="46"/>
      <c r="T107" s="46"/>
      <c r="U107" s="46"/>
      <c r="V107" s="46"/>
      <c r="W107" s="46">
        <v>84156.32</v>
      </c>
      <c r="X107" s="46">
        <v>1</v>
      </c>
      <c r="Y107" s="46">
        <v>84156.32</v>
      </c>
      <c r="Z107" s="46"/>
      <c r="AA107" s="46"/>
      <c r="AB107" s="46"/>
    </row>
    <row r="108" spans="1:28" ht="13" x14ac:dyDescent="0.3">
      <c r="A108" s="46">
        <v>50</v>
      </c>
      <c r="B108" s="46">
        <v>0</v>
      </c>
      <c r="C108" s="46">
        <v>0</v>
      </c>
      <c r="D108" s="46">
        <v>1</v>
      </c>
      <c r="E108" s="46">
        <v>205</v>
      </c>
      <c r="F108" s="46">
        <f>ROUND('Source (2)'!S93,O108)</f>
        <v>79387.72</v>
      </c>
      <c r="G108" s="46" t="s">
        <v>240</v>
      </c>
      <c r="H108" s="46" t="s">
        <v>241</v>
      </c>
      <c r="I108" s="46"/>
      <c r="J108" s="46"/>
      <c r="K108" s="46">
        <v>205</v>
      </c>
      <c r="L108" s="46">
        <v>14</v>
      </c>
      <c r="M108" s="46">
        <v>3</v>
      </c>
      <c r="N108" s="46" t="s">
        <v>30</v>
      </c>
      <c r="O108" s="46">
        <v>2</v>
      </c>
      <c r="P108" s="46"/>
      <c r="Q108" s="46"/>
      <c r="R108" s="46"/>
      <c r="S108" s="46"/>
      <c r="T108" s="46"/>
      <c r="U108" s="46"/>
      <c r="V108" s="46"/>
      <c r="W108" s="46">
        <v>79387.72</v>
      </c>
      <c r="X108" s="46">
        <v>1</v>
      </c>
      <c r="Y108" s="46">
        <v>79387.72</v>
      </c>
      <c r="Z108" s="46"/>
      <c r="AA108" s="46"/>
      <c r="AB108" s="46"/>
    </row>
    <row r="109" spans="1:28" ht="13" x14ac:dyDescent="0.3">
      <c r="A109" s="46">
        <v>50</v>
      </c>
      <c r="B109" s="46">
        <v>0</v>
      </c>
      <c r="C109" s="46">
        <v>0</v>
      </c>
      <c r="D109" s="46">
        <v>1</v>
      </c>
      <c r="E109" s="46">
        <v>232</v>
      </c>
      <c r="F109" s="46">
        <f>ROUND('Source (2)'!BC93,O109)</f>
        <v>0</v>
      </c>
      <c r="G109" s="46" t="s">
        <v>242</v>
      </c>
      <c r="H109" s="46" t="s">
        <v>243</v>
      </c>
      <c r="I109" s="46"/>
      <c r="J109" s="46"/>
      <c r="K109" s="46">
        <v>232</v>
      </c>
      <c r="L109" s="46">
        <v>15</v>
      </c>
      <c r="M109" s="46">
        <v>3</v>
      </c>
      <c r="N109" s="46" t="s">
        <v>30</v>
      </c>
      <c r="O109" s="46">
        <v>2</v>
      </c>
      <c r="P109" s="46"/>
      <c r="Q109" s="46"/>
      <c r="R109" s="46"/>
      <c r="S109" s="46"/>
      <c r="T109" s="46"/>
      <c r="U109" s="46"/>
      <c r="V109" s="46"/>
      <c r="W109" s="46">
        <v>0</v>
      </c>
      <c r="X109" s="46">
        <v>1</v>
      </c>
      <c r="Y109" s="46">
        <v>0</v>
      </c>
      <c r="Z109" s="46"/>
      <c r="AA109" s="46"/>
      <c r="AB109" s="46"/>
    </row>
    <row r="110" spans="1:28" ht="13" x14ac:dyDescent="0.3">
      <c r="A110" s="46">
        <v>50</v>
      </c>
      <c r="B110" s="46">
        <v>0</v>
      </c>
      <c r="C110" s="46">
        <v>0</v>
      </c>
      <c r="D110" s="46">
        <v>1</v>
      </c>
      <c r="E110" s="46">
        <v>214</v>
      </c>
      <c r="F110" s="46">
        <f>ROUND('Source (2)'!AS93,O110)</f>
        <v>0</v>
      </c>
      <c r="G110" s="46" t="s">
        <v>244</v>
      </c>
      <c r="H110" s="46" t="s">
        <v>245</v>
      </c>
      <c r="I110" s="46"/>
      <c r="J110" s="46"/>
      <c r="K110" s="46">
        <v>214</v>
      </c>
      <c r="L110" s="46">
        <v>16</v>
      </c>
      <c r="M110" s="46">
        <v>3</v>
      </c>
      <c r="N110" s="46" t="s">
        <v>30</v>
      </c>
      <c r="O110" s="46">
        <v>2</v>
      </c>
      <c r="P110" s="46"/>
      <c r="Q110" s="46"/>
      <c r="R110" s="46"/>
      <c r="S110" s="46"/>
      <c r="T110" s="46"/>
      <c r="U110" s="46"/>
      <c r="V110" s="46"/>
      <c r="W110" s="46">
        <v>0</v>
      </c>
      <c r="X110" s="46">
        <v>1</v>
      </c>
      <c r="Y110" s="46">
        <v>0</v>
      </c>
      <c r="Z110" s="46"/>
      <c r="AA110" s="46"/>
      <c r="AB110" s="46"/>
    </row>
    <row r="111" spans="1:28" ht="13" x14ac:dyDescent="0.3">
      <c r="A111" s="46">
        <v>50</v>
      </c>
      <c r="B111" s="46">
        <v>0</v>
      </c>
      <c r="C111" s="46">
        <v>0</v>
      </c>
      <c r="D111" s="46">
        <v>1</v>
      </c>
      <c r="E111" s="46">
        <v>215</v>
      </c>
      <c r="F111" s="46">
        <f>ROUND('Source (2)'!AT93,O111)</f>
        <v>0</v>
      </c>
      <c r="G111" s="46" t="s">
        <v>246</v>
      </c>
      <c r="H111" s="46" t="s">
        <v>247</v>
      </c>
      <c r="I111" s="46"/>
      <c r="J111" s="46"/>
      <c r="K111" s="46">
        <v>215</v>
      </c>
      <c r="L111" s="46">
        <v>17</v>
      </c>
      <c r="M111" s="46">
        <v>3</v>
      </c>
      <c r="N111" s="46" t="s">
        <v>30</v>
      </c>
      <c r="O111" s="46">
        <v>2</v>
      </c>
      <c r="P111" s="46"/>
      <c r="Q111" s="46"/>
      <c r="R111" s="46"/>
      <c r="S111" s="46"/>
      <c r="T111" s="46"/>
      <c r="U111" s="46"/>
      <c r="V111" s="46"/>
      <c r="W111" s="46">
        <v>0</v>
      </c>
      <c r="X111" s="46">
        <v>1</v>
      </c>
      <c r="Y111" s="46">
        <v>0</v>
      </c>
      <c r="Z111" s="46"/>
      <c r="AA111" s="46"/>
      <c r="AB111" s="46"/>
    </row>
    <row r="112" spans="1:28" ht="13" x14ac:dyDescent="0.3">
      <c r="A112" s="46">
        <v>50</v>
      </c>
      <c r="B112" s="46">
        <v>0</v>
      </c>
      <c r="C112" s="46">
        <v>0</v>
      </c>
      <c r="D112" s="46">
        <v>1</v>
      </c>
      <c r="E112" s="46">
        <v>217</v>
      </c>
      <c r="F112" s="46">
        <f>ROUND('Source (2)'!AU93,O112)</f>
        <v>682710.07</v>
      </c>
      <c r="G112" s="46" t="s">
        <v>248</v>
      </c>
      <c r="H112" s="46" t="s">
        <v>249</v>
      </c>
      <c r="I112" s="46"/>
      <c r="J112" s="46"/>
      <c r="K112" s="46">
        <v>217</v>
      </c>
      <c r="L112" s="46">
        <v>18</v>
      </c>
      <c r="M112" s="46">
        <v>3</v>
      </c>
      <c r="N112" s="46" t="s">
        <v>30</v>
      </c>
      <c r="O112" s="46">
        <v>2</v>
      </c>
      <c r="P112" s="46"/>
      <c r="Q112" s="46"/>
      <c r="R112" s="46"/>
      <c r="S112" s="46"/>
      <c r="T112" s="46"/>
      <c r="U112" s="46"/>
      <c r="V112" s="46"/>
      <c r="W112" s="46">
        <v>682710.07</v>
      </c>
      <c r="X112" s="46">
        <v>1</v>
      </c>
      <c r="Y112" s="46">
        <v>682710.07</v>
      </c>
      <c r="Z112" s="46"/>
      <c r="AA112" s="46"/>
      <c r="AB112" s="46"/>
    </row>
    <row r="113" spans="1:28" ht="13" x14ac:dyDescent="0.3">
      <c r="A113" s="46">
        <v>50</v>
      </c>
      <c r="B113" s="46">
        <v>0</v>
      </c>
      <c r="C113" s="46">
        <v>0</v>
      </c>
      <c r="D113" s="46">
        <v>1</v>
      </c>
      <c r="E113" s="46">
        <v>230</v>
      </c>
      <c r="F113" s="46">
        <f>ROUND('Source (2)'!BA93,O113)</f>
        <v>0</v>
      </c>
      <c r="G113" s="46" t="s">
        <v>250</v>
      </c>
      <c r="H113" s="46" t="s">
        <v>251</v>
      </c>
      <c r="I113" s="46"/>
      <c r="J113" s="46"/>
      <c r="K113" s="46">
        <v>230</v>
      </c>
      <c r="L113" s="46">
        <v>19</v>
      </c>
      <c r="M113" s="46">
        <v>3</v>
      </c>
      <c r="N113" s="46" t="s">
        <v>30</v>
      </c>
      <c r="O113" s="46">
        <v>2</v>
      </c>
      <c r="P113" s="46"/>
      <c r="Q113" s="46"/>
      <c r="R113" s="46"/>
      <c r="S113" s="46"/>
      <c r="T113" s="46"/>
      <c r="U113" s="46"/>
      <c r="V113" s="46"/>
      <c r="W113" s="46">
        <v>0</v>
      </c>
      <c r="X113" s="46">
        <v>1</v>
      </c>
      <c r="Y113" s="46">
        <v>0</v>
      </c>
      <c r="Z113" s="46"/>
      <c r="AA113" s="46"/>
      <c r="AB113" s="46"/>
    </row>
    <row r="114" spans="1:28" ht="13" x14ac:dyDescent="0.3">
      <c r="A114" s="46">
        <v>50</v>
      </c>
      <c r="B114" s="46">
        <v>0</v>
      </c>
      <c r="C114" s="46">
        <v>0</v>
      </c>
      <c r="D114" s="46">
        <v>1</v>
      </c>
      <c r="E114" s="46">
        <v>206</v>
      </c>
      <c r="F114" s="46">
        <f>ROUND('Source (2)'!T93,O114)</f>
        <v>0</v>
      </c>
      <c r="G114" s="46" t="s">
        <v>252</v>
      </c>
      <c r="H114" s="46" t="s">
        <v>253</v>
      </c>
      <c r="I114" s="46"/>
      <c r="J114" s="46"/>
      <c r="K114" s="46">
        <v>206</v>
      </c>
      <c r="L114" s="46">
        <v>20</v>
      </c>
      <c r="M114" s="46">
        <v>3</v>
      </c>
      <c r="N114" s="46" t="s">
        <v>30</v>
      </c>
      <c r="O114" s="46">
        <v>2</v>
      </c>
      <c r="P114" s="46"/>
      <c r="Q114" s="46"/>
      <c r="R114" s="46"/>
      <c r="S114" s="46"/>
      <c r="T114" s="46"/>
      <c r="U114" s="46"/>
      <c r="V114" s="46"/>
      <c r="W114" s="46">
        <v>0</v>
      </c>
      <c r="X114" s="46">
        <v>1</v>
      </c>
      <c r="Y114" s="46">
        <v>0</v>
      </c>
      <c r="Z114" s="46"/>
      <c r="AA114" s="46"/>
      <c r="AB114" s="46"/>
    </row>
    <row r="115" spans="1:28" ht="13" x14ac:dyDescent="0.3">
      <c r="A115" s="46">
        <v>50</v>
      </c>
      <c r="B115" s="46">
        <v>0</v>
      </c>
      <c r="C115" s="46">
        <v>0</v>
      </c>
      <c r="D115" s="46">
        <v>1</v>
      </c>
      <c r="E115" s="46">
        <v>207</v>
      </c>
      <c r="F115" s="46">
        <f>'Source (2)'!U93</f>
        <v>368.08420000000001</v>
      </c>
      <c r="G115" s="46" t="s">
        <v>254</v>
      </c>
      <c r="H115" s="46" t="s">
        <v>255</v>
      </c>
      <c r="I115" s="46"/>
      <c r="J115" s="46"/>
      <c r="K115" s="46">
        <v>207</v>
      </c>
      <c r="L115" s="46">
        <v>21</v>
      </c>
      <c r="M115" s="46">
        <v>3</v>
      </c>
      <c r="N115" s="46" t="s">
        <v>30</v>
      </c>
      <c r="O115" s="46">
        <v>-1</v>
      </c>
      <c r="P115" s="46"/>
      <c r="Q115" s="46"/>
      <c r="R115" s="46"/>
      <c r="S115" s="46"/>
      <c r="T115" s="46"/>
      <c r="U115" s="46"/>
      <c r="V115" s="46"/>
      <c r="W115" s="46">
        <v>368.08420000000001</v>
      </c>
      <c r="X115" s="46">
        <v>1</v>
      </c>
      <c r="Y115" s="46">
        <v>368.08420000000001</v>
      </c>
      <c r="Z115" s="46"/>
      <c r="AA115" s="46"/>
      <c r="AB115" s="46"/>
    </row>
    <row r="116" spans="1:28" ht="13" x14ac:dyDescent="0.3">
      <c r="A116" s="46">
        <v>50</v>
      </c>
      <c r="B116" s="46">
        <v>0</v>
      </c>
      <c r="C116" s="46">
        <v>0</v>
      </c>
      <c r="D116" s="46">
        <v>1</v>
      </c>
      <c r="E116" s="46">
        <v>208</v>
      </c>
      <c r="F116" s="46">
        <f>'Source (2)'!V93</f>
        <v>0</v>
      </c>
      <c r="G116" s="46" t="s">
        <v>256</v>
      </c>
      <c r="H116" s="46" t="s">
        <v>257</v>
      </c>
      <c r="I116" s="46"/>
      <c r="J116" s="46"/>
      <c r="K116" s="46">
        <v>208</v>
      </c>
      <c r="L116" s="46">
        <v>22</v>
      </c>
      <c r="M116" s="46">
        <v>3</v>
      </c>
      <c r="N116" s="46" t="s">
        <v>30</v>
      </c>
      <c r="O116" s="46">
        <v>-1</v>
      </c>
      <c r="P116" s="46"/>
      <c r="Q116" s="46"/>
      <c r="R116" s="46"/>
      <c r="S116" s="46"/>
      <c r="T116" s="46"/>
      <c r="U116" s="46"/>
      <c r="V116" s="46"/>
      <c r="W116" s="46">
        <v>0</v>
      </c>
      <c r="X116" s="46">
        <v>1</v>
      </c>
      <c r="Y116" s="46">
        <v>0</v>
      </c>
      <c r="Z116" s="46"/>
      <c r="AA116" s="46"/>
      <c r="AB116" s="46"/>
    </row>
    <row r="117" spans="1:28" ht="13" x14ac:dyDescent="0.3">
      <c r="A117" s="46">
        <v>50</v>
      </c>
      <c r="B117" s="46">
        <v>0</v>
      </c>
      <c r="C117" s="46">
        <v>0</v>
      </c>
      <c r="D117" s="46">
        <v>1</v>
      </c>
      <c r="E117" s="46">
        <v>209</v>
      </c>
      <c r="F117" s="46">
        <f>ROUND('Source (2)'!W93,O117)</f>
        <v>0</v>
      </c>
      <c r="G117" s="46" t="s">
        <v>258</v>
      </c>
      <c r="H117" s="46" t="s">
        <v>259</v>
      </c>
      <c r="I117" s="46"/>
      <c r="J117" s="46"/>
      <c r="K117" s="46">
        <v>209</v>
      </c>
      <c r="L117" s="46">
        <v>23</v>
      </c>
      <c r="M117" s="46">
        <v>3</v>
      </c>
      <c r="N117" s="46" t="s">
        <v>30</v>
      </c>
      <c r="O117" s="46">
        <v>2</v>
      </c>
      <c r="P117" s="46"/>
      <c r="Q117" s="46"/>
      <c r="R117" s="46"/>
      <c r="S117" s="46"/>
      <c r="T117" s="46"/>
      <c r="U117" s="46"/>
      <c r="V117" s="46"/>
      <c r="W117" s="46">
        <v>0</v>
      </c>
      <c r="X117" s="46">
        <v>1</v>
      </c>
      <c r="Y117" s="46">
        <v>0</v>
      </c>
      <c r="Z117" s="46"/>
      <c r="AA117" s="46"/>
      <c r="AB117" s="46"/>
    </row>
    <row r="118" spans="1:28" ht="13" x14ac:dyDescent="0.3">
      <c r="A118" s="46">
        <v>50</v>
      </c>
      <c r="B118" s="46">
        <v>0</v>
      </c>
      <c r="C118" s="46">
        <v>0</v>
      </c>
      <c r="D118" s="46">
        <v>1</v>
      </c>
      <c r="E118" s="46">
        <v>233</v>
      </c>
      <c r="F118" s="46">
        <f>ROUND('Source (2)'!BD93,O118)</f>
        <v>0</v>
      </c>
      <c r="G118" s="46" t="s">
        <v>260</v>
      </c>
      <c r="H118" s="46" t="s">
        <v>261</v>
      </c>
      <c r="I118" s="46"/>
      <c r="J118" s="46"/>
      <c r="K118" s="46">
        <v>233</v>
      </c>
      <c r="L118" s="46">
        <v>24</v>
      </c>
      <c r="M118" s="46">
        <v>3</v>
      </c>
      <c r="N118" s="46" t="s">
        <v>30</v>
      </c>
      <c r="O118" s="46">
        <v>2</v>
      </c>
      <c r="P118" s="46"/>
      <c r="Q118" s="46"/>
      <c r="R118" s="46"/>
      <c r="S118" s="46"/>
      <c r="T118" s="46"/>
      <c r="U118" s="46"/>
      <c r="V118" s="46"/>
      <c r="W118" s="46">
        <v>0</v>
      </c>
      <c r="X118" s="46">
        <v>1</v>
      </c>
      <c r="Y118" s="46">
        <v>0</v>
      </c>
      <c r="Z118" s="46"/>
      <c r="AA118" s="46"/>
      <c r="AB118" s="46"/>
    </row>
    <row r="119" spans="1:28" ht="13" x14ac:dyDescent="0.3">
      <c r="A119" s="46">
        <v>50</v>
      </c>
      <c r="B119" s="46">
        <v>0</v>
      </c>
      <c r="C119" s="46">
        <v>0</v>
      </c>
      <c r="D119" s="46">
        <v>1</v>
      </c>
      <c r="E119" s="46">
        <v>210</v>
      </c>
      <c r="F119" s="46">
        <f>ROUND('Source (2)'!X93,O119)</f>
        <v>55571.41</v>
      </c>
      <c r="G119" s="46" t="s">
        <v>262</v>
      </c>
      <c r="H119" s="46" t="s">
        <v>263</v>
      </c>
      <c r="I119" s="46"/>
      <c r="J119" s="46"/>
      <c r="K119" s="46">
        <v>210</v>
      </c>
      <c r="L119" s="46">
        <v>25</v>
      </c>
      <c r="M119" s="46">
        <v>3</v>
      </c>
      <c r="N119" s="46" t="s">
        <v>30</v>
      </c>
      <c r="O119" s="46">
        <v>2</v>
      </c>
      <c r="P119" s="46"/>
      <c r="Q119" s="46"/>
      <c r="R119" s="46"/>
      <c r="S119" s="46"/>
      <c r="T119" s="46"/>
      <c r="U119" s="46"/>
      <c r="V119" s="46"/>
      <c r="W119" s="46">
        <v>55571.41</v>
      </c>
      <c r="X119" s="46">
        <v>1</v>
      </c>
      <c r="Y119" s="46">
        <v>55571.41</v>
      </c>
      <c r="Z119" s="46"/>
      <c r="AA119" s="46"/>
      <c r="AB119" s="46"/>
    </row>
    <row r="120" spans="1:28" ht="13" x14ac:dyDescent="0.3">
      <c r="A120" s="46">
        <v>50</v>
      </c>
      <c r="B120" s="46">
        <v>0</v>
      </c>
      <c r="C120" s="46">
        <v>0</v>
      </c>
      <c r="D120" s="46">
        <v>1</v>
      </c>
      <c r="E120" s="46">
        <v>211</v>
      </c>
      <c r="F120" s="46">
        <f>ROUND('Source (2)'!Y93,O120)</f>
        <v>7938.78</v>
      </c>
      <c r="G120" s="46" t="s">
        <v>264</v>
      </c>
      <c r="H120" s="46" t="s">
        <v>265</v>
      </c>
      <c r="I120" s="46"/>
      <c r="J120" s="46"/>
      <c r="K120" s="46">
        <v>211</v>
      </c>
      <c r="L120" s="46">
        <v>26</v>
      </c>
      <c r="M120" s="46">
        <v>3</v>
      </c>
      <c r="N120" s="46" t="s">
        <v>30</v>
      </c>
      <c r="O120" s="46">
        <v>2</v>
      </c>
      <c r="P120" s="46"/>
      <c r="Q120" s="46"/>
      <c r="R120" s="46"/>
      <c r="S120" s="46"/>
      <c r="T120" s="46"/>
      <c r="U120" s="46"/>
      <c r="V120" s="46"/>
      <c r="W120" s="46">
        <v>7938.78</v>
      </c>
      <c r="X120" s="46">
        <v>1</v>
      </c>
      <c r="Y120" s="46">
        <v>7938.78</v>
      </c>
      <c r="Z120" s="46"/>
      <c r="AA120" s="46"/>
      <c r="AB120" s="46"/>
    </row>
    <row r="121" spans="1:28" ht="13" x14ac:dyDescent="0.3">
      <c r="A121" s="46">
        <v>50</v>
      </c>
      <c r="B121" s="46">
        <v>0</v>
      </c>
      <c r="C121" s="46">
        <v>0</v>
      </c>
      <c r="D121" s="46">
        <v>1</v>
      </c>
      <c r="E121" s="46">
        <v>224</v>
      </c>
      <c r="F121" s="46">
        <f>ROUND('Source (2)'!AR93,O121)</f>
        <v>682710.07</v>
      </c>
      <c r="G121" s="46" t="s">
        <v>266</v>
      </c>
      <c r="H121" s="46" t="s">
        <v>267</v>
      </c>
      <c r="I121" s="46"/>
      <c r="J121" s="46"/>
      <c r="K121" s="46">
        <v>224</v>
      </c>
      <c r="L121" s="46">
        <v>27</v>
      </c>
      <c r="M121" s="46">
        <v>3</v>
      </c>
      <c r="N121" s="46" t="s">
        <v>30</v>
      </c>
      <c r="O121" s="46">
        <v>2</v>
      </c>
      <c r="P121" s="46"/>
      <c r="Q121" s="46"/>
      <c r="R121" s="46"/>
      <c r="S121" s="46"/>
      <c r="T121" s="46"/>
      <c r="U121" s="46"/>
      <c r="V121" s="46"/>
      <c r="W121" s="46">
        <v>682710.07</v>
      </c>
      <c r="X121" s="46">
        <v>1</v>
      </c>
      <c r="Y121" s="46">
        <v>682710.07</v>
      </c>
      <c r="Z121" s="46"/>
      <c r="AA121" s="46"/>
      <c r="AB121" s="46"/>
    </row>
    <row r="122" spans="1:28" ht="13" x14ac:dyDescent="0.3">
      <c r="A122" s="46">
        <v>50</v>
      </c>
      <c r="B122" s="46">
        <v>1</v>
      </c>
      <c r="C122" s="46">
        <v>0</v>
      </c>
      <c r="D122" s="46">
        <v>2</v>
      </c>
      <c r="E122" s="46">
        <v>0</v>
      </c>
      <c r="F122" s="46">
        <f>ROUND(F121,O122)</f>
        <v>682710.07</v>
      </c>
      <c r="G122" s="46" t="s">
        <v>268</v>
      </c>
      <c r="H122" s="46" t="s">
        <v>269</v>
      </c>
      <c r="I122" s="46"/>
      <c r="J122" s="46"/>
      <c r="K122" s="46">
        <v>212</v>
      </c>
      <c r="L122" s="46">
        <v>28</v>
      </c>
      <c r="M122" s="46">
        <v>0</v>
      </c>
      <c r="N122" s="46" t="s">
        <v>30</v>
      </c>
      <c r="O122" s="46">
        <v>2</v>
      </c>
      <c r="P122" s="46"/>
      <c r="Q122" s="46"/>
      <c r="R122" s="46"/>
      <c r="S122" s="46"/>
      <c r="T122" s="46"/>
      <c r="U122" s="46"/>
      <c r="V122" s="46"/>
      <c r="W122" s="46">
        <v>682710.07</v>
      </c>
      <c r="X122" s="46">
        <v>1</v>
      </c>
      <c r="Y122" s="46">
        <v>682710.07</v>
      </c>
      <c r="Z122" s="46"/>
      <c r="AA122" s="46"/>
      <c r="AB122" s="46"/>
    </row>
    <row r="123" spans="1:28" ht="13" x14ac:dyDescent="0.3">
      <c r="A123" s="46">
        <v>50</v>
      </c>
      <c r="B123" s="46">
        <v>1</v>
      </c>
      <c r="C123" s="46">
        <v>0</v>
      </c>
      <c r="D123" s="46">
        <v>2</v>
      </c>
      <c r="E123" s="46">
        <v>0</v>
      </c>
      <c r="F123" s="46">
        <f>ROUND(F121-F108-F107,O123)</f>
        <v>519166.03</v>
      </c>
      <c r="G123" s="46" t="s">
        <v>270</v>
      </c>
      <c r="H123" s="46" t="s">
        <v>271</v>
      </c>
      <c r="I123" s="46"/>
      <c r="J123" s="46"/>
      <c r="K123" s="46">
        <v>212</v>
      </c>
      <c r="L123" s="46">
        <v>29</v>
      </c>
      <c r="M123" s="46">
        <v>0</v>
      </c>
      <c r="N123" s="46" t="s">
        <v>30</v>
      </c>
      <c r="O123" s="46">
        <v>2</v>
      </c>
      <c r="P123" s="46"/>
      <c r="Q123" s="46"/>
      <c r="R123" s="46"/>
      <c r="S123" s="46"/>
      <c r="T123" s="46"/>
      <c r="U123" s="46"/>
      <c r="V123" s="46"/>
      <c r="W123" s="46">
        <v>519166.03</v>
      </c>
      <c r="X123" s="46">
        <v>1</v>
      </c>
      <c r="Y123" s="46">
        <v>519166.03</v>
      </c>
      <c r="Z123" s="46"/>
      <c r="AA123" s="46"/>
      <c r="AB123" s="46"/>
    </row>
    <row r="124" spans="1:28" ht="13" x14ac:dyDescent="0.3">
      <c r="A124" s="46">
        <v>50</v>
      </c>
      <c r="B124" s="46">
        <v>1</v>
      </c>
      <c r="C124" s="46">
        <v>0</v>
      </c>
      <c r="D124" s="46">
        <v>2</v>
      </c>
      <c r="E124" s="46">
        <v>0</v>
      </c>
      <c r="F124" s="46">
        <f>ROUND(F120,O124)</f>
        <v>7938.78</v>
      </c>
      <c r="G124" s="46" t="s">
        <v>25</v>
      </c>
      <c r="H124" s="46" t="s">
        <v>25</v>
      </c>
      <c r="I124" s="46"/>
      <c r="J124" s="46"/>
      <c r="K124" s="46">
        <v>212</v>
      </c>
      <c r="L124" s="46">
        <v>30</v>
      </c>
      <c r="M124" s="46">
        <v>0</v>
      </c>
      <c r="N124" s="46" t="s">
        <v>30</v>
      </c>
      <c r="O124" s="46">
        <v>2</v>
      </c>
      <c r="P124" s="46"/>
      <c r="Q124" s="46"/>
      <c r="R124" s="46"/>
      <c r="S124" s="46"/>
      <c r="T124" s="46"/>
      <c r="U124" s="46"/>
      <c r="V124" s="46"/>
      <c r="W124" s="46">
        <v>7938.78</v>
      </c>
      <c r="X124" s="46">
        <v>1</v>
      </c>
      <c r="Y124" s="46">
        <v>7938.78</v>
      </c>
      <c r="Z124" s="46"/>
      <c r="AA124" s="46"/>
      <c r="AB124" s="46"/>
    </row>
    <row r="125" spans="1:28" ht="13" x14ac:dyDescent="0.3">
      <c r="A125" s="46">
        <v>50</v>
      </c>
      <c r="B125" s="46">
        <v>1</v>
      </c>
      <c r="C125" s="46">
        <v>0</v>
      </c>
      <c r="D125" s="46">
        <v>2</v>
      </c>
      <c r="E125" s="46">
        <v>0</v>
      </c>
      <c r="F125" s="46">
        <f>ROUND(F130*0.3,O125)</f>
        <v>25246.9</v>
      </c>
      <c r="G125" s="46" t="s">
        <v>272</v>
      </c>
      <c r="H125" s="46" t="s">
        <v>272</v>
      </c>
      <c r="I125" s="46"/>
      <c r="J125" s="46"/>
      <c r="K125" s="46">
        <v>212</v>
      </c>
      <c r="L125" s="46">
        <v>31</v>
      </c>
      <c r="M125" s="46">
        <v>0</v>
      </c>
      <c r="N125" s="46" t="s">
        <v>30</v>
      </c>
      <c r="O125" s="46">
        <v>2</v>
      </c>
      <c r="P125" s="46"/>
      <c r="Q125" s="46"/>
      <c r="R125" s="46"/>
      <c r="S125" s="46"/>
      <c r="T125" s="46"/>
      <c r="U125" s="46"/>
      <c r="V125" s="46"/>
      <c r="W125" s="46">
        <v>25246.9</v>
      </c>
      <c r="X125" s="46">
        <v>1</v>
      </c>
      <c r="Y125" s="46">
        <v>25246.9</v>
      </c>
      <c r="Z125" s="46"/>
      <c r="AA125" s="46"/>
      <c r="AB125" s="46"/>
    </row>
    <row r="126" spans="1:28" ht="13" x14ac:dyDescent="0.3">
      <c r="A126" s="46">
        <v>50</v>
      </c>
      <c r="B126" s="46">
        <v>1</v>
      </c>
      <c r="C126" s="46">
        <v>0</v>
      </c>
      <c r="D126" s="46">
        <v>2</v>
      </c>
      <c r="E126" s="46">
        <v>0</v>
      </c>
      <c r="F126" s="46">
        <f>ROUND(F123-F124-F125,O126)</f>
        <v>485980.35</v>
      </c>
      <c r="G126" s="46" t="s">
        <v>273</v>
      </c>
      <c r="H126" s="46" t="s">
        <v>274</v>
      </c>
      <c r="I126" s="46"/>
      <c r="J126" s="46"/>
      <c r="K126" s="46">
        <v>212</v>
      </c>
      <c r="L126" s="46">
        <v>32</v>
      </c>
      <c r="M126" s="46">
        <v>0</v>
      </c>
      <c r="N126" s="46" t="s">
        <v>30</v>
      </c>
      <c r="O126" s="46">
        <v>2</v>
      </c>
      <c r="P126" s="46"/>
      <c r="Q126" s="46"/>
      <c r="R126" s="46"/>
      <c r="S126" s="46"/>
      <c r="T126" s="46"/>
      <c r="U126" s="46"/>
      <c r="V126" s="46"/>
      <c r="W126" s="46">
        <v>485980.35</v>
      </c>
      <c r="X126" s="46">
        <v>1</v>
      </c>
      <c r="Y126" s="46">
        <v>485980.35</v>
      </c>
      <c r="Z126" s="46"/>
      <c r="AA126" s="46"/>
      <c r="AB126" s="46"/>
    </row>
    <row r="127" spans="1:28" ht="13" x14ac:dyDescent="0.3">
      <c r="A127" s="46">
        <v>50</v>
      </c>
      <c r="B127" s="46">
        <v>1</v>
      </c>
      <c r="C127" s="46">
        <v>0</v>
      </c>
      <c r="D127" s="46">
        <v>2</v>
      </c>
      <c r="E127" s="46">
        <v>0</v>
      </c>
      <c r="F127" s="46">
        <f>ROUND(F126*0.2,O127)</f>
        <v>97196.07</v>
      </c>
      <c r="G127" s="46" t="s">
        <v>42</v>
      </c>
      <c r="H127" s="46" t="s">
        <v>42</v>
      </c>
      <c r="I127" s="46"/>
      <c r="J127" s="46"/>
      <c r="K127" s="46">
        <v>212</v>
      </c>
      <c r="L127" s="46">
        <v>33</v>
      </c>
      <c r="M127" s="46">
        <v>0</v>
      </c>
      <c r="N127" s="46" t="s">
        <v>30</v>
      </c>
      <c r="O127" s="46">
        <v>2</v>
      </c>
      <c r="P127" s="46"/>
      <c r="Q127" s="46"/>
      <c r="R127" s="46"/>
      <c r="S127" s="46"/>
      <c r="T127" s="46"/>
      <c r="U127" s="46"/>
      <c r="V127" s="46"/>
      <c r="W127" s="46">
        <v>97196.07</v>
      </c>
      <c r="X127" s="46">
        <v>1</v>
      </c>
      <c r="Y127" s="46">
        <v>97196.07</v>
      </c>
      <c r="Z127" s="46"/>
      <c r="AA127" s="46"/>
      <c r="AB127" s="46"/>
    </row>
    <row r="128" spans="1:28" ht="13" x14ac:dyDescent="0.3">
      <c r="A128" s="46">
        <v>50</v>
      </c>
      <c r="B128" s="46">
        <v>1</v>
      </c>
      <c r="C128" s="46">
        <v>0</v>
      </c>
      <c r="D128" s="46">
        <v>2</v>
      </c>
      <c r="E128" s="46">
        <v>0</v>
      </c>
      <c r="F128" s="46">
        <f>ROUND(F126+F127,O128)</f>
        <v>583176.42000000004</v>
      </c>
      <c r="G128" s="46" t="s">
        <v>43</v>
      </c>
      <c r="H128" s="46" t="s">
        <v>275</v>
      </c>
      <c r="I128" s="46"/>
      <c r="J128" s="46"/>
      <c r="K128" s="46">
        <v>212</v>
      </c>
      <c r="L128" s="46">
        <v>34</v>
      </c>
      <c r="M128" s="46">
        <v>0</v>
      </c>
      <c r="N128" s="46" t="s">
        <v>30</v>
      </c>
      <c r="O128" s="46">
        <v>2</v>
      </c>
      <c r="P128" s="46"/>
      <c r="Q128" s="46"/>
      <c r="R128" s="46"/>
      <c r="S128" s="46"/>
      <c r="T128" s="46"/>
      <c r="U128" s="46"/>
      <c r="V128" s="46"/>
      <c r="W128" s="46">
        <v>583176.42000000004</v>
      </c>
      <c r="X128" s="46">
        <v>1</v>
      </c>
      <c r="Y128" s="46">
        <v>583176.42000000004</v>
      </c>
      <c r="Z128" s="46"/>
      <c r="AA128" s="46"/>
      <c r="AB128" s="46"/>
    </row>
    <row r="129" spans="1:245" ht="13" x14ac:dyDescent="0.3">
      <c r="A129" s="46">
        <v>50</v>
      </c>
      <c r="B129" s="46">
        <v>1</v>
      </c>
      <c r="C129" s="46">
        <v>0</v>
      </c>
      <c r="D129" s="46">
        <v>2</v>
      </c>
      <c r="E129" s="46">
        <v>0</v>
      </c>
      <c r="F129" s="46">
        <f>ROUND(F108,O129)</f>
        <v>79387.72</v>
      </c>
      <c r="G129" s="46" t="s">
        <v>276</v>
      </c>
      <c r="H129" s="46" t="s">
        <v>277</v>
      </c>
      <c r="I129" s="46"/>
      <c r="J129" s="46"/>
      <c r="K129" s="46">
        <v>212</v>
      </c>
      <c r="L129" s="46">
        <v>35</v>
      </c>
      <c r="M129" s="46">
        <v>0</v>
      </c>
      <c r="N129" s="46" t="s">
        <v>30</v>
      </c>
      <c r="O129" s="46">
        <v>2</v>
      </c>
      <c r="P129" s="46"/>
      <c r="Q129" s="46"/>
      <c r="R129" s="46"/>
      <c r="S129" s="46"/>
      <c r="T129" s="46"/>
      <c r="U129" s="46"/>
      <c r="V129" s="46"/>
      <c r="W129" s="46">
        <v>79387.72</v>
      </c>
      <c r="X129" s="46">
        <v>1</v>
      </c>
      <c r="Y129" s="46">
        <v>79387.72</v>
      </c>
      <c r="Z129" s="46"/>
      <c r="AA129" s="46"/>
      <c r="AB129" s="46"/>
    </row>
    <row r="130" spans="1:245" ht="13" x14ac:dyDescent="0.3">
      <c r="A130" s="46">
        <v>50</v>
      </c>
      <c r="B130" s="46">
        <v>1</v>
      </c>
      <c r="C130" s="46">
        <v>0</v>
      </c>
      <c r="D130" s="46">
        <v>2</v>
      </c>
      <c r="E130" s="46">
        <v>0</v>
      </c>
      <c r="F130" s="46">
        <f>ROUND(F107,O130)</f>
        <v>84156.32</v>
      </c>
      <c r="G130" s="46" t="s">
        <v>278</v>
      </c>
      <c r="H130" s="46" t="s">
        <v>279</v>
      </c>
      <c r="I130" s="46"/>
      <c r="J130" s="46"/>
      <c r="K130" s="46">
        <v>212</v>
      </c>
      <c r="L130" s="46">
        <v>36</v>
      </c>
      <c r="M130" s="46">
        <v>0</v>
      </c>
      <c r="N130" s="46" t="s">
        <v>30</v>
      </c>
      <c r="O130" s="46">
        <v>2</v>
      </c>
      <c r="P130" s="46"/>
      <c r="Q130" s="46"/>
      <c r="R130" s="46"/>
      <c r="S130" s="46"/>
      <c r="T130" s="46"/>
      <c r="U130" s="46"/>
      <c r="V130" s="46"/>
      <c r="W130" s="46">
        <v>84156.32</v>
      </c>
      <c r="X130" s="46">
        <v>1</v>
      </c>
      <c r="Y130" s="46">
        <v>84156.32</v>
      </c>
      <c r="Z130" s="46"/>
      <c r="AA130" s="46"/>
      <c r="AB130" s="46"/>
    </row>
    <row r="131" spans="1:245" ht="13" x14ac:dyDescent="0.3">
      <c r="A131" s="46">
        <v>50</v>
      </c>
      <c r="B131" s="46">
        <v>1</v>
      </c>
      <c r="C131" s="46">
        <v>0</v>
      </c>
      <c r="D131" s="46">
        <v>2</v>
      </c>
      <c r="E131" s="46">
        <v>0</v>
      </c>
      <c r="F131" s="46">
        <f>ROUND(F128+F129+F130,O131)</f>
        <v>746720.46</v>
      </c>
      <c r="G131" s="46" t="s">
        <v>266</v>
      </c>
      <c r="H131" s="46" t="s">
        <v>280</v>
      </c>
      <c r="I131" s="46"/>
      <c r="J131" s="46"/>
      <c r="K131" s="46">
        <v>212</v>
      </c>
      <c r="L131" s="46">
        <v>37</v>
      </c>
      <c r="M131" s="46">
        <v>0</v>
      </c>
      <c r="N131" s="46" t="s">
        <v>30</v>
      </c>
      <c r="O131" s="46">
        <v>2</v>
      </c>
      <c r="P131" s="46"/>
      <c r="Q131" s="46"/>
      <c r="R131" s="46"/>
      <c r="S131" s="46"/>
      <c r="T131" s="46"/>
      <c r="U131" s="46"/>
      <c r="V131" s="46"/>
      <c r="W131" s="46">
        <v>746720.46</v>
      </c>
      <c r="X131" s="46">
        <v>1</v>
      </c>
      <c r="Y131" s="46">
        <v>746720.46</v>
      </c>
      <c r="Z131" s="46"/>
      <c r="AA131" s="46"/>
      <c r="AB131" s="46"/>
    </row>
    <row r="133" spans="1:245" ht="13" x14ac:dyDescent="0.3">
      <c r="A133" s="43">
        <v>4</v>
      </c>
      <c r="B133" s="43">
        <v>1</v>
      </c>
      <c r="C133" s="43"/>
      <c r="D133" s="43">
        <f>ROW(A140)</f>
        <v>140</v>
      </c>
      <c r="E133" s="43"/>
      <c r="F133" s="43" t="s">
        <v>174</v>
      </c>
      <c r="G133" s="43" t="s">
        <v>302</v>
      </c>
      <c r="H133" s="43" t="s">
        <v>30</v>
      </c>
      <c r="I133" s="43">
        <v>0</v>
      </c>
      <c r="J133" s="43"/>
      <c r="K133" s="43">
        <v>-1</v>
      </c>
      <c r="L133" s="43"/>
      <c r="M133" s="43" t="s">
        <v>30</v>
      </c>
      <c r="N133" s="43"/>
      <c r="O133" s="43"/>
      <c r="P133" s="43"/>
      <c r="Q133" s="43"/>
      <c r="R133" s="43"/>
      <c r="S133" s="43">
        <v>0</v>
      </c>
      <c r="T133" s="43"/>
      <c r="U133" s="43" t="s">
        <v>30</v>
      </c>
      <c r="V133" s="43">
        <v>0</v>
      </c>
      <c r="W133" s="43"/>
      <c r="X133" s="43"/>
      <c r="Y133" s="43"/>
      <c r="Z133" s="43"/>
      <c r="AA133" s="43"/>
      <c r="AB133" s="43" t="s">
        <v>30</v>
      </c>
      <c r="AC133" s="43" t="s">
        <v>30</v>
      </c>
      <c r="AD133" s="43" t="s">
        <v>30</v>
      </c>
      <c r="AE133" s="43" t="s">
        <v>30</v>
      </c>
      <c r="AF133" s="43" t="s">
        <v>30</v>
      </c>
      <c r="AG133" s="43" t="s">
        <v>30</v>
      </c>
      <c r="AH133" s="43"/>
      <c r="AI133" s="43"/>
      <c r="AJ133" s="43"/>
      <c r="AK133" s="43"/>
      <c r="AL133" s="43"/>
      <c r="AM133" s="43"/>
      <c r="AN133" s="43"/>
      <c r="AO133" s="43"/>
      <c r="AP133" s="43" t="s">
        <v>30</v>
      </c>
      <c r="AQ133" s="43" t="s">
        <v>30</v>
      </c>
      <c r="AR133" s="43" t="s">
        <v>30</v>
      </c>
      <c r="AS133" s="43"/>
      <c r="AT133" s="43"/>
      <c r="AU133" s="43"/>
      <c r="AV133" s="43"/>
      <c r="AW133" s="43"/>
      <c r="AX133" s="43"/>
      <c r="AY133" s="43"/>
      <c r="AZ133" s="43" t="s">
        <v>30</v>
      </c>
      <c r="BA133" s="43"/>
      <c r="BB133" s="43" t="s">
        <v>30</v>
      </c>
      <c r="BC133" s="43" t="s">
        <v>30</v>
      </c>
      <c r="BD133" s="43" t="s">
        <v>30</v>
      </c>
      <c r="BE133" s="43" t="s">
        <v>30</v>
      </c>
      <c r="BF133" s="43" t="s">
        <v>30</v>
      </c>
      <c r="BG133" s="43" t="s">
        <v>30</v>
      </c>
      <c r="BH133" s="43" t="s">
        <v>30</v>
      </c>
      <c r="BI133" s="43" t="s">
        <v>30</v>
      </c>
      <c r="BJ133" s="43" t="s">
        <v>30</v>
      </c>
      <c r="BK133" s="43" t="s">
        <v>30</v>
      </c>
      <c r="BL133" s="43" t="s">
        <v>30</v>
      </c>
      <c r="BM133" s="43" t="s">
        <v>30</v>
      </c>
      <c r="BN133" s="43" t="s">
        <v>30</v>
      </c>
      <c r="BO133" s="43" t="s">
        <v>30</v>
      </c>
      <c r="BP133" s="43" t="s">
        <v>30</v>
      </c>
      <c r="BQ133" s="43"/>
      <c r="BR133" s="43"/>
      <c r="BS133" s="43"/>
      <c r="BT133" s="43"/>
      <c r="BU133" s="43"/>
      <c r="BV133" s="43"/>
      <c r="BW133" s="43"/>
      <c r="BX133" s="43">
        <v>0</v>
      </c>
      <c r="BY133" s="43"/>
      <c r="BZ133" s="43"/>
      <c r="CA133" s="43"/>
      <c r="CB133" s="43"/>
      <c r="CC133" s="43"/>
      <c r="CD133" s="43"/>
      <c r="CE133" s="43"/>
      <c r="CF133" s="43"/>
      <c r="CG133" s="43"/>
      <c r="CH133" s="43"/>
      <c r="CI133" s="43"/>
      <c r="CJ133" s="43">
        <v>0</v>
      </c>
    </row>
    <row r="135" spans="1:245" ht="13" x14ac:dyDescent="0.3">
      <c r="A135" s="44">
        <v>52</v>
      </c>
      <c r="B135" s="44">
        <f t="shared" ref="B135:G135" si="89">B140</f>
        <v>1</v>
      </c>
      <c r="C135" s="44">
        <f t="shared" si="89"/>
        <v>4</v>
      </c>
      <c r="D135" s="44">
        <f t="shared" si="89"/>
        <v>133</v>
      </c>
      <c r="E135" s="44">
        <f t="shared" si="89"/>
        <v>0</v>
      </c>
      <c r="F135" s="44" t="str">
        <f t="shared" si="89"/>
        <v>Новый раздел</v>
      </c>
      <c r="G135" s="44" t="str">
        <f t="shared" si="89"/>
        <v>Устройство малых архитектурных форм</v>
      </c>
      <c r="H135" s="44"/>
      <c r="I135" s="44"/>
      <c r="J135" s="44"/>
      <c r="K135" s="44"/>
      <c r="L135" s="44"/>
      <c r="M135" s="44"/>
      <c r="N135" s="44"/>
      <c r="O135" s="44">
        <f t="shared" ref="O135:BZ135" si="90">O140</f>
        <v>0</v>
      </c>
      <c r="P135" s="44">
        <f t="shared" si="90"/>
        <v>0</v>
      </c>
      <c r="Q135" s="44">
        <f t="shared" si="90"/>
        <v>0</v>
      </c>
      <c r="R135" s="44">
        <f t="shared" si="90"/>
        <v>0</v>
      </c>
      <c r="S135" s="44">
        <f t="shared" si="90"/>
        <v>0</v>
      </c>
      <c r="T135" s="44">
        <f t="shared" si="90"/>
        <v>0</v>
      </c>
      <c r="U135" s="44">
        <f t="shared" si="90"/>
        <v>0</v>
      </c>
      <c r="V135" s="44">
        <f t="shared" si="90"/>
        <v>0</v>
      </c>
      <c r="W135" s="44">
        <f t="shared" si="90"/>
        <v>0</v>
      </c>
      <c r="X135" s="44">
        <f t="shared" si="90"/>
        <v>0</v>
      </c>
      <c r="Y135" s="44">
        <f t="shared" si="90"/>
        <v>0</v>
      </c>
      <c r="Z135" s="44">
        <f t="shared" si="90"/>
        <v>0</v>
      </c>
      <c r="AA135" s="44">
        <f t="shared" si="90"/>
        <v>0</v>
      </c>
      <c r="AB135" s="44">
        <f t="shared" si="90"/>
        <v>0</v>
      </c>
      <c r="AC135" s="44">
        <f t="shared" si="90"/>
        <v>0</v>
      </c>
      <c r="AD135" s="44">
        <f t="shared" si="90"/>
        <v>0</v>
      </c>
      <c r="AE135" s="44">
        <f t="shared" si="90"/>
        <v>0</v>
      </c>
      <c r="AF135" s="44">
        <f t="shared" si="90"/>
        <v>0</v>
      </c>
      <c r="AG135" s="44">
        <f t="shared" si="90"/>
        <v>0</v>
      </c>
      <c r="AH135" s="44">
        <f t="shared" si="90"/>
        <v>0</v>
      </c>
      <c r="AI135" s="44">
        <f t="shared" si="90"/>
        <v>0</v>
      </c>
      <c r="AJ135" s="44">
        <f t="shared" si="90"/>
        <v>0</v>
      </c>
      <c r="AK135" s="44">
        <f t="shared" si="90"/>
        <v>0</v>
      </c>
      <c r="AL135" s="44">
        <f t="shared" si="90"/>
        <v>0</v>
      </c>
      <c r="AM135" s="44">
        <f t="shared" si="90"/>
        <v>0</v>
      </c>
      <c r="AN135" s="44">
        <f t="shared" si="90"/>
        <v>0</v>
      </c>
      <c r="AO135" s="44">
        <f t="shared" si="90"/>
        <v>0</v>
      </c>
      <c r="AP135" s="44">
        <f t="shared" si="90"/>
        <v>0</v>
      </c>
      <c r="AQ135" s="44">
        <f t="shared" si="90"/>
        <v>0</v>
      </c>
      <c r="AR135" s="44">
        <f t="shared" si="90"/>
        <v>0</v>
      </c>
      <c r="AS135" s="44">
        <f t="shared" si="90"/>
        <v>0</v>
      </c>
      <c r="AT135" s="44">
        <f t="shared" si="90"/>
        <v>0</v>
      </c>
      <c r="AU135" s="44">
        <f t="shared" si="90"/>
        <v>0</v>
      </c>
      <c r="AV135" s="44">
        <f t="shared" si="90"/>
        <v>0</v>
      </c>
      <c r="AW135" s="44">
        <f t="shared" si="90"/>
        <v>0</v>
      </c>
      <c r="AX135" s="44">
        <f t="shared" si="90"/>
        <v>0</v>
      </c>
      <c r="AY135" s="44">
        <f t="shared" si="90"/>
        <v>0</v>
      </c>
      <c r="AZ135" s="44">
        <f t="shared" si="90"/>
        <v>0</v>
      </c>
      <c r="BA135" s="44">
        <f t="shared" si="90"/>
        <v>0</v>
      </c>
      <c r="BB135" s="44">
        <f t="shared" si="90"/>
        <v>0</v>
      </c>
      <c r="BC135" s="44">
        <f t="shared" si="90"/>
        <v>0</v>
      </c>
      <c r="BD135" s="44">
        <f t="shared" si="90"/>
        <v>0</v>
      </c>
      <c r="BE135" s="44">
        <f t="shared" si="90"/>
        <v>0</v>
      </c>
      <c r="BF135" s="44">
        <f t="shared" si="90"/>
        <v>0</v>
      </c>
      <c r="BG135" s="44">
        <f t="shared" si="90"/>
        <v>0</v>
      </c>
      <c r="BH135" s="44">
        <f t="shared" si="90"/>
        <v>0</v>
      </c>
      <c r="BI135" s="44">
        <f t="shared" si="90"/>
        <v>0</v>
      </c>
      <c r="BJ135" s="44">
        <f t="shared" si="90"/>
        <v>0</v>
      </c>
      <c r="BK135" s="44">
        <f t="shared" si="90"/>
        <v>0</v>
      </c>
      <c r="BL135" s="44">
        <f t="shared" si="90"/>
        <v>0</v>
      </c>
      <c r="BM135" s="44">
        <f t="shared" si="90"/>
        <v>0</v>
      </c>
      <c r="BN135" s="44">
        <f t="shared" si="90"/>
        <v>0</v>
      </c>
      <c r="BO135" s="44">
        <f t="shared" si="90"/>
        <v>0</v>
      </c>
      <c r="BP135" s="44">
        <f t="shared" si="90"/>
        <v>0</v>
      </c>
      <c r="BQ135" s="44">
        <f t="shared" si="90"/>
        <v>0</v>
      </c>
      <c r="BR135" s="44">
        <f t="shared" si="90"/>
        <v>0</v>
      </c>
      <c r="BS135" s="44">
        <f t="shared" si="90"/>
        <v>0</v>
      </c>
      <c r="BT135" s="44">
        <f t="shared" si="90"/>
        <v>0</v>
      </c>
      <c r="BU135" s="44">
        <f t="shared" si="90"/>
        <v>0</v>
      </c>
      <c r="BV135" s="44">
        <f t="shared" si="90"/>
        <v>0</v>
      </c>
      <c r="BW135" s="44">
        <f t="shared" si="90"/>
        <v>0</v>
      </c>
      <c r="BX135" s="44">
        <f t="shared" si="90"/>
        <v>0</v>
      </c>
      <c r="BY135" s="44">
        <f t="shared" si="90"/>
        <v>0</v>
      </c>
      <c r="BZ135" s="44">
        <f t="shared" si="90"/>
        <v>0</v>
      </c>
      <c r="CA135" s="44">
        <f t="shared" ref="CA135:EL135" si="91">CA140</f>
        <v>0</v>
      </c>
      <c r="CB135" s="44">
        <f t="shared" si="91"/>
        <v>0</v>
      </c>
      <c r="CC135" s="44">
        <f t="shared" si="91"/>
        <v>0</v>
      </c>
      <c r="CD135" s="44">
        <f t="shared" si="91"/>
        <v>0</v>
      </c>
      <c r="CE135" s="44">
        <f t="shared" si="91"/>
        <v>0</v>
      </c>
      <c r="CF135" s="44">
        <f t="shared" si="91"/>
        <v>0</v>
      </c>
      <c r="CG135" s="44">
        <f t="shared" si="91"/>
        <v>0</v>
      </c>
      <c r="CH135" s="44">
        <f t="shared" si="91"/>
        <v>0</v>
      </c>
      <c r="CI135" s="44">
        <f t="shared" si="91"/>
        <v>0</v>
      </c>
      <c r="CJ135" s="44">
        <f t="shared" si="91"/>
        <v>0</v>
      </c>
      <c r="CK135" s="44">
        <f t="shared" si="91"/>
        <v>0</v>
      </c>
      <c r="CL135" s="44">
        <f t="shared" si="91"/>
        <v>0</v>
      </c>
      <c r="CM135" s="44">
        <f t="shared" si="91"/>
        <v>0</v>
      </c>
      <c r="CN135" s="44">
        <f t="shared" si="91"/>
        <v>0</v>
      </c>
      <c r="CO135" s="44">
        <f t="shared" si="91"/>
        <v>0</v>
      </c>
      <c r="CP135" s="44">
        <f t="shared" si="91"/>
        <v>0</v>
      </c>
      <c r="CQ135" s="44">
        <f t="shared" si="91"/>
        <v>0</v>
      </c>
      <c r="CR135" s="44">
        <f t="shared" si="91"/>
        <v>0</v>
      </c>
      <c r="CS135" s="44">
        <f t="shared" si="91"/>
        <v>0</v>
      </c>
      <c r="CT135" s="44">
        <f t="shared" si="91"/>
        <v>0</v>
      </c>
      <c r="CU135" s="44">
        <f t="shared" si="91"/>
        <v>0</v>
      </c>
      <c r="CV135" s="44">
        <f t="shared" si="91"/>
        <v>0</v>
      </c>
      <c r="CW135" s="44">
        <f t="shared" si="91"/>
        <v>0</v>
      </c>
      <c r="CX135" s="44">
        <f t="shared" si="91"/>
        <v>0</v>
      </c>
      <c r="CY135" s="44">
        <f t="shared" si="91"/>
        <v>0</v>
      </c>
      <c r="CZ135" s="44">
        <f t="shared" si="91"/>
        <v>0</v>
      </c>
      <c r="DA135" s="44">
        <f t="shared" si="91"/>
        <v>0</v>
      </c>
      <c r="DB135" s="44">
        <f t="shared" si="91"/>
        <v>0</v>
      </c>
      <c r="DC135" s="44">
        <f t="shared" si="91"/>
        <v>0</v>
      </c>
      <c r="DD135" s="44">
        <f t="shared" si="91"/>
        <v>0</v>
      </c>
      <c r="DE135" s="44">
        <f t="shared" si="91"/>
        <v>0</v>
      </c>
      <c r="DF135" s="44">
        <f t="shared" si="91"/>
        <v>0</v>
      </c>
      <c r="DG135" s="45">
        <f t="shared" si="91"/>
        <v>0</v>
      </c>
      <c r="DH135" s="45">
        <f t="shared" si="91"/>
        <v>0</v>
      </c>
      <c r="DI135" s="45">
        <f t="shared" si="91"/>
        <v>0</v>
      </c>
      <c r="DJ135" s="45">
        <f t="shared" si="91"/>
        <v>0</v>
      </c>
      <c r="DK135" s="45">
        <f t="shared" si="91"/>
        <v>0</v>
      </c>
      <c r="DL135" s="45">
        <f t="shared" si="91"/>
        <v>0</v>
      </c>
      <c r="DM135" s="45">
        <f t="shared" si="91"/>
        <v>0</v>
      </c>
      <c r="DN135" s="45">
        <f t="shared" si="91"/>
        <v>0</v>
      </c>
      <c r="DO135" s="45">
        <f t="shared" si="91"/>
        <v>0</v>
      </c>
      <c r="DP135" s="45">
        <f t="shared" si="91"/>
        <v>0</v>
      </c>
      <c r="DQ135" s="45">
        <f t="shared" si="91"/>
        <v>0</v>
      </c>
      <c r="DR135" s="45">
        <f t="shared" si="91"/>
        <v>0</v>
      </c>
      <c r="DS135" s="45">
        <f t="shared" si="91"/>
        <v>0</v>
      </c>
      <c r="DT135" s="45">
        <f t="shared" si="91"/>
        <v>0</v>
      </c>
      <c r="DU135" s="45">
        <f t="shared" si="91"/>
        <v>0</v>
      </c>
      <c r="DV135" s="45">
        <f t="shared" si="91"/>
        <v>0</v>
      </c>
      <c r="DW135" s="45">
        <f t="shared" si="91"/>
        <v>0</v>
      </c>
      <c r="DX135" s="45">
        <f t="shared" si="91"/>
        <v>0</v>
      </c>
      <c r="DY135" s="45">
        <f t="shared" si="91"/>
        <v>0</v>
      </c>
      <c r="DZ135" s="45">
        <f t="shared" si="91"/>
        <v>0</v>
      </c>
      <c r="EA135" s="45">
        <f t="shared" si="91"/>
        <v>0</v>
      </c>
      <c r="EB135" s="45">
        <f t="shared" si="91"/>
        <v>0</v>
      </c>
      <c r="EC135" s="45">
        <f t="shared" si="91"/>
        <v>0</v>
      </c>
      <c r="ED135" s="45">
        <f t="shared" si="91"/>
        <v>0</v>
      </c>
      <c r="EE135" s="45">
        <f t="shared" si="91"/>
        <v>0</v>
      </c>
      <c r="EF135" s="45">
        <f t="shared" si="91"/>
        <v>0</v>
      </c>
      <c r="EG135" s="45">
        <f t="shared" si="91"/>
        <v>0</v>
      </c>
      <c r="EH135" s="45">
        <f t="shared" si="91"/>
        <v>0</v>
      </c>
      <c r="EI135" s="45">
        <f t="shared" si="91"/>
        <v>0</v>
      </c>
      <c r="EJ135" s="45">
        <f t="shared" si="91"/>
        <v>0</v>
      </c>
      <c r="EK135" s="45">
        <f t="shared" si="91"/>
        <v>0</v>
      </c>
      <c r="EL135" s="45">
        <f t="shared" si="91"/>
        <v>0</v>
      </c>
      <c r="EM135" s="45">
        <f t="shared" ref="EM135:GX135" si="92">EM140</f>
        <v>0</v>
      </c>
      <c r="EN135" s="45">
        <f t="shared" si="92"/>
        <v>0</v>
      </c>
      <c r="EO135" s="45">
        <f t="shared" si="92"/>
        <v>0</v>
      </c>
      <c r="EP135" s="45">
        <f t="shared" si="92"/>
        <v>0</v>
      </c>
      <c r="EQ135" s="45">
        <f t="shared" si="92"/>
        <v>0</v>
      </c>
      <c r="ER135" s="45">
        <f t="shared" si="92"/>
        <v>0</v>
      </c>
      <c r="ES135" s="45">
        <f t="shared" si="92"/>
        <v>0</v>
      </c>
      <c r="ET135" s="45">
        <f t="shared" si="92"/>
        <v>0</v>
      </c>
      <c r="EU135" s="45">
        <f t="shared" si="92"/>
        <v>0</v>
      </c>
      <c r="EV135" s="45">
        <f t="shared" si="92"/>
        <v>0</v>
      </c>
      <c r="EW135" s="45">
        <f t="shared" si="92"/>
        <v>0</v>
      </c>
      <c r="EX135" s="45">
        <f t="shared" si="92"/>
        <v>0</v>
      </c>
      <c r="EY135" s="45">
        <f t="shared" si="92"/>
        <v>0</v>
      </c>
      <c r="EZ135" s="45">
        <f t="shared" si="92"/>
        <v>0</v>
      </c>
      <c r="FA135" s="45">
        <f t="shared" si="92"/>
        <v>0</v>
      </c>
      <c r="FB135" s="45">
        <f t="shared" si="92"/>
        <v>0</v>
      </c>
      <c r="FC135" s="45">
        <f t="shared" si="92"/>
        <v>0</v>
      </c>
      <c r="FD135" s="45">
        <f t="shared" si="92"/>
        <v>0</v>
      </c>
      <c r="FE135" s="45">
        <f t="shared" si="92"/>
        <v>0</v>
      </c>
      <c r="FF135" s="45">
        <f t="shared" si="92"/>
        <v>0</v>
      </c>
      <c r="FG135" s="45">
        <f t="shared" si="92"/>
        <v>0</v>
      </c>
      <c r="FH135" s="45">
        <f t="shared" si="92"/>
        <v>0</v>
      </c>
      <c r="FI135" s="45">
        <f t="shared" si="92"/>
        <v>0</v>
      </c>
      <c r="FJ135" s="45">
        <f t="shared" si="92"/>
        <v>0</v>
      </c>
      <c r="FK135" s="45">
        <f t="shared" si="92"/>
        <v>0</v>
      </c>
      <c r="FL135" s="45">
        <f t="shared" si="92"/>
        <v>0</v>
      </c>
      <c r="FM135" s="45">
        <f t="shared" si="92"/>
        <v>0</v>
      </c>
      <c r="FN135" s="45">
        <f t="shared" si="92"/>
        <v>0</v>
      </c>
      <c r="FO135" s="45">
        <f t="shared" si="92"/>
        <v>0</v>
      </c>
      <c r="FP135" s="45">
        <f t="shared" si="92"/>
        <v>0</v>
      </c>
      <c r="FQ135" s="45">
        <f t="shared" si="92"/>
        <v>0</v>
      </c>
      <c r="FR135" s="45">
        <f t="shared" si="92"/>
        <v>0</v>
      </c>
      <c r="FS135" s="45">
        <f t="shared" si="92"/>
        <v>0</v>
      </c>
      <c r="FT135" s="45">
        <f t="shared" si="92"/>
        <v>0</v>
      </c>
      <c r="FU135" s="45">
        <f t="shared" si="92"/>
        <v>0</v>
      </c>
      <c r="FV135" s="45">
        <f t="shared" si="92"/>
        <v>0</v>
      </c>
      <c r="FW135" s="45">
        <f t="shared" si="92"/>
        <v>0</v>
      </c>
      <c r="FX135" s="45">
        <f t="shared" si="92"/>
        <v>0</v>
      </c>
      <c r="FY135" s="45">
        <f t="shared" si="92"/>
        <v>0</v>
      </c>
      <c r="FZ135" s="45">
        <f t="shared" si="92"/>
        <v>0</v>
      </c>
      <c r="GA135" s="45">
        <f t="shared" si="92"/>
        <v>0</v>
      </c>
      <c r="GB135" s="45">
        <f t="shared" si="92"/>
        <v>0</v>
      </c>
      <c r="GC135" s="45">
        <f t="shared" si="92"/>
        <v>0</v>
      </c>
      <c r="GD135" s="45">
        <f t="shared" si="92"/>
        <v>0</v>
      </c>
      <c r="GE135" s="45">
        <f t="shared" si="92"/>
        <v>0</v>
      </c>
      <c r="GF135" s="45">
        <f t="shared" si="92"/>
        <v>0</v>
      </c>
      <c r="GG135" s="45">
        <f t="shared" si="92"/>
        <v>0</v>
      </c>
      <c r="GH135" s="45">
        <f t="shared" si="92"/>
        <v>0</v>
      </c>
      <c r="GI135" s="45">
        <f t="shared" si="92"/>
        <v>0</v>
      </c>
      <c r="GJ135" s="45">
        <f t="shared" si="92"/>
        <v>0</v>
      </c>
      <c r="GK135" s="45">
        <f t="shared" si="92"/>
        <v>0</v>
      </c>
      <c r="GL135" s="45">
        <f t="shared" si="92"/>
        <v>0</v>
      </c>
      <c r="GM135" s="45">
        <f t="shared" si="92"/>
        <v>0</v>
      </c>
      <c r="GN135" s="45">
        <f t="shared" si="92"/>
        <v>0</v>
      </c>
      <c r="GO135" s="45">
        <f t="shared" si="92"/>
        <v>0</v>
      </c>
      <c r="GP135" s="45">
        <f t="shared" si="92"/>
        <v>0</v>
      </c>
      <c r="GQ135" s="45">
        <f t="shared" si="92"/>
        <v>0</v>
      </c>
      <c r="GR135" s="45">
        <f t="shared" si="92"/>
        <v>0</v>
      </c>
      <c r="GS135" s="45">
        <f t="shared" si="92"/>
        <v>0</v>
      </c>
      <c r="GT135" s="45">
        <f t="shared" si="92"/>
        <v>0</v>
      </c>
      <c r="GU135" s="45">
        <f t="shared" si="92"/>
        <v>0</v>
      </c>
      <c r="GV135" s="45">
        <f t="shared" si="92"/>
        <v>0</v>
      </c>
      <c r="GW135" s="45">
        <f t="shared" si="92"/>
        <v>0</v>
      </c>
      <c r="GX135" s="45">
        <f t="shared" si="92"/>
        <v>0</v>
      </c>
    </row>
    <row r="137" spans="1:245" x14ac:dyDescent="0.25">
      <c r="A137" s="2">
        <v>17</v>
      </c>
      <c r="B137" s="2">
        <v>1</v>
      </c>
      <c r="E137" s="2" t="s">
        <v>303</v>
      </c>
      <c r="F137" s="2" t="s">
        <v>132</v>
      </c>
      <c r="G137" s="2" t="s">
        <v>133</v>
      </c>
      <c r="H137" s="2" t="s">
        <v>67</v>
      </c>
      <c r="I137" s="2">
        <v>0</v>
      </c>
      <c r="J137" s="2">
        <v>0</v>
      </c>
      <c r="K137" s="2">
        <v>2</v>
      </c>
      <c r="O137" s="2">
        <f>ROUND(CP137,2)</f>
        <v>0</v>
      </c>
      <c r="P137" s="2">
        <f>ROUND(CQ137*I137,2)</f>
        <v>0</v>
      </c>
      <c r="Q137" s="2">
        <f>ROUND(CR137*I137,2)</f>
        <v>0</v>
      </c>
      <c r="R137" s="2">
        <f>ROUND(CS137*I137,2)</f>
        <v>0</v>
      </c>
      <c r="S137" s="2">
        <f>ROUND(CT137*I137,2)</f>
        <v>0</v>
      </c>
      <c r="T137" s="2">
        <f>ROUND(CU137*I137,2)</f>
        <v>0</v>
      </c>
      <c r="U137" s="2">
        <f>CV137*I137</f>
        <v>0</v>
      </c>
      <c r="V137" s="2">
        <f>CW137*I137</f>
        <v>0</v>
      </c>
      <c r="W137" s="2">
        <f>ROUND(CX137*I137,2)</f>
        <v>0</v>
      </c>
      <c r="X137" s="2">
        <f>ROUND(CY137,2)</f>
        <v>0</v>
      </c>
      <c r="Y137" s="2">
        <f>ROUND(CZ137,2)</f>
        <v>0</v>
      </c>
      <c r="AA137" s="2">
        <v>52262273</v>
      </c>
      <c r="AB137" s="2">
        <f>ROUND((AC137+AD137+AF137),6)</f>
        <v>20600</v>
      </c>
      <c r="AC137" s="2">
        <f>ROUND((ES137),6)</f>
        <v>20600</v>
      </c>
      <c r="AD137" s="2">
        <f>ROUND((((ET137)-(EU137))+AE137),6)</f>
        <v>0</v>
      </c>
      <c r="AE137" s="2">
        <f>ROUND((EU137),6)</f>
        <v>0</v>
      </c>
      <c r="AF137" s="2">
        <f>ROUND((EV137),6)</f>
        <v>0</v>
      </c>
      <c r="AG137" s="2">
        <f>ROUND((AP137),6)</f>
        <v>0</v>
      </c>
      <c r="AH137" s="2">
        <f>(EW137)</f>
        <v>0</v>
      </c>
      <c r="AI137" s="2">
        <f>(EX137)</f>
        <v>0</v>
      </c>
      <c r="AJ137" s="2">
        <f>(AS137)</f>
        <v>0</v>
      </c>
      <c r="AK137" s="2">
        <v>20600</v>
      </c>
      <c r="AL137" s="2">
        <v>20600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70</v>
      </c>
      <c r="AU137" s="2">
        <v>10</v>
      </c>
      <c r="AV137" s="2">
        <v>1</v>
      </c>
      <c r="AW137" s="2">
        <v>1</v>
      </c>
      <c r="AZ137" s="2">
        <v>1</v>
      </c>
      <c r="BA137" s="2">
        <v>1</v>
      </c>
      <c r="BB137" s="2">
        <v>1</v>
      </c>
      <c r="BC137" s="2">
        <v>1</v>
      </c>
      <c r="BD137" s="2" t="s">
        <v>30</v>
      </c>
      <c r="BE137" s="2" t="s">
        <v>30</v>
      </c>
      <c r="BF137" s="2" t="s">
        <v>30</v>
      </c>
      <c r="BG137" s="2" t="s">
        <v>30</v>
      </c>
      <c r="BH137" s="2">
        <v>3</v>
      </c>
      <c r="BI137" s="2">
        <v>4</v>
      </c>
      <c r="BJ137" s="2" t="s">
        <v>304</v>
      </c>
      <c r="BM137" s="2">
        <v>0</v>
      </c>
      <c r="BN137" s="2">
        <v>0</v>
      </c>
      <c r="BO137" s="2" t="s">
        <v>30</v>
      </c>
      <c r="BP137" s="2">
        <v>0</v>
      </c>
      <c r="BQ137" s="2">
        <v>1</v>
      </c>
      <c r="BR137" s="2">
        <v>0</v>
      </c>
      <c r="BS137" s="2">
        <v>1</v>
      </c>
      <c r="BT137" s="2">
        <v>1</v>
      </c>
      <c r="BU137" s="2">
        <v>1</v>
      </c>
      <c r="BV137" s="2">
        <v>1</v>
      </c>
      <c r="BW137" s="2">
        <v>1</v>
      </c>
      <c r="BX137" s="2">
        <v>1</v>
      </c>
      <c r="BY137" s="2" t="s">
        <v>30</v>
      </c>
      <c r="BZ137" s="2">
        <v>70</v>
      </c>
      <c r="CA137" s="2">
        <v>10</v>
      </c>
      <c r="CB137" s="2" t="s">
        <v>30</v>
      </c>
      <c r="CE137" s="2">
        <v>0</v>
      </c>
      <c r="CF137" s="2">
        <v>0</v>
      </c>
      <c r="CG137" s="2">
        <v>0</v>
      </c>
      <c r="CM137" s="2">
        <v>0</v>
      </c>
      <c r="CN137" s="2" t="s">
        <v>30</v>
      </c>
      <c r="CO137" s="2">
        <v>0</v>
      </c>
      <c r="CP137" s="2">
        <f>(P137+Q137+S137)</f>
        <v>0</v>
      </c>
      <c r="CQ137" s="2">
        <f>(AC137*BC137*AW137)</f>
        <v>20600</v>
      </c>
      <c r="CR137" s="2">
        <f>((((ET137)*BB137-(EU137)*BS137)+AE137*BS137)*AV137)</f>
        <v>0</v>
      </c>
      <c r="CS137" s="2">
        <f>(AE137*BS137*AV137)</f>
        <v>0</v>
      </c>
      <c r="CT137" s="2">
        <f>(AF137*BA137*AV137)</f>
        <v>0</v>
      </c>
      <c r="CU137" s="2">
        <f>AG137</f>
        <v>0</v>
      </c>
      <c r="CV137" s="2">
        <f>(AH137*AV137)</f>
        <v>0</v>
      </c>
      <c r="CW137" s="2">
        <f>AI137</f>
        <v>0</v>
      </c>
      <c r="CX137" s="2">
        <f>AJ137</f>
        <v>0</v>
      </c>
      <c r="CY137" s="2">
        <f>((S137*BZ137)/100)</f>
        <v>0</v>
      </c>
      <c r="CZ137" s="2">
        <f>((S137*CA137)/100)</f>
        <v>0</v>
      </c>
      <c r="DC137" s="2" t="s">
        <v>30</v>
      </c>
      <c r="DD137" s="2" t="s">
        <v>30</v>
      </c>
      <c r="DE137" s="2" t="s">
        <v>30</v>
      </c>
      <c r="DF137" s="2" t="s">
        <v>30</v>
      </c>
      <c r="DG137" s="2" t="s">
        <v>30</v>
      </c>
      <c r="DH137" s="2" t="s">
        <v>30</v>
      </c>
      <c r="DI137" s="2" t="s">
        <v>30</v>
      </c>
      <c r="DJ137" s="2" t="s">
        <v>30</v>
      </c>
      <c r="DK137" s="2" t="s">
        <v>30</v>
      </c>
      <c r="DL137" s="2" t="s">
        <v>30</v>
      </c>
      <c r="DM137" s="2" t="s">
        <v>30</v>
      </c>
      <c r="DN137" s="2">
        <v>0</v>
      </c>
      <c r="DO137" s="2">
        <v>0</v>
      </c>
      <c r="DP137" s="2">
        <v>1</v>
      </c>
      <c r="DQ137" s="2">
        <v>1</v>
      </c>
      <c r="DU137" s="2">
        <v>1010</v>
      </c>
      <c r="DV137" s="2" t="s">
        <v>67</v>
      </c>
      <c r="DW137" s="2" t="s">
        <v>67</v>
      </c>
      <c r="DX137" s="2">
        <v>1</v>
      </c>
      <c r="DZ137" s="2" t="s">
        <v>30</v>
      </c>
      <c r="EA137" s="2" t="s">
        <v>30</v>
      </c>
      <c r="EB137" s="2" t="s">
        <v>30</v>
      </c>
      <c r="EC137" s="2" t="s">
        <v>30</v>
      </c>
      <c r="EE137" s="2">
        <v>49661954</v>
      </c>
      <c r="EF137" s="2">
        <v>1</v>
      </c>
      <c r="EG137" s="2" t="s">
        <v>180</v>
      </c>
      <c r="EH137" s="2">
        <v>0</v>
      </c>
      <c r="EI137" s="2" t="s">
        <v>30</v>
      </c>
      <c r="EJ137" s="2">
        <v>4</v>
      </c>
      <c r="EK137" s="2">
        <v>0</v>
      </c>
      <c r="EL137" s="2" t="s">
        <v>181</v>
      </c>
      <c r="EM137" s="2" t="s">
        <v>182</v>
      </c>
      <c r="EO137" s="2" t="s">
        <v>30</v>
      </c>
      <c r="EQ137" s="2">
        <v>0</v>
      </c>
      <c r="ER137" s="2">
        <v>20600</v>
      </c>
      <c r="ES137" s="2">
        <v>20600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FQ137" s="2">
        <v>0</v>
      </c>
      <c r="FR137" s="2">
        <f>ROUND(IF(AND(BH137=3,BI137=3),P137,0),2)</f>
        <v>0</v>
      </c>
      <c r="FS137" s="2">
        <v>0</v>
      </c>
      <c r="FX137" s="2">
        <v>70</v>
      </c>
      <c r="FY137" s="2">
        <v>10</v>
      </c>
      <c r="GA137" s="2" t="s">
        <v>30</v>
      </c>
      <c r="GD137" s="2">
        <v>0</v>
      </c>
      <c r="GF137" s="2">
        <v>762208768</v>
      </c>
      <c r="GG137" s="2">
        <v>2</v>
      </c>
      <c r="GH137" s="2">
        <v>1</v>
      </c>
      <c r="GI137" s="2">
        <v>-2</v>
      </c>
      <c r="GJ137" s="2">
        <v>0</v>
      </c>
      <c r="GK137" s="2">
        <f>ROUND(R137*(R12)/100,2)</f>
        <v>0</v>
      </c>
      <c r="GL137" s="2">
        <f>ROUND(IF(AND(BH137=3,BI137=3,FS137&lt;&gt;0),P137,0),2)</f>
        <v>0</v>
      </c>
      <c r="GM137" s="2">
        <f>ROUND(O137+X137+Y137+GK137,2)+GX137</f>
        <v>0</v>
      </c>
      <c r="GN137" s="2">
        <f>IF(OR(BI137=0,BI137=1),ROUND(O137+X137+Y137+GK137,2),0)</f>
        <v>0</v>
      </c>
      <c r="GO137" s="2">
        <f>IF(BI137=2,ROUND(O137+X137+Y137+GK137,2),0)</f>
        <v>0</v>
      </c>
      <c r="GP137" s="2">
        <f>IF(BI137=4,ROUND(O137+X137+Y137+GK137,2)+GX137,0)</f>
        <v>0</v>
      </c>
      <c r="GR137" s="2">
        <v>0</v>
      </c>
      <c r="GS137" s="2">
        <v>0</v>
      </c>
      <c r="GT137" s="2">
        <v>0</v>
      </c>
      <c r="GU137" s="2" t="s">
        <v>30</v>
      </c>
      <c r="GV137" s="2">
        <f>ROUND((GT137),6)</f>
        <v>0</v>
      </c>
      <c r="GW137" s="2">
        <v>1</v>
      </c>
      <c r="GX137" s="2">
        <f>ROUND(HC137*I137,2)</f>
        <v>0</v>
      </c>
      <c r="HA137" s="2">
        <v>0</v>
      </c>
      <c r="HB137" s="2">
        <v>0</v>
      </c>
      <c r="HC137" s="2">
        <f>GV137*GW137</f>
        <v>0</v>
      </c>
      <c r="HE137" s="2" t="s">
        <v>30</v>
      </c>
      <c r="HF137" s="2" t="s">
        <v>30</v>
      </c>
      <c r="HM137" s="2" t="s">
        <v>30</v>
      </c>
      <c r="HN137" s="2" t="s">
        <v>30</v>
      </c>
      <c r="HO137" s="2" t="s">
        <v>30</v>
      </c>
      <c r="HP137" s="2" t="s">
        <v>30</v>
      </c>
      <c r="HQ137" s="2" t="s">
        <v>30</v>
      </c>
      <c r="IK137" s="2">
        <v>0</v>
      </c>
    </row>
    <row r="138" spans="1:245" x14ac:dyDescent="0.25">
      <c r="A138" s="2">
        <v>17</v>
      </c>
      <c r="B138" s="2">
        <v>1</v>
      </c>
      <c r="E138" s="2" t="s">
        <v>305</v>
      </c>
      <c r="F138" s="2" t="s">
        <v>130</v>
      </c>
      <c r="G138" s="2" t="s">
        <v>131</v>
      </c>
      <c r="H138" s="2" t="s">
        <v>67</v>
      </c>
      <c r="I138" s="2">
        <v>0</v>
      </c>
      <c r="J138" s="2">
        <v>0</v>
      </c>
      <c r="K138" s="2">
        <v>2</v>
      </c>
      <c r="O138" s="2">
        <f>ROUND(CP138,2)</f>
        <v>0</v>
      </c>
      <c r="P138" s="2">
        <f>ROUND(CQ138*I138,2)</f>
        <v>0</v>
      </c>
      <c r="Q138" s="2">
        <f>ROUND(CR138*I138,2)</f>
        <v>0</v>
      </c>
      <c r="R138" s="2">
        <f>ROUND(CS138*I138,2)</f>
        <v>0</v>
      </c>
      <c r="S138" s="2">
        <f>ROUND(CT138*I138,2)</f>
        <v>0</v>
      </c>
      <c r="T138" s="2">
        <f>ROUND(CU138*I138,2)</f>
        <v>0</v>
      </c>
      <c r="U138" s="2">
        <f>CV138*I138</f>
        <v>0</v>
      </c>
      <c r="V138" s="2">
        <f>CW138*I138</f>
        <v>0</v>
      </c>
      <c r="W138" s="2">
        <f>ROUND(CX138*I138,2)</f>
        <v>0</v>
      </c>
      <c r="X138" s="2">
        <f>ROUND(CY138,2)</f>
        <v>0</v>
      </c>
      <c r="Y138" s="2">
        <f>ROUND(CZ138,2)</f>
        <v>0</v>
      </c>
      <c r="AA138" s="2">
        <v>52262273</v>
      </c>
      <c r="AB138" s="2">
        <f>ROUND((AC138+AD138+AF138),6)</f>
        <v>2812.5</v>
      </c>
      <c r="AC138" s="2">
        <f>ROUND((ES138),6)</f>
        <v>2812.5</v>
      </c>
      <c r="AD138" s="2">
        <f>ROUND((((ET138)-(EU138))+AE138),6)</f>
        <v>0</v>
      </c>
      <c r="AE138" s="2">
        <f>ROUND((EU138),6)</f>
        <v>0</v>
      </c>
      <c r="AF138" s="2">
        <f>ROUND((EV138),6)</f>
        <v>0</v>
      </c>
      <c r="AG138" s="2">
        <f>ROUND((AP138),6)</f>
        <v>0</v>
      </c>
      <c r="AH138" s="2">
        <f>(EW138)</f>
        <v>0</v>
      </c>
      <c r="AI138" s="2">
        <f>(EX138)</f>
        <v>0</v>
      </c>
      <c r="AJ138" s="2">
        <f>(AS138)</f>
        <v>0</v>
      </c>
      <c r="AK138" s="2">
        <v>2812.5</v>
      </c>
      <c r="AL138" s="2">
        <v>2812.5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70</v>
      </c>
      <c r="AU138" s="2">
        <v>10</v>
      </c>
      <c r="AV138" s="2">
        <v>1</v>
      </c>
      <c r="AW138" s="2">
        <v>1</v>
      </c>
      <c r="AZ138" s="2">
        <v>1</v>
      </c>
      <c r="BA138" s="2">
        <v>1</v>
      </c>
      <c r="BB138" s="2">
        <v>1</v>
      </c>
      <c r="BC138" s="2">
        <v>1</v>
      </c>
      <c r="BD138" s="2" t="s">
        <v>30</v>
      </c>
      <c r="BE138" s="2" t="s">
        <v>30</v>
      </c>
      <c r="BF138" s="2" t="s">
        <v>30</v>
      </c>
      <c r="BG138" s="2" t="s">
        <v>30</v>
      </c>
      <c r="BH138" s="2">
        <v>3</v>
      </c>
      <c r="BI138" s="2">
        <v>4</v>
      </c>
      <c r="BJ138" s="2" t="s">
        <v>306</v>
      </c>
      <c r="BM138" s="2">
        <v>0</v>
      </c>
      <c r="BN138" s="2">
        <v>0</v>
      </c>
      <c r="BO138" s="2" t="s">
        <v>30</v>
      </c>
      <c r="BP138" s="2">
        <v>0</v>
      </c>
      <c r="BQ138" s="2">
        <v>1</v>
      </c>
      <c r="BR138" s="2">
        <v>0</v>
      </c>
      <c r="BS138" s="2">
        <v>1</v>
      </c>
      <c r="BT138" s="2">
        <v>1</v>
      </c>
      <c r="BU138" s="2">
        <v>1</v>
      </c>
      <c r="BV138" s="2">
        <v>1</v>
      </c>
      <c r="BW138" s="2">
        <v>1</v>
      </c>
      <c r="BX138" s="2">
        <v>1</v>
      </c>
      <c r="BY138" s="2" t="s">
        <v>30</v>
      </c>
      <c r="BZ138" s="2">
        <v>70</v>
      </c>
      <c r="CA138" s="2">
        <v>10</v>
      </c>
      <c r="CB138" s="2" t="s">
        <v>30</v>
      </c>
      <c r="CE138" s="2">
        <v>0</v>
      </c>
      <c r="CF138" s="2">
        <v>0</v>
      </c>
      <c r="CG138" s="2">
        <v>0</v>
      </c>
      <c r="CM138" s="2">
        <v>0</v>
      </c>
      <c r="CN138" s="2" t="s">
        <v>30</v>
      </c>
      <c r="CO138" s="2">
        <v>0</v>
      </c>
      <c r="CP138" s="2">
        <f>(P138+Q138+S138)</f>
        <v>0</v>
      </c>
      <c r="CQ138" s="2">
        <f>(AC138*BC138*AW138)</f>
        <v>2812.5</v>
      </c>
      <c r="CR138" s="2">
        <f>((((ET138)*BB138-(EU138)*BS138)+AE138*BS138)*AV138)</f>
        <v>0</v>
      </c>
      <c r="CS138" s="2">
        <f>(AE138*BS138*AV138)</f>
        <v>0</v>
      </c>
      <c r="CT138" s="2">
        <f>(AF138*BA138*AV138)</f>
        <v>0</v>
      </c>
      <c r="CU138" s="2">
        <f>AG138</f>
        <v>0</v>
      </c>
      <c r="CV138" s="2">
        <f>(AH138*AV138)</f>
        <v>0</v>
      </c>
      <c r="CW138" s="2">
        <f>AI138</f>
        <v>0</v>
      </c>
      <c r="CX138" s="2">
        <f>AJ138</f>
        <v>0</v>
      </c>
      <c r="CY138" s="2">
        <f>((S138*BZ138)/100)</f>
        <v>0</v>
      </c>
      <c r="CZ138" s="2">
        <f>((S138*CA138)/100)</f>
        <v>0</v>
      </c>
      <c r="DC138" s="2" t="s">
        <v>30</v>
      </c>
      <c r="DD138" s="2" t="s">
        <v>30</v>
      </c>
      <c r="DE138" s="2" t="s">
        <v>30</v>
      </c>
      <c r="DF138" s="2" t="s">
        <v>30</v>
      </c>
      <c r="DG138" s="2" t="s">
        <v>30</v>
      </c>
      <c r="DH138" s="2" t="s">
        <v>30</v>
      </c>
      <c r="DI138" s="2" t="s">
        <v>30</v>
      </c>
      <c r="DJ138" s="2" t="s">
        <v>30</v>
      </c>
      <c r="DK138" s="2" t="s">
        <v>30</v>
      </c>
      <c r="DL138" s="2" t="s">
        <v>30</v>
      </c>
      <c r="DM138" s="2" t="s">
        <v>30</v>
      </c>
      <c r="DN138" s="2">
        <v>0</v>
      </c>
      <c r="DO138" s="2">
        <v>0</v>
      </c>
      <c r="DP138" s="2">
        <v>1</v>
      </c>
      <c r="DQ138" s="2">
        <v>1</v>
      </c>
      <c r="DU138" s="2">
        <v>1010</v>
      </c>
      <c r="DV138" s="2" t="s">
        <v>67</v>
      </c>
      <c r="DW138" s="2" t="s">
        <v>67</v>
      </c>
      <c r="DX138" s="2">
        <v>1</v>
      </c>
      <c r="DZ138" s="2" t="s">
        <v>30</v>
      </c>
      <c r="EA138" s="2" t="s">
        <v>30</v>
      </c>
      <c r="EB138" s="2" t="s">
        <v>30</v>
      </c>
      <c r="EC138" s="2" t="s">
        <v>30</v>
      </c>
      <c r="EE138" s="2">
        <v>49661954</v>
      </c>
      <c r="EF138" s="2">
        <v>1</v>
      </c>
      <c r="EG138" s="2" t="s">
        <v>180</v>
      </c>
      <c r="EH138" s="2">
        <v>0</v>
      </c>
      <c r="EI138" s="2" t="s">
        <v>30</v>
      </c>
      <c r="EJ138" s="2">
        <v>4</v>
      </c>
      <c r="EK138" s="2">
        <v>0</v>
      </c>
      <c r="EL138" s="2" t="s">
        <v>181</v>
      </c>
      <c r="EM138" s="2" t="s">
        <v>182</v>
      </c>
      <c r="EO138" s="2" t="s">
        <v>30</v>
      </c>
      <c r="EQ138" s="2">
        <v>0</v>
      </c>
      <c r="ER138" s="2">
        <v>2812.5</v>
      </c>
      <c r="ES138" s="2">
        <v>2812.5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FQ138" s="2">
        <v>0</v>
      </c>
      <c r="FR138" s="2">
        <f>ROUND(IF(AND(BH138=3,BI138=3),P138,0),2)</f>
        <v>0</v>
      </c>
      <c r="FS138" s="2">
        <v>0</v>
      </c>
      <c r="FX138" s="2">
        <v>70</v>
      </c>
      <c r="FY138" s="2">
        <v>10</v>
      </c>
      <c r="GA138" s="2" t="s">
        <v>30</v>
      </c>
      <c r="GD138" s="2">
        <v>0</v>
      </c>
      <c r="GF138" s="2">
        <v>1267118734</v>
      </c>
      <c r="GG138" s="2">
        <v>2</v>
      </c>
      <c r="GH138" s="2">
        <v>1</v>
      </c>
      <c r="GI138" s="2">
        <v>-2</v>
      </c>
      <c r="GJ138" s="2">
        <v>0</v>
      </c>
      <c r="GK138" s="2">
        <f>ROUND(R138*(R12)/100,2)</f>
        <v>0</v>
      </c>
      <c r="GL138" s="2">
        <f>ROUND(IF(AND(BH138=3,BI138=3,FS138&lt;&gt;0),P138,0),2)</f>
        <v>0</v>
      </c>
      <c r="GM138" s="2">
        <f>ROUND(O138+X138+Y138+GK138,2)+GX138</f>
        <v>0</v>
      </c>
      <c r="GN138" s="2">
        <f>IF(OR(BI138=0,BI138=1),ROUND(O138+X138+Y138+GK138,2),0)</f>
        <v>0</v>
      </c>
      <c r="GO138" s="2">
        <f>IF(BI138=2,ROUND(O138+X138+Y138+GK138,2),0)</f>
        <v>0</v>
      </c>
      <c r="GP138" s="2">
        <f>IF(BI138=4,ROUND(O138+X138+Y138+GK138,2)+GX138,0)</f>
        <v>0</v>
      </c>
      <c r="GR138" s="2">
        <v>0</v>
      </c>
      <c r="GS138" s="2">
        <v>0</v>
      </c>
      <c r="GT138" s="2">
        <v>0</v>
      </c>
      <c r="GU138" s="2" t="s">
        <v>30</v>
      </c>
      <c r="GV138" s="2">
        <f>ROUND((GT138),6)</f>
        <v>0</v>
      </c>
      <c r="GW138" s="2">
        <v>1</v>
      </c>
      <c r="GX138" s="2">
        <f>ROUND(HC138*I138,2)</f>
        <v>0</v>
      </c>
      <c r="HA138" s="2">
        <v>0</v>
      </c>
      <c r="HB138" s="2">
        <v>0</v>
      </c>
      <c r="HC138" s="2">
        <f>GV138*GW138</f>
        <v>0</v>
      </c>
      <c r="HE138" s="2" t="s">
        <v>30</v>
      </c>
      <c r="HF138" s="2" t="s">
        <v>30</v>
      </c>
      <c r="HM138" s="2" t="s">
        <v>30</v>
      </c>
      <c r="HN138" s="2" t="s">
        <v>30</v>
      </c>
      <c r="HO138" s="2" t="s">
        <v>30</v>
      </c>
      <c r="HP138" s="2" t="s">
        <v>30</v>
      </c>
      <c r="HQ138" s="2" t="s">
        <v>30</v>
      </c>
      <c r="IK138" s="2">
        <v>0</v>
      </c>
    </row>
    <row r="140" spans="1:245" ht="13" x14ac:dyDescent="0.3">
      <c r="A140" s="44">
        <v>51</v>
      </c>
      <c r="B140" s="44">
        <f>B133</f>
        <v>1</v>
      </c>
      <c r="C140" s="44">
        <f>A133</f>
        <v>4</v>
      </c>
      <c r="D140" s="44">
        <f>ROW(A133)</f>
        <v>133</v>
      </c>
      <c r="E140" s="44"/>
      <c r="F140" s="44" t="str">
        <f>IF(F133&lt;&gt;"",F133,"")</f>
        <v>Новый раздел</v>
      </c>
      <c r="G140" s="44" t="str">
        <f>IF(G133&lt;&gt;"",G133,"")</f>
        <v>Устройство малых архитектурных форм</v>
      </c>
      <c r="H140" s="44">
        <v>0</v>
      </c>
      <c r="I140" s="44"/>
      <c r="J140" s="44"/>
      <c r="K140" s="44"/>
      <c r="L140" s="44"/>
      <c r="M140" s="44"/>
      <c r="N140" s="44"/>
      <c r="O140" s="44">
        <f t="shared" ref="O140:T140" si="93">ROUND(AB140,2)</f>
        <v>0</v>
      </c>
      <c r="P140" s="44">
        <f t="shared" si="93"/>
        <v>0</v>
      </c>
      <c r="Q140" s="44">
        <f t="shared" si="93"/>
        <v>0</v>
      </c>
      <c r="R140" s="44">
        <f t="shared" si="93"/>
        <v>0</v>
      </c>
      <c r="S140" s="44">
        <f t="shared" si="93"/>
        <v>0</v>
      </c>
      <c r="T140" s="44">
        <f t="shared" si="93"/>
        <v>0</v>
      </c>
      <c r="U140" s="44">
        <f>AH140</f>
        <v>0</v>
      </c>
      <c r="V140" s="44">
        <f>AI140</f>
        <v>0</v>
      </c>
      <c r="W140" s="44">
        <f>ROUND(AJ140,2)</f>
        <v>0</v>
      </c>
      <c r="X140" s="44">
        <f>ROUND(AK140,2)</f>
        <v>0</v>
      </c>
      <c r="Y140" s="44">
        <f>ROUND(AL140,2)</f>
        <v>0</v>
      </c>
      <c r="Z140" s="44"/>
      <c r="AA140" s="44"/>
      <c r="AB140" s="44">
        <f>ROUND(SUMIF(AA137:AA138,"=52262273",O137:O138),2)</f>
        <v>0</v>
      </c>
      <c r="AC140" s="44">
        <f>ROUND(SUMIF(AA137:AA138,"=52262273",P137:P138),2)</f>
        <v>0</v>
      </c>
      <c r="AD140" s="44">
        <f>ROUND(SUMIF(AA137:AA138,"=52262273",Q137:Q138),2)</f>
        <v>0</v>
      </c>
      <c r="AE140" s="44">
        <f>ROUND(SUMIF(AA137:AA138,"=52262273",R137:R138),2)</f>
        <v>0</v>
      </c>
      <c r="AF140" s="44">
        <f>ROUND(SUMIF(AA137:AA138,"=52262273",S137:S138),2)</f>
        <v>0</v>
      </c>
      <c r="AG140" s="44">
        <f>ROUND(SUMIF(AA137:AA138,"=52262273",T137:T138),2)</f>
        <v>0</v>
      </c>
      <c r="AH140" s="44">
        <f>SUMIF(AA137:AA138,"=52262273",U137:U138)</f>
        <v>0</v>
      </c>
      <c r="AI140" s="44">
        <f>SUMIF(AA137:AA138,"=52262273",V137:V138)</f>
        <v>0</v>
      </c>
      <c r="AJ140" s="44">
        <f>ROUND(SUMIF(AA137:AA138,"=52262273",W137:W138),2)</f>
        <v>0</v>
      </c>
      <c r="AK140" s="44">
        <f>ROUND(SUMIF(AA137:AA138,"=52262273",X137:X138),2)</f>
        <v>0</v>
      </c>
      <c r="AL140" s="44">
        <f>ROUND(SUMIF(AA137:AA138,"=52262273",Y137:Y138),2)</f>
        <v>0</v>
      </c>
      <c r="AM140" s="44"/>
      <c r="AN140" s="44"/>
      <c r="AO140" s="44">
        <f t="shared" ref="AO140:BD140" si="94">ROUND(BX140,2)</f>
        <v>0</v>
      </c>
      <c r="AP140" s="44">
        <f t="shared" si="94"/>
        <v>0</v>
      </c>
      <c r="AQ140" s="44">
        <f t="shared" si="94"/>
        <v>0</v>
      </c>
      <c r="AR140" s="44">
        <f t="shared" si="94"/>
        <v>0</v>
      </c>
      <c r="AS140" s="44">
        <f t="shared" si="94"/>
        <v>0</v>
      </c>
      <c r="AT140" s="44">
        <f t="shared" si="94"/>
        <v>0</v>
      </c>
      <c r="AU140" s="44">
        <f t="shared" si="94"/>
        <v>0</v>
      </c>
      <c r="AV140" s="44">
        <f t="shared" si="94"/>
        <v>0</v>
      </c>
      <c r="AW140" s="44">
        <f t="shared" si="94"/>
        <v>0</v>
      </c>
      <c r="AX140" s="44">
        <f t="shared" si="94"/>
        <v>0</v>
      </c>
      <c r="AY140" s="44">
        <f t="shared" si="94"/>
        <v>0</v>
      </c>
      <c r="AZ140" s="44">
        <f t="shared" si="94"/>
        <v>0</v>
      </c>
      <c r="BA140" s="44">
        <f t="shared" si="94"/>
        <v>0</v>
      </c>
      <c r="BB140" s="44">
        <f t="shared" si="94"/>
        <v>0</v>
      </c>
      <c r="BC140" s="44">
        <f t="shared" si="94"/>
        <v>0</v>
      </c>
      <c r="BD140" s="44">
        <f t="shared" si="94"/>
        <v>0</v>
      </c>
      <c r="BE140" s="44"/>
      <c r="BF140" s="44"/>
      <c r="BG140" s="44"/>
      <c r="BH140" s="44"/>
      <c r="BI140" s="44"/>
      <c r="BJ140" s="44"/>
      <c r="BK140" s="44"/>
      <c r="BL140" s="44"/>
      <c r="BM140" s="44"/>
      <c r="BN140" s="44"/>
      <c r="BO140" s="44"/>
      <c r="BP140" s="44"/>
      <c r="BQ140" s="44"/>
      <c r="BR140" s="44"/>
      <c r="BS140" s="44"/>
      <c r="BT140" s="44"/>
      <c r="BU140" s="44"/>
      <c r="BV140" s="44"/>
      <c r="BW140" s="44"/>
      <c r="BX140" s="44">
        <f>ROUND(SUMIF(AA137:AA138,"=52262273",FQ137:FQ138),2)</f>
        <v>0</v>
      </c>
      <c r="BY140" s="44">
        <f>ROUND(SUMIF(AA137:AA138,"=52262273",FR137:FR138),2)</f>
        <v>0</v>
      </c>
      <c r="BZ140" s="44">
        <f>ROUND(SUMIF(AA137:AA138,"=52262273",GL137:GL138),2)</f>
        <v>0</v>
      </c>
      <c r="CA140" s="44">
        <f>ROUND(SUMIF(AA137:AA138,"=52262273",GM137:GM138),2)</f>
        <v>0</v>
      </c>
      <c r="CB140" s="44">
        <f>ROUND(SUMIF(AA137:AA138,"=52262273",GN137:GN138),2)</f>
        <v>0</v>
      </c>
      <c r="CC140" s="44">
        <f>ROUND(SUMIF(AA137:AA138,"=52262273",GO137:GO138),2)</f>
        <v>0</v>
      </c>
      <c r="CD140" s="44">
        <f>ROUND(SUMIF(AA137:AA138,"=52262273",GP137:GP138),2)</f>
        <v>0</v>
      </c>
      <c r="CE140" s="44">
        <f>AC140-BX140</f>
        <v>0</v>
      </c>
      <c r="CF140" s="44">
        <f>AC140-BY140</f>
        <v>0</v>
      </c>
      <c r="CG140" s="44">
        <f>BX140-BZ140</f>
        <v>0</v>
      </c>
      <c r="CH140" s="44">
        <f>AC140-BX140-BY140+BZ140</f>
        <v>0</v>
      </c>
      <c r="CI140" s="44">
        <f>BY140-BZ140</f>
        <v>0</v>
      </c>
      <c r="CJ140" s="44">
        <f>ROUND(SUMIF(AA137:AA138,"=52262273",GX137:GX138),2)</f>
        <v>0</v>
      </c>
      <c r="CK140" s="44">
        <f>ROUND(SUMIF(AA137:AA138,"=52262273",GY137:GY138),2)</f>
        <v>0</v>
      </c>
      <c r="CL140" s="44">
        <f>ROUND(SUMIF(AA137:AA138,"=52262273",GZ137:GZ138),2)</f>
        <v>0</v>
      </c>
      <c r="CM140" s="44">
        <f>ROUND(SUMIF(AA137:AA138,"=52262273",HD137:HD138),2)</f>
        <v>0</v>
      </c>
      <c r="CN140" s="44"/>
      <c r="CO140" s="44"/>
      <c r="CP140" s="44"/>
      <c r="CQ140" s="44"/>
      <c r="CR140" s="44"/>
      <c r="CS140" s="44"/>
      <c r="CT140" s="44"/>
      <c r="CU140" s="44"/>
      <c r="CV140" s="44"/>
      <c r="CW140" s="44"/>
      <c r="CX140" s="44"/>
      <c r="CY140" s="44"/>
      <c r="CZ140" s="44"/>
      <c r="DA140" s="44"/>
      <c r="DB140" s="44"/>
      <c r="DC140" s="44"/>
      <c r="DD140" s="44"/>
      <c r="DE140" s="44"/>
      <c r="DF140" s="44"/>
      <c r="DG140" s="45"/>
      <c r="DH140" s="45"/>
      <c r="DI140" s="45"/>
      <c r="DJ140" s="45"/>
      <c r="DK140" s="45"/>
      <c r="DL140" s="45"/>
      <c r="DM140" s="45"/>
      <c r="DN140" s="45"/>
      <c r="DO140" s="45"/>
      <c r="DP140" s="45"/>
      <c r="DQ140" s="45"/>
      <c r="DR140" s="45"/>
      <c r="DS140" s="45"/>
      <c r="DT140" s="45"/>
      <c r="DU140" s="45"/>
      <c r="DV140" s="45"/>
      <c r="DW140" s="45"/>
      <c r="DX140" s="45"/>
      <c r="DY140" s="45"/>
      <c r="DZ140" s="45"/>
      <c r="EA140" s="45"/>
      <c r="EB140" s="45"/>
      <c r="EC140" s="45"/>
      <c r="ED140" s="45"/>
      <c r="EE140" s="45"/>
      <c r="EF140" s="45"/>
      <c r="EG140" s="45"/>
      <c r="EH140" s="45"/>
      <c r="EI140" s="45"/>
      <c r="EJ140" s="45"/>
      <c r="EK140" s="45"/>
      <c r="EL140" s="45"/>
      <c r="EM140" s="45"/>
      <c r="EN140" s="45"/>
      <c r="EO140" s="45"/>
      <c r="EP140" s="45"/>
      <c r="EQ140" s="45"/>
      <c r="ER140" s="45"/>
      <c r="ES140" s="45"/>
      <c r="ET140" s="45"/>
      <c r="EU140" s="45"/>
      <c r="EV140" s="45"/>
      <c r="EW140" s="45"/>
      <c r="EX140" s="45"/>
      <c r="EY140" s="45"/>
      <c r="EZ140" s="45"/>
      <c r="FA140" s="45"/>
      <c r="FB140" s="45"/>
      <c r="FC140" s="45"/>
      <c r="FD140" s="45"/>
      <c r="FE140" s="45"/>
      <c r="FF140" s="45"/>
      <c r="FG140" s="45"/>
      <c r="FH140" s="45"/>
      <c r="FI140" s="45"/>
      <c r="FJ140" s="45"/>
      <c r="FK140" s="45"/>
      <c r="FL140" s="45"/>
      <c r="FM140" s="45"/>
      <c r="FN140" s="45"/>
      <c r="FO140" s="45"/>
      <c r="FP140" s="45"/>
      <c r="FQ140" s="45"/>
      <c r="FR140" s="45"/>
      <c r="FS140" s="45"/>
      <c r="FT140" s="45"/>
      <c r="FU140" s="45"/>
      <c r="FV140" s="45"/>
      <c r="FW140" s="45"/>
      <c r="FX140" s="45"/>
      <c r="FY140" s="45"/>
      <c r="FZ140" s="45"/>
      <c r="GA140" s="45"/>
      <c r="GB140" s="45"/>
      <c r="GC140" s="45"/>
      <c r="GD140" s="45"/>
      <c r="GE140" s="45"/>
      <c r="GF140" s="45"/>
      <c r="GG140" s="45"/>
      <c r="GH140" s="45"/>
      <c r="GI140" s="45"/>
      <c r="GJ140" s="45"/>
      <c r="GK140" s="45"/>
      <c r="GL140" s="45"/>
      <c r="GM140" s="45"/>
      <c r="GN140" s="45"/>
      <c r="GO140" s="45"/>
      <c r="GP140" s="45"/>
      <c r="GQ140" s="45"/>
      <c r="GR140" s="45"/>
      <c r="GS140" s="45"/>
      <c r="GT140" s="45"/>
      <c r="GU140" s="45"/>
      <c r="GV140" s="45"/>
      <c r="GW140" s="45"/>
      <c r="GX140" s="45">
        <v>0</v>
      </c>
    </row>
    <row r="142" spans="1:245" ht="13" x14ac:dyDescent="0.3">
      <c r="A142" s="46">
        <v>50</v>
      </c>
      <c r="B142" s="46">
        <v>0</v>
      </c>
      <c r="C142" s="46">
        <v>0</v>
      </c>
      <c r="D142" s="46">
        <v>1</v>
      </c>
      <c r="E142" s="46">
        <v>201</v>
      </c>
      <c r="F142" s="46">
        <f>ROUND('Source (2)'!O140,O142)</f>
        <v>0</v>
      </c>
      <c r="G142" s="46" t="s">
        <v>214</v>
      </c>
      <c r="H142" s="46" t="s">
        <v>215</v>
      </c>
      <c r="I142" s="46"/>
      <c r="J142" s="46"/>
      <c r="K142" s="46">
        <v>201</v>
      </c>
      <c r="L142" s="46">
        <v>1</v>
      </c>
      <c r="M142" s="46">
        <v>3</v>
      </c>
      <c r="N142" s="46" t="s">
        <v>30</v>
      </c>
      <c r="O142" s="46">
        <v>2</v>
      </c>
      <c r="P142" s="46"/>
      <c r="Q142" s="46"/>
      <c r="R142" s="46"/>
      <c r="S142" s="46"/>
      <c r="T142" s="46"/>
      <c r="U142" s="46"/>
      <c r="V142" s="46"/>
      <c r="W142" s="46">
        <v>46825</v>
      </c>
      <c r="X142" s="46">
        <v>1</v>
      </c>
      <c r="Y142" s="46">
        <v>46825</v>
      </c>
      <c r="Z142" s="46"/>
      <c r="AA142" s="46"/>
      <c r="AB142" s="46"/>
    </row>
    <row r="143" spans="1:245" ht="13" x14ac:dyDescent="0.3">
      <c r="A143" s="46">
        <v>50</v>
      </c>
      <c r="B143" s="46">
        <v>0</v>
      </c>
      <c r="C143" s="46">
        <v>0</v>
      </c>
      <c r="D143" s="46">
        <v>1</v>
      </c>
      <c r="E143" s="46">
        <v>202</v>
      </c>
      <c r="F143" s="46">
        <f>ROUND('Source (2)'!P140,O143)</f>
        <v>0</v>
      </c>
      <c r="G143" s="46" t="s">
        <v>216</v>
      </c>
      <c r="H143" s="46" t="s">
        <v>217</v>
      </c>
      <c r="I143" s="46"/>
      <c r="J143" s="46"/>
      <c r="K143" s="46">
        <v>202</v>
      </c>
      <c r="L143" s="46">
        <v>2</v>
      </c>
      <c r="M143" s="46">
        <v>3</v>
      </c>
      <c r="N143" s="46" t="s">
        <v>30</v>
      </c>
      <c r="O143" s="46">
        <v>2</v>
      </c>
      <c r="P143" s="46"/>
      <c r="Q143" s="46"/>
      <c r="R143" s="46"/>
      <c r="S143" s="46"/>
      <c r="T143" s="46"/>
      <c r="U143" s="46"/>
      <c r="V143" s="46"/>
      <c r="W143" s="46">
        <v>46825</v>
      </c>
      <c r="X143" s="46">
        <v>1</v>
      </c>
      <c r="Y143" s="46">
        <v>46825</v>
      </c>
      <c r="Z143" s="46"/>
      <c r="AA143" s="46"/>
      <c r="AB143" s="46"/>
    </row>
    <row r="144" spans="1:245" ht="13" x14ac:dyDescent="0.3">
      <c r="A144" s="46">
        <v>50</v>
      </c>
      <c r="B144" s="46">
        <v>0</v>
      </c>
      <c r="C144" s="46">
        <v>0</v>
      </c>
      <c r="D144" s="46">
        <v>1</v>
      </c>
      <c r="E144" s="46">
        <v>222</v>
      </c>
      <c r="F144" s="46">
        <f>ROUND('Source (2)'!AO140,O144)</f>
        <v>0</v>
      </c>
      <c r="G144" s="46" t="s">
        <v>218</v>
      </c>
      <c r="H144" s="46" t="s">
        <v>219</v>
      </c>
      <c r="I144" s="46"/>
      <c r="J144" s="46"/>
      <c r="K144" s="46">
        <v>222</v>
      </c>
      <c r="L144" s="46">
        <v>3</v>
      </c>
      <c r="M144" s="46">
        <v>3</v>
      </c>
      <c r="N144" s="46" t="s">
        <v>30</v>
      </c>
      <c r="O144" s="46">
        <v>2</v>
      </c>
      <c r="P144" s="46"/>
      <c r="Q144" s="46"/>
      <c r="R144" s="46"/>
      <c r="S144" s="46"/>
      <c r="T144" s="46"/>
      <c r="U144" s="46"/>
      <c r="V144" s="46"/>
      <c r="W144" s="46">
        <v>0</v>
      </c>
      <c r="X144" s="46">
        <v>1</v>
      </c>
      <c r="Y144" s="46">
        <v>0</v>
      </c>
      <c r="Z144" s="46"/>
      <c r="AA144" s="46"/>
      <c r="AB144" s="46"/>
    </row>
    <row r="145" spans="1:28" ht="13" x14ac:dyDescent="0.3">
      <c r="A145" s="46">
        <v>50</v>
      </c>
      <c r="B145" s="46">
        <v>0</v>
      </c>
      <c r="C145" s="46">
        <v>0</v>
      </c>
      <c r="D145" s="46">
        <v>1</v>
      </c>
      <c r="E145" s="46">
        <v>225</v>
      </c>
      <c r="F145" s="46">
        <f>ROUND('Source (2)'!AV140,O145)</f>
        <v>0</v>
      </c>
      <c r="G145" s="46" t="s">
        <v>220</v>
      </c>
      <c r="H145" s="46" t="s">
        <v>221</v>
      </c>
      <c r="I145" s="46"/>
      <c r="J145" s="46"/>
      <c r="K145" s="46">
        <v>225</v>
      </c>
      <c r="L145" s="46">
        <v>4</v>
      </c>
      <c r="M145" s="46">
        <v>3</v>
      </c>
      <c r="N145" s="46" t="s">
        <v>30</v>
      </c>
      <c r="O145" s="46">
        <v>2</v>
      </c>
      <c r="P145" s="46"/>
      <c r="Q145" s="46"/>
      <c r="R145" s="46"/>
      <c r="S145" s="46"/>
      <c r="T145" s="46"/>
      <c r="U145" s="46"/>
      <c r="V145" s="46"/>
      <c r="W145" s="46">
        <v>46825</v>
      </c>
      <c r="X145" s="46">
        <v>1</v>
      </c>
      <c r="Y145" s="46">
        <v>46825</v>
      </c>
      <c r="Z145" s="46"/>
      <c r="AA145" s="46"/>
      <c r="AB145" s="46"/>
    </row>
    <row r="146" spans="1:28" ht="13" x14ac:dyDescent="0.3">
      <c r="A146" s="46">
        <v>50</v>
      </c>
      <c r="B146" s="46">
        <v>0</v>
      </c>
      <c r="C146" s="46">
        <v>0</v>
      </c>
      <c r="D146" s="46">
        <v>1</v>
      </c>
      <c r="E146" s="46">
        <v>226</v>
      </c>
      <c r="F146" s="46">
        <f>ROUND('Source (2)'!AW140,O146)</f>
        <v>0</v>
      </c>
      <c r="G146" s="46" t="s">
        <v>222</v>
      </c>
      <c r="H146" s="46" t="s">
        <v>223</v>
      </c>
      <c r="I146" s="46"/>
      <c r="J146" s="46"/>
      <c r="K146" s="46">
        <v>226</v>
      </c>
      <c r="L146" s="46">
        <v>5</v>
      </c>
      <c r="M146" s="46">
        <v>3</v>
      </c>
      <c r="N146" s="46" t="s">
        <v>30</v>
      </c>
      <c r="O146" s="46">
        <v>2</v>
      </c>
      <c r="P146" s="46"/>
      <c r="Q146" s="46"/>
      <c r="R146" s="46"/>
      <c r="S146" s="46"/>
      <c r="T146" s="46"/>
      <c r="U146" s="46"/>
      <c r="V146" s="46"/>
      <c r="W146" s="46">
        <v>46825</v>
      </c>
      <c r="X146" s="46">
        <v>1</v>
      </c>
      <c r="Y146" s="46">
        <v>46825</v>
      </c>
      <c r="Z146" s="46"/>
      <c r="AA146" s="46"/>
      <c r="AB146" s="46"/>
    </row>
    <row r="147" spans="1:28" ht="13" x14ac:dyDescent="0.3">
      <c r="A147" s="46">
        <v>50</v>
      </c>
      <c r="B147" s="46">
        <v>0</v>
      </c>
      <c r="C147" s="46">
        <v>0</v>
      </c>
      <c r="D147" s="46">
        <v>1</v>
      </c>
      <c r="E147" s="46">
        <v>227</v>
      </c>
      <c r="F147" s="46">
        <f>ROUND('Source (2)'!AX140,O147)</f>
        <v>0</v>
      </c>
      <c r="G147" s="46" t="s">
        <v>224</v>
      </c>
      <c r="H147" s="46" t="s">
        <v>225</v>
      </c>
      <c r="I147" s="46"/>
      <c r="J147" s="46"/>
      <c r="K147" s="46">
        <v>227</v>
      </c>
      <c r="L147" s="46">
        <v>6</v>
      </c>
      <c r="M147" s="46">
        <v>3</v>
      </c>
      <c r="N147" s="46" t="s">
        <v>30</v>
      </c>
      <c r="O147" s="46">
        <v>2</v>
      </c>
      <c r="P147" s="46"/>
      <c r="Q147" s="46"/>
      <c r="R147" s="46"/>
      <c r="S147" s="46"/>
      <c r="T147" s="46"/>
      <c r="U147" s="46"/>
      <c r="V147" s="46"/>
      <c r="W147" s="46">
        <v>0</v>
      </c>
      <c r="X147" s="46">
        <v>1</v>
      </c>
      <c r="Y147" s="46">
        <v>0</v>
      </c>
      <c r="Z147" s="46"/>
      <c r="AA147" s="46"/>
      <c r="AB147" s="46"/>
    </row>
    <row r="148" spans="1:28" ht="13" x14ac:dyDescent="0.3">
      <c r="A148" s="46">
        <v>50</v>
      </c>
      <c r="B148" s="46">
        <v>0</v>
      </c>
      <c r="C148" s="46">
        <v>0</v>
      </c>
      <c r="D148" s="46">
        <v>1</v>
      </c>
      <c r="E148" s="46">
        <v>228</v>
      </c>
      <c r="F148" s="46">
        <f>ROUND('Source (2)'!AY140,O148)</f>
        <v>0</v>
      </c>
      <c r="G148" s="46" t="s">
        <v>226</v>
      </c>
      <c r="H148" s="46" t="s">
        <v>227</v>
      </c>
      <c r="I148" s="46"/>
      <c r="J148" s="46"/>
      <c r="K148" s="46">
        <v>228</v>
      </c>
      <c r="L148" s="46">
        <v>7</v>
      </c>
      <c r="M148" s="46">
        <v>3</v>
      </c>
      <c r="N148" s="46" t="s">
        <v>30</v>
      </c>
      <c r="O148" s="46">
        <v>2</v>
      </c>
      <c r="P148" s="46"/>
      <c r="Q148" s="46"/>
      <c r="R148" s="46"/>
      <c r="S148" s="46"/>
      <c r="T148" s="46"/>
      <c r="U148" s="46"/>
      <c r="V148" s="46"/>
      <c r="W148" s="46">
        <v>46825</v>
      </c>
      <c r="X148" s="46">
        <v>1</v>
      </c>
      <c r="Y148" s="46">
        <v>46825</v>
      </c>
      <c r="Z148" s="46"/>
      <c r="AA148" s="46"/>
      <c r="AB148" s="46"/>
    </row>
    <row r="149" spans="1:28" ht="13" x14ac:dyDescent="0.3">
      <c r="A149" s="46">
        <v>50</v>
      </c>
      <c r="B149" s="46">
        <v>0</v>
      </c>
      <c r="C149" s="46">
        <v>0</v>
      </c>
      <c r="D149" s="46">
        <v>1</v>
      </c>
      <c r="E149" s="46">
        <v>216</v>
      </c>
      <c r="F149" s="46">
        <f>ROUND('Source (2)'!AP140,O149)</f>
        <v>0</v>
      </c>
      <c r="G149" s="46" t="s">
        <v>228</v>
      </c>
      <c r="H149" s="46" t="s">
        <v>229</v>
      </c>
      <c r="I149" s="46"/>
      <c r="J149" s="46"/>
      <c r="K149" s="46">
        <v>216</v>
      </c>
      <c r="L149" s="46">
        <v>8</v>
      </c>
      <c r="M149" s="46">
        <v>3</v>
      </c>
      <c r="N149" s="46" t="s">
        <v>30</v>
      </c>
      <c r="O149" s="46">
        <v>2</v>
      </c>
      <c r="P149" s="46"/>
      <c r="Q149" s="46"/>
      <c r="R149" s="46"/>
      <c r="S149" s="46"/>
      <c r="T149" s="46"/>
      <c r="U149" s="46"/>
      <c r="V149" s="46"/>
      <c r="W149" s="46">
        <v>0</v>
      </c>
      <c r="X149" s="46">
        <v>1</v>
      </c>
      <c r="Y149" s="46">
        <v>0</v>
      </c>
      <c r="Z149" s="46"/>
      <c r="AA149" s="46"/>
      <c r="AB149" s="46"/>
    </row>
    <row r="150" spans="1:28" ht="13" x14ac:dyDescent="0.3">
      <c r="A150" s="46">
        <v>50</v>
      </c>
      <c r="B150" s="46">
        <v>0</v>
      </c>
      <c r="C150" s="46">
        <v>0</v>
      </c>
      <c r="D150" s="46">
        <v>1</v>
      </c>
      <c r="E150" s="46">
        <v>223</v>
      </c>
      <c r="F150" s="46">
        <f>ROUND('Source (2)'!AQ140,O150)</f>
        <v>0</v>
      </c>
      <c r="G150" s="46" t="s">
        <v>230</v>
      </c>
      <c r="H150" s="46" t="s">
        <v>231</v>
      </c>
      <c r="I150" s="46"/>
      <c r="J150" s="46"/>
      <c r="K150" s="46">
        <v>223</v>
      </c>
      <c r="L150" s="46">
        <v>9</v>
      </c>
      <c r="M150" s="46">
        <v>3</v>
      </c>
      <c r="N150" s="46" t="s">
        <v>30</v>
      </c>
      <c r="O150" s="46">
        <v>2</v>
      </c>
      <c r="P150" s="46"/>
      <c r="Q150" s="46"/>
      <c r="R150" s="46"/>
      <c r="S150" s="46"/>
      <c r="T150" s="46"/>
      <c r="U150" s="46"/>
      <c r="V150" s="46"/>
      <c r="W150" s="46">
        <v>0</v>
      </c>
      <c r="X150" s="46">
        <v>1</v>
      </c>
      <c r="Y150" s="46">
        <v>0</v>
      </c>
      <c r="Z150" s="46"/>
      <c r="AA150" s="46"/>
      <c r="AB150" s="46"/>
    </row>
    <row r="151" spans="1:28" ht="13" x14ac:dyDescent="0.3">
      <c r="A151" s="46">
        <v>50</v>
      </c>
      <c r="B151" s="46">
        <v>0</v>
      </c>
      <c r="C151" s="46">
        <v>0</v>
      </c>
      <c r="D151" s="46">
        <v>1</v>
      </c>
      <c r="E151" s="46">
        <v>229</v>
      </c>
      <c r="F151" s="46">
        <f>ROUND('Source (2)'!AZ140,O151)</f>
        <v>0</v>
      </c>
      <c r="G151" s="46" t="s">
        <v>232</v>
      </c>
      <c r="H151" s="46" t="s">
        <v>233</v>
      </c>
      <c r="I151" s="46"/>
      <c r="J151" s="46"/>
      <c r="K151" s="46">
        <v>229</v>
      </c>
      <c r="L151" s="46">
        <v>10</v>
      </c>
      <c r="M151" s="46">
        <v>3</v>
      </c>
      <c r="N151" s="46" t="s">
        <v>30</v>
      </c>
      <c r="O151" s="46">
        <v>2</v>
      </c>
      <c r="P151" s="46"/>
      <c r="Q151" s="46"/>
      <c r="R151" s="46"/>
      <c r="S151" s="46"/>
      <c r="T151" s="46"/>
      <c r="U151" s="46"/>
      <c r="V151" s="46"/>
      <c r="W151" s="46">
        <v>0</v>
      </c>
      <c r="X151" s="46">
        <v>1</v>
      </c>
      <c r="Y151" s="46">
        <v>0</v>
      </c>
      <c r="Z151" s="46"/>
      <c r="AA151" s="46"/>
      <c r="AB151" s="46"/>
    </row>
    <row r="152" spans="1:28" ht="13" x14ac:dyDescent="0.3">
      <c r="A152" s="46">
        <v>50</v>
      </c>
      <c r="B152" s="46">
        <v>0</v>
      </c>
      <c r="C152" s="46">
        <v>0</v>
      </c>
      <c r="D152" s="46">
        <v>1</v>
      </c>
      <c r="E152" s="46">
        <v>203</v>
      </c>
      <c r="F152" s="46">
        <f>ROUND('Source (2)'!Q140,O152)</f>
        <v>0</v>
      </c>
      <c r="G152" s="46" t="s">
        <v>234</v>
      </c>
      <c r="H152" s="46" t="s">
        <v>235</v>
      </c>
      <c r="I152" s="46"/>
      <c r="J152" s="46"/>
      <c r="K152" s="46">
        <v>203</v>
      </c>
      <c r="L152" s="46">
        <v>11</v>
      </c>
      <c r="M152" s="46">
        <v>3</v>
      </c>
      <c r="N152" s="46" t="s">
        <v>30</v>
      </c>
      <c r="O152" s="46">
        <v>2</v>
      </c>
      <c r="P152" s="46"/>
      <c r="Q152" s="46"/>
      <c r="R152" s="46"/>
      <c r="S152" s="46"/>
      <c r="T152" s="46"/>
      <c r="U152" s="46"/>
      <c r="V152" s="46"/>
      <c r="W152" s="46">
        <v>0</v>
      </c>
      <c r="X152" s="46">
        <v>1</v>
      </c>
      <c r="Y152" s="46">
        <v>0</v>
      </c>
      <c r="Z152" s="46"/>
      <c r="AA152" s="46"/>
      <c r="AB152" s="46"/>
    </row>
    <row r="153" spans="1:28" ht="13" x14ac:dyDescent="0.3">
      <c r="A153" s="46">
        <v>50</v>
      </c>
      <c r="B153" s="46">
        <v>0</v>
      </c>
      <c r="C153" s="46">
        <v>0</v>
      </c>
      <c r="D153" s="46">
        <v>1</v>
      </c>
      <c r="E153" s="46">
        <v>231</v>
      </c>
      <c r="F153" s="46">
        <f>ROUND('Source (2)'!BB140,O153)</f>
        <v>0</v>
      </c>
      <c r="G153" s="46" t="s">
        <v>236</v>
      </c>
      <c r="H153" s="46" t="s">
        <v>237</v>
      </c>
      <c r="I153" s="46"/>
      <c r="J153" s="46"/>
      <c r="K153" s="46">
        <v>231</v>
      </c>
      <c r="L153" s="46">
        <v>12</v>
      </c>
      <c r="M153" s="46">
        <v>3</v>
      </c>
      <c r="N153" s="46" t="s">
        <v>30</v>
      </c>
      <c r="O153" s="46">
        <v>2</v>
      </c>
      <c r="P153" s="46"/>
      <c r="Q153" s="46"/>
      <c r="R153" s="46"/>
      <c r="S153" s="46"/>
      <c r="T153" s="46"/>
      <c r="U153" s="46"/>
      <c r="V153" s="46"/>
      <c r="W153" s="46">
        <v>0</v>
      </c>
      <c r="X153" s="46">
        <v>1</v>
      </c>
      <c r="Y153" s="46">
        <v>0</v>
      </c>
      <c r="Z153" s="46"/>
      <c r="AA153" s="46"/>
      <c r="AB153" s="46"/>
    </row>
    <row r="154" spans="1:28" ht="13" x14ac:dyDescent="0.3">
      <c r="A154" s="46">
        <v>50</v>
      </c>
      <c r="B154" s="46">
        <v>0</v>
      </c>
      <c r="C154" s="46">
        <v>0</v>
      </c>
      <c r="D154" s="46">
        <v>1</v>
      </c>
      <c r="E154" s="46">
        <v>204</v>
      </c>
      <c r="F154" s="46">
        <f>ROUND('Source (2)'!R140,O154)</f>
        <v>0</v>
      </c>
      <c r="G154" s="46" t="s">
        <v>238</v>
      </c>
      <c r="H154" s="46" t="s">
        <v>239</v>
      </c>
      <c r="I154" s="46"/>
      <c r="J154" s="46"/>
      <c r="K154" s="46">
        <v>204</v>
      </c>
      <c r="L154" s="46">
        <v>13</v>
      </c>
      <c r="M154" s="46">
        <v>3</v>
      </c>
      <c r="N154" s="46" t="s">
        <v>30</v>
      </c>
      <c r="O154" s="46">
        <v>2</v>
      </c>
      <c r="P154" s="46"/>
      <c r="Q154" s="46"/>
      <c r="R154" s="46"/>
      <c r="S154" s="46"/>
      <c r="T154" s="46"/>
      <c r="U154" s="46"/>
      <c r="V154" s="46"/>
      <c r="W154" s="46">
        <v>0</v>
      </c>
      <c r="X154" s="46">
        <v>1</v>
      </c>
      <c r="Y154" s="46">
        <v>0</v>
      </c>
      <c r="Z154" s="46"/>
      <c r="AA154" s="46"/>
      <c r="AB154" s="46"/>
    </row>
    <row r="155" spans="1:28" ht="13" x14ac:dyDescent="0.3">
      <c r="A155" s="46">
        <v>50</v>
      </c>
      <c r="B155" s="46">
        <v>0</v>
      </c>
      <c r="C155" s="46">
        <v>0</v>
      </c>
      <c r="D155" s="46">
        <v>1</v>
      </c>
      <c r="E155" s="46">
        <v>205</v>
      </c>
      <c r="F155" s="46">
        <f>ROUND('Source (2)'!S140,O155)</f>
        <v>0</v>
      </c>
      <c r="G155" s="46" t="s">
        <v>240</v>
      </c>
      <c r="H155" s="46" t="s">
        <v>241</v>
      </c>
      <c r="I155" s="46"/>
      <c r="J155" s="46"/>
      <c r="K155" s="46">
        <v>205</v>
      </c>
      <c r="L155" s="46">
        <v>14</v>
      </c>
      <c r="M155" s="46">
        <v>3</v>
      </c>
      <c r="N155" s="46" t="s">
        <v>30</v>
      </c>
      <c r="O155" s="46">
        <v>2</v>
      </c>
      <c r="P155" s="46"/>
      <c r="Q155" s="46"/>
      <c r="R155" s="46"/>
      <c r="S155" s="46"/>
      <c r="T155" s="46"/>
      <c r="U155" s="46"/>
      <c r="V155" s="46"/>
      <c r="W155" s="46">
        <v>0</v>
      </c>
      <c r="X155" s="46">
        <v>1</v>
      </c>
      <c r="Y155" s="46">
        <v>0</v>
      </c>
      <c r="Z155" s="46"/>
      <c r="AA155" s="46"/>
      <c r="AB155" s="46"/>
    </row>
    <row r="156" spans="1:28" ht="13" x14ac:dyDescent="0.3">
      <c r="A156" s="46">
        <v>50</v>
      </c>
      <c r="B156" s="46">
        <v>0</v>
      </c>
      <c r="C156" s="46">
        <v>0</v>
      </c>
      <c r="D156" s="46">
        <v>1</v>
      </c>
      <c r="E156" s="46">
        <v>232</v>
      </c>
      <c r="F156" s="46">
        <f>ROUND('Source (2)'!BC140,O156)</f>
        <v>0</v>
      </c>
      <c r="G156" s="46" t="s">
        <v>242</v>
      </c>
      <c r="H156" s="46" t="s">
        <v>243</v>
      </c>
      <c r="I156" s="46"/>
      <c r="J156" s="46"/>
      <c r="K156" s="46">
        <v>232</v>
      </c>
      <c r="L156" s="46">
        <v>15</v>
      </c>
      <c r="M156" s="46">
        <v>3</v>
      </c>
      <c r="N156" s="46" t="s">
        <v>30</v>
      </c>
      <c r="O156" s="46">
        <v>2</v>
      </c>
      <c r="P156" s="46"/>
      <c r="Q156" s="46"/>
      <c r="R156" s="46"/>
      <c r="S156" s="46"/>
      <c r="T156" s="46"/>
      <c r="U156" s="46"/>
      <c r="V156" s="46"/>
      <c r="W156" s="46">
        <v>0</v>
      </c>
      <c r="X156" s="46">
        <v>1</v>
      </c>
      <c r="Y156" s="46">
        <v>0</v>
      </c>
      <c r="Z156" s="46"/>
      <c r="AA156" s="46"/>
      <c r="AB156" s="46"/>
    </row>
    <row r="157" spans="1:28" ht="13" x14ac:dyDescent="0.3">
      <c r="A157" s="46">
        <v>50</v>
      </c>
      <c r="B157" s="46">
        <v>0</v>
      </c>
      <c r="C157" s="46">
        <v>0</v>
      </c>
      <c r="D157" s="46">
        <v>1</v>
      </c>
      <c r="E157" s="46">
        <v>214</v>
      </c>
      <c r="F157" s="46">
        <f>ROUND('Source (2)'!AS140,O157)</f>
        <v>0</v>
      </c>
      <c r="G157" s="46" t="s">
        <v>244</v>
      </c>
      <c r="H157" s="46" t="s">
        <v>245</v>
      </c>
      <c r="I157" s="46"/>
      <c r="J157" s="46"/>
      <c r="K157" s="46">
        <v>214</v>
      </c>
      <c r="L157" s="46">
        <v>16</v>
      </c>
      <c r="M157" s="46">
        <v>3</v>
      </c>
      <c r="N157" s="46" t="s">
        <v>30</v>
      </c>
      <c r="O157" s="46">
        <v>2</v>
      </c>
      <c r="P157" s="46"/>
      <c r="Q157" s="46"/>
      <c r="R157" s="46"/>
      <c r="S157" s="46"/>
      <c r="T157" s="46"/>
      <c r="U157" s="46"/>
      <c r="V157" s="46"/>
      <c r="W157" s="46">
        <v>0</v>
      </c>
      <c r="X157" s="46">
        <v>1</v>
      </c>
      <c r="Y157" s="46">
        <v>0</v>
      </c>
      <c r="Z157" s="46"/>
      <c r="AA157" s="46"/>
      <c r="AB157" s="46"/>
    </row>
    <row r="158" spans="1:28" ht="13" x14ac:dyDescent="0.3">
      <c r="A158" s="46">
        <v>50</v>
      </c>
      <c r="B158" s="46">
        <v>0</v>
      </c>
      <c r="C158" s="46">
        <v>0</v>
      </c>
      <c r="D158" s="46">
        <v>1</v>
      </c>
      <c r="E158" s="46">
        <v>215</v>
      </c>
      <c r="F158" s="46">
        <f>ROUND('Source (2)'!AT140,O158)</f>
        <v>0</v>
      </c>
      <c r="G158" s="46" t="s">
        <v>246</v>
      </c>
      <c r="H158" s="46" t="s">
        <v>247</v>
      </c>
      <c r="I158" s="46"/>
      <c r="J158" s="46"/>
      <c r="K158" s="46">
        <v>215</v>
      </c>
      <c r="L158" s="46">
        <v>17</v>
      </c>
      <c r="M158" s="46">
        <v>3</v>
      </c>
      <c r="N158" s="46" t="s">
        <v>30</v>
      </c>
      <c r="O158" s="46">
        <v>2</v>
      </c>
      <c r="P158" s="46"/>
      <c r="Q158" s="46"/>
      <c r="R158" s="46"/>
      <c r="S158" s="46"/>
      <c r="T158" s="46"/>
      <c r="U158" s="46"/>
      <c r="V158" s="46"/>
      <c r="W158" s="46">
        <v>0</v>
      </c>
      <c r="X158" s="46">
        <v>1</v>
      </c>
      <c r="Y158" s="46">
        <v>0</v>
      </c>
      <c r="Z158" s="46"/>
      <c r="AA158" s="46"/>
      <c r="AB158" s="46"/>
    </row>
    <row r="159" spans="1:28" ht="13" x14ac:dyDescent="0.3">
      <c r="A159" s="46">
        <v>50</v>
      </c>
      <c r="B159" s="46">
        <v>0</v>
      </c>
      <c r="C159" s="46">
        <v>0</v>
      </c>
      <c r="D159" s="46">
        <v>1</v>
      </c>
      <c r="E159" s="46">
        <v>217</v>
      </c>
      <c r="F159" s="46">
        <f>ROUND('Source (2)'!AU140,O159)</f>
        <v>0</v>
      </c>
      <c r="G159" s="46" t="s">
        <v>248</v>
      </c>
      <c r="H159" s="46" t="s">
        <v>249</v>
      </c>
      <c r="I159" s="46"/>
      <c r="J159" s="46"/>
      <c r="K159" s="46">
        <v>217</v>
      </c>
      <c r="L159" s="46">
        <v>18</v>
      </c>
      <c r="M159" s="46">
        <v>3</v>
      </c>
      <c r="N159" s="46" t="s">
        <v>30</v>
      </c>
      <c r="O159" s="46">
        <v>2</v>
      </c>
      <c r="P159" s="46"/>
      <c r="Q159" s="46"/>
      <c r="R159" s="46"/>
      <c r="S159" s="46"/>
      <c r="T159" s="46"/>
      <c r="U159" s="46"/>
      <c r="V159" s="46"/>
      <c r="W159" s="46">
        <v>46825</v>
      </c>
      <c r="X159" s="46">
        <v>1</v>
      </c>
      <c r="Y159" s="46">
        <v>46825</v>
      </c>
      <c r="Z159" s="46"/>
      <c r="AA159" s="46"/>
      <c r="AB159" s="46"/>
    </row>
    <row r="160" spans="1:28" ht="13" x14ac:dyDescent="0.3">
      <c r="A160" s="46">
        <v>50</v>
      </c>
      <c r="B160" s="46">
        <v>0</v>
      </c>
      <c r="C160" s="46">
        <v>0</v>
      </c>
      <c r="D160" s="46">
        <v>1</v>
      </c>
      <c r="E160" s="46">
        <v>230</v>
      </c>
      <c r="F160" s="46">
        <f>ROUND('Source (2)'!BA140,O160)</f>
        <v>0</v>
      </c>
      <c r="G160" s="46" t="s">
        <v>250</v>
      </c>
      <c r="H160" s="46" t="s">
        <v>251</v>
      </c>
      <c r="I160" s="46"/>
      <c r="J160" s="46"/>
      <c r="K160" s="46">
        <v>230</v>
      </c>
      <c r="L160" s="46">
        <v>19</v>
      </c>
      <c r="M160" s="46">
        <v>3</v>
      </c>
      <c r="N160" s="46" t="s">
        <v>30</v>
      </c>
      <c r="O160" s="46">
        <v>2</v>
      </c>
      <c r="P160" s="46"/>
      <c r="Q160" s="46"/>
      <c r="R160" s="46"/>
      <c r="S160" s="46"/>
      <c r="T160" s="46"/>
      <c r="U160" s="46"/>
      <c r="V160" s="46"/>
      <c r="W160" s="46">
        <v>0</v>
      </c>
      <c r="X160" s="46">
        <v>1</v>
      </c>
      <c r="Y160" s="46">
        <v>0</v>
      </c>
      <c r="Z160" s="46"/>
      <c r="AA160" s="46"/>
      <c r="AB160" s="46"/>
    </row>
    <row r="161" spans="1:28" ht="13" x14ac:dyDescent="0.3">
      <c r="A161" s="46">
        <v>50</v>
      </c>
      <c r="B161" s="46">
        <v>0</v>
      </c>
      <c r="C161" s="46">
        <v>0</v>
      </c>
      <c r="D161" s="46">
        <v>1</v>
      </c>
      <c r="E161" s="46">
        <v>206</v>
      </c>
      <c r="F161" s="46">
        <f>ROUND('Source (2)'!T140,O161)</f>
        <v>0</v>
      </c>
      <c r="G161" s="46" t="s">
        <v>252</v>
      </c>
      <c r="H161" s="46" t="s">
        <v>253</v>
      </c>
      <c r="I161" s="46"/>
      <c r="J161" s="46"/>
      <c r="K161" s="46">
        <v>206</v>
      </c>
      <c r="L161" s="46">
        <v>20</v>
      </c>
      <c r="M161" s="46">
        <v>3</v>
      </c>
      <c r="N161" s="46" t="s">
        <v>30</v>
      </c>
      <c r="O161" s="46">
        <v>2</v>
      </c>
      <c r="P161" s="46"/>
      <c r="Q161" s="46"/>
      <c r="R161" s="46"/>
      <c r="S161" s="46"/>
      <c r="T161" s="46"/>
      <c r="U161" s="46"/>
      <c r="V161" s="46"/>
      <c r="W161" s="46">
        <v>0</v>
      </c>
      <c r="X161" s="46">
        <v>1</v>
      </c>
      <c r="Y161" s="46">
        <v>0</v>
      </c>
      <c r="Z161" s="46"/>
      <c r="AA161" s="46"/>
      <c r="AB161" s="46"/>
    </row>
    <row r="162" spans="1:28" ht="13" x14ac:dyDescent="0.3">
      <c r="A162" s="46">
        <v>50</v>
      </c>
      <c r="B162" s="46">
        <v>0</v>
      </c>
      <c r="C162" s="46">
        <v>0</v>
      </c>
      <c r="D162" s="46">
        <v>1</v>
      </c>
      <c r="E162" s="46">
        <v>207</v>
      </c>
      <c r="F162" s="46">
        <f>'Source (2)'!U140</f>
        <v>0</v>
      </c>
      <c r="G162" s="46" t="s">
        <v>254</v>
      </c>
      <c r="H162" s="46" t="s">
        <v>255</v>
      </c>
      <c r="I162" s="46"/>
      <c r="J162" s="46"/>
      <c r="K162" s="46">
        <v>207</v>
      </c>
      <c r="L162" s="46">
        <v>21</v>
      </c>
      <c r="M162" s="46">
        <v>3</v>
      </c>
      <c r="N162" s="46" t="s">
        <v>30</v>
      </c>
      <c r="O162" s="46">
        <v>-1</v>
      </c>
      <c r="P162" s="46"/>
      <c r="Q162" s="46"/>
      <c r="R162" s="46"/>
      <c r="S162" s="46"/>
      <c r="T162" s="46"/>
      <c r="U162" s="46"/>
      <c r="V162" s="46"/>
      <c r="W162" s="46">
        <v>0</v>
      </c>
      <c r="X162" s="46">
        <v>1</v>
      </c>
      <c r="Y162" s="46">
        <v>0</v>
      </c>
      <c r="Z162" s="46"/>
      <c r="AA162" s="46"/>
      <c r="AB162" s="46"/>
    </row>
    <row r="163" spans="1:28" ht="13" x14ac:dyDescent="0.3">
      <c r="A163" s="46">
        <v>50</v>
      </c>
      <c r="B163" s="46">
        <v>0</v>
      </c>
      <c r="C163" s="46">
        <v>0</v>
      </c>
      <c r="D163" s="46">
        <v>1</v>
      </c>
      <c r="E163" s="46">
        <v>208</v>
      </c>
      <c r="F163" s="46">
        <f>'Source (2)'!V140</f>
        <v>0</v>
      </c>
      <c r="G163" s="46" t="s">
        <v>256</v>
      </c>
      <c r="H163" s="46" t="s">
        <v>257</v>
      </c>
      <c r="I163" s="46"/>
      <c r="J163" s="46"/>
      <c r="K163" s="46">
        <v>208</v>
      </c>
      <c r="L163" s="46">
        <v>22</v>
      </c>
      <c r="M163" s="46">
        <v>3</v>
      </c>
      <c r="N163" s="46" t="s">
        <v>30</v>
      </c>
      <c r="O163" s="46">
        <v>-1</v>
      </c>
      <c r="P163" s="46"/>
      <c r="Q163" s="46"/>
      <c r="R163" s="46"/>
      <c r="S163" s="46"/>
      <c r="T163" s="46"/>
      <c r="U163" s="46"/>
      <c r="V163" s="46"/>
      <c r="W163" s="46">
        <v>0</v>
      </c>
      <c r="X163" s="46">
        <v>1</v>
      </c>
      <c r="Y163" s="46">
        <v>0</v>
      </c>
      <c r="Z163" s="46"/>
      <c r="AA163" s="46"/>
      <c r="AB163" s="46"/>
    </row>
    <row r="164" spans="1:28" ht="13" x14ac:dyDescent="0.3">
      <c r="A164" s="46">
        <v>50</v>
      </c>
      <c r="B164" s="46">
        <v>0</v>
      </c>
      <c r="C164" s="46">
        <v>0</v>
      </c>
      <c r="D164" s="46">
        <v>1</v>
      </c>
      <c r="E164" s="46">
        <v>209</v>
      </c>
      <c r="F164" s="46">
        <f>ROUND('Source (2)'!W140,O164)</f>
        <v>0</v>
      </c>
      <c r="G164" s="46" t="s">
        <v>258</v>
      </c>
      <c r="H164" s="46" t="s">
        <v>259</v>
      </c>
      <c r="I164" s="46"/>
      <c r="J164" s="46"/>
      <c r="K164" s="46">
        <v>209</v>
      </c>
      <c r="L164" s="46">
        <v>23</v>
      </c>
      <c r="M164" s="46">
        <v>3</v>
      </c>
      <c r="N164" s="46" t="s">
        <v>30</v>
      </c>
      <c r="O164" s="46">
        <v>2</v>
      </c>
      <c r="P164" s="46"/>
      <c r="Q164" s="46"/>
      <c r="R164" s="46"/>
      <c r="S164" s="46"/>
      <c r="T164" s="46"/>
      <c r="U164" s="46"/>
      <c r="V164" s="46"/>
      <c r="W164" s="46">
        <v>0</v>
      </c>
      <c r="X164" s="46">
        <v>1</v>
      </c>
      <c r="Y164" s="46">
        <v>0</v>
      </c>
      <c r="Z164" s="46"/>
      <c r="AA164" s="46"/>
      <c r="AB164" s="46"/>
    </row>
    <row r="165" spans="1:28" ht="13" x14ac:dyDescent="0.3">
      <c r="A165" s="46">
        <v>50</v>
      </c>
      <c r="B165" s="46">
        <v>0</v>
      </c>
      <c r="C165" s="46">
        <v>0</v>
      </c>
      <c r="D165" s="46">
        <v>1</v>
      </c>
      <c r="E165" s="46">
        <v>233</v>
      </c>
      <c r="F165" s="46">
        <f>ROUND('Source (2)'!BD140,O165)</f>
        <v>0</v>
      </c>
      <c r="G165" s="46" t="s">
        <v>260</v>
      </c>
      <c r="H165" s="46" t="s">
        <v>261</v>
      </c>
      <c r="I165" s="46"/>
      <c r="J165" s="46"/>
      <c r="K165" s="46">
        <v>233</v>
      </c>
      <c r="L165" s="46">
        <v>24</v>
      </c>
      <c r="M165" s="46">
        <v>3</v>
      </c>
      <c r="N165" s="46" t="s">
        <v>30</v>
      </c>
      <c r="O165" s="46">
        <v>2</v>
      </c>
      <c r="P165" s="46"/>
      <c r="Q165" s="46"/>
      <c r="R165" s="46"/>
      <c r="S165" s="46"/>
      <c r="T165" s="46"/>
      <c r="U165" s="46"/>
      <c r="V165" s="46"/>
      <c r="W165" s="46">
        <v>0</v>
      </c>
      <c r="X165" s="46">
        <v>1</v>
      </c>
      <c r="Y165" s="46">
        <v>0</v>
      </c>
      <c r="Z165" s="46"/>
      <c r="AA165" s="46"/>
      <c r="AB165" s="46"/>
    </row>
    <row r="166" spans="1:28" ht="13" x14ac:dyDescent="0.3">
      <c r="A166" s="46">
        <v>50</v>
      </c>
      <c r="B166" s="46">
        <v>0</v>
      </c>
      <c r="C166" s="46">
        <v>0</v>
      </c>
      <c r="D166" s="46">
        <v>1</v>
      </c>
      <c r="E166" s="46">
        <v>210</v>
      </c>
      <c r="F166" s="46">
        <f>ROUND('Source (2)'!X140,O166)</f>
        <v>0</v>
      </c>
      <c r="G166" s="46" t="s">
        <v>262</v>
      </c>
      <c r="H166" s="46" t="s">
        <v>263</v>
      </c>
      <c r="I166" s="46"/>
      <c r="J166" s="46"/>
      <c r="K166" s="46">
        <v>210</v>
      </c>
      <c r="L166" s="46">
        <v>25</v>
      </c>
      <c r="M166" s="46">
        <v>3</v>
      </c>
      <c r="N166" s="46" t="s">
        <v>30</v>
      </c>
      <c r="O166" s="46">
        <v>2</v>
      </c>
      <c r="P166" s="46"/>
      <c r="Q166" s="46"/>
      <c r="R166" s="46"/>
      <c r="S166" s="46"/>
      <c r="T166" s="46"/>
      <c r="U166" s="46"/>
      <c r="V166" s="46"/>
      <c r="W166" s="46">
        <v>0</v>
      </c>
      <c r="X166" s="46">
        <v>1</v>
      </c>
      <c r="Y166" s="46">
        <v>0</v>
      </c>
      <c r="Z166" s="46"/>
      <c r="AA166" s="46"/>
      <c r="AB166" s="46"/>
    </row>
    <row r="167" spans="1:28" ht="13" x14ac:dyDescent="0.3">
      <c r="A167" s="46">
        <v>50</v>
      </c>
      <c r="B167" s="46">
        <v>0</v>
      </c>
      <c r="C167" s="46">
        <v>0</v>
      </c>
      <c r="D167" s="46">
        <v>1</v>
      </c>
      <c r="E167" s="46">
        <v>211</v>
      </c>
      <c r="F167" s="46">
        <f>ROUND('Source (2)'!Y140,O167)</f>
        <v>0</v>
      </c>
      <c r="G167" s="46" t="s">
        <v>264</v>
      </c>
      <c r="H167" s="46" t="s">
        <v>265</v>
      </c>
      <c r="I167" s="46"/>
      <c r="J167" s="46"/>
      <c r="K167" s="46">
        <v>211</v>
      </c>
      <c r="L167" s="46">
        <v>26</v>
      </c>
      <c r="M167" s="46">
        <v>3</v>
      </c>
      <c r="N167" s="46" t="s">
        <v>30</v>
      </c>
      <c r="O167" s="46">
        <v>2</v>
      </c>
      <c r="P167" s="46"/>
      <c r="Q167" s="46"/>
      <c r="R167" s="46"/>
      <c r="S167" s="46"/>
      <c r="T167" s="46"/>
      <c r="U167" s="46"/>
      <c r="V167" s="46"/>
      <c r="W167" s="46">
        <v>0</v>
      </c>
      <c r="X167" s="46">
        <v>1</v>
      </c>
      <c r="Y167" s="46">
        <v>0</v>
      </c>
      <c r="Z167" s="46"/>
      <c r="AA167" s="46"/>
      <c r="AB167" s="46"/>
    </row>
    <row r="168" spans="1:28" ht="13" x14ac:dyDescent="0.3">
      <c r="A168" s="46">
        <v>50</v>
      </c>
      <c r="B168" s="46">
        <v>0</v>
      </c>
      <c r="C168" s="46">
        <v>0</v>
      </c>
      <c r="D168" s="46">
        <v>1</v>
      </c>
      <c r="E168" s="46">
        <v>224</v>
      </c>
      <c r="F168" s="46">
        <f>ROUND('Source (2)'!AR140,O168)</f>
        <v>0</v>
      </c>
      <c r="G168" s="46" t="s">
        <v>266</v>
      </c>
      <c r="H168" s="46" t="s">
        <v>267</v>
      </c>
      <c r="I168" s="46"/>
      <c r="J168" s="46"/>
      <c r="K168" s="46">
        <v>224</v>
      </c>
      <c r="L168" s="46">
        <v>27</v>
      </c>
      <c r="M168" s="46">
        <v>3</v>
      </c>
      <c r="N168" s="46" t="s">
        <v>30</v>
      </c>
      <c r="O168" s="46">
        <v>2</v>
      </c>
      <c r="P168" s="46"/>
      <c r="Q168" s="46"/>
      <c r="R168" s="46"/>
      <c r="S168" s="46"/>
      <c r="T168" s="46"/>
      <c r="U168" s="46"/>
      <c r="V168" s="46"/>
      <c r="W168" s="46">
        <v>46825</v>
      </c>
      <c r="X168" s="46">
        <v>1</v>
      </c>
      <c r="Y168" s="46">
        <v>46825</v>
      </c>
      <c r="Z168" s="46"/>
      <c r="AA168" s="46"/>
      <c r="AB168" s="46"/>
    </row>
    <row r="169" spans="1:28" ht="13" x14ac:dyDescent="0.3">
      <c r="A169" s="46">
        <v>50</v>
      </c>
      <c r="B169" s="46">
        <v>1</v>
      </c>
      <c r="C169" s="46">
        <v>0</v>
      </c>
      <c r="D169" s="46">
        <v>2</v>
      </c>
      <c r="E169" s="46">
        <v>0</v>
      </c>
      <c r="F169" s="46">
        <f>ROUND(F168,O169)</f>
        <v>0</v>
      </c>
      <c r="G169" s="46" t="s">
        <v>268</v>
      </c>
      <c r="H169" s="46" t="s">
        <v>269</v>
      </c>
      <c r="I169" s="46"/>
      <c r="J169" s="46"/>
      <c r="K169" s="46">
        <v>212</v>
      </c>
      <c r="L169" s="46">
        <v>28</v>
      </c>
      <c r="M169" s="46">
        <v>0</v>
      </c>
      <c r="N169" s="46" t="s">
        <v>30</v>
      </c>
      <c r="O169" s="46">
        <v>2</v>
      </c>
      <c r="P169" s="46"/>
      <c r="Q169" s="46"/>
      <c r="R169" s="46"/>
      <c r="S169" s="46"/>
      <c r="T169" s="46"/>
      <c r="U169" s="46"/>
      <c r="V169" s="46"/>
      <c r="W169" s="46">
        <v>46825</v>
      </c>
      <c r="X169" s="46">
        <v>1</v>
      </c>
      <c r="Y169" s="46">
        <v>46825</v>
      </c>
      <c r="Z169" s="46"/>
      <c r="AA169" s="46"/>
      <c r="AB169" s="46"/>
    </row>
    <row r="170" spans="1:28" ht="13" x14ac:dyDescent="0.3">
      <c r="A170" s="46">
        <v>50</v>
      </c>
      <c r="B170" s="46">
        <v>1</v>
      </c>
      <c r="C170" s="46">
        <v>0</v>
      </c>
      <c r="D170" s="46">
        <v>2</v>
      </c>
      <c r="E170" s="46">
        <v>0</v>
      </c>
      <c r="F170" s="46">
        <f>ROUND(F168-F155-F154,O170)</f>
        <v>0</v>
      </c>
      <c r="G170" s="46" t="s">
        <v>270</v>
      </c>
      <c r="H170" s="46" t="s">
        <v>271</v>
      </c>
      <c r="I170" s="46"/>
      <c r="J170" s="46"/>
      <c r="K170" s="46">
        <v>212</v>
      </c>
      <c r="L170" s="46">
        <v>29</v>
      </c>
      <c r="M170" s="46">
        <v>0</v>
      </c>
      <c r="N170" s="46" t="s">
        <v>30</v>
      </c>
      <c r="O170" s="46">
        <v>2</v>
      </c>
      <c r="P170" s="46"/>
      <c r="Q170" s="46"/>
      <c r="R170" s="46"/>
      <c r="S170" s="46"/>
      <c r="T170" s="46"/>
      <c r="U170" s="46"/>
      <c r="V170" s="46"/>
      <c r="W170" s="46">
        <v>46825</v>
      </c>
      <c r="X170" s="46">
        <v>1</v>
      </c>
      <c r="Y170" s="46">
        <v>46825</v>
      </c>
      <c r="Z170" s="46"/>
      <c r="AA170" s="46"/>
      <c r="AB170" s="46"/>
    </row>
    <row r="171" spans="1:28" ht="13" x14ac:dyDescent="0.3">
      <c r="A171" s="46">
        <v>50</v>
      </c>
      <c r="B171" s="46">
        <v>1</v>
      </c>
      <c r="C171" s="46">
        <v>0</v>
      </c>
      <c r="D171" s="46">
        <v>2</v>
      </c>
      <c r="E171" s="46">
        <v>0</v>
      </c>
      <c r="F171" s="46">
        <f>ROUND(F167,O171)</f>
        <v>0</v>
      </c>
      <c r="G171" s="46" t="s">
        <v>25</v>
      </c>
      <c r="H171" s="46" t="s">
        <v>25</v>
      </c>
      <c r="I171" s="46"/>
      <c r="J171" s="46"/>
      <c r="K171" s="46">
        <v>212</v>
      </c>
      <c r="L171" s="46">
        <v>30</v>
      </c>
      <c r="M171" s="46">
        <v>0</v>
      </c>
      <c r="N171" s="46" t="s">
        <v>30</v>
      </c>
      <c r="O171" s="46">
        <v>2</v>
      </c>
      <c r="P171" s="46"/>
      <c r="Q171" s="46"/>
      <c r="R171" s="46"/>
      <c r="S171" s="46"/>
      <c r="T171" s="46"/>
      <c r="U171" s="46"/>
      <c r="V171" s="46"/>
      <c r="W171" s="46">
        <v>0</v>
      </c>
      <c r="X171" s="46">
        <v>1</v>
      </c>
      <c r="Y171" s="46">
        <v>0</v>
      </c>
      <c r="Z171" s="46"/>
      <c r="AA171" s="46"/>
      <c r="AB171" s="46"/>
    </row>
    <row r="172" spans="1:28" ht="13" x14ac:dyDescent="0.3">
      <c r="A172" s="46">
        <v>50</v>
      </c>
      <c r="B172" s="46">
        <v>1</v>
      </c>
      <c r="C172" s="46">
        <v>0</v>
      </c>
      <c r="D172" s="46">
        <v>2</v>
      </c>
      <c r="E172" s="46">
        <v>0</v>
      </c>
      <c r="F172" s="46">
        <f>ROUND(F177*0.3,O172)</f>
        <v>0</v>
      </c>
      <c r="G172" s="46" t="s">
        <v>272</v>
      </c>
      <c r="H172" s="46" t="s">
        <v>272</v>
      </c>
      <c r="I172" s="46"/>
      <c r="J172" s="46"/>
      <c r="K172" s="46">
        <v>212</v>
      </c>
      <c r="L172" s="46">
        <v>31</v>
      </c>
      <c r="M172" s="46">
        <v>0</v>
      </c>
      <c r="N172" s="46" t="s">
        <v>30</v>
      </c>
      <c r="O172" s="46">
        <v>2</v>
      </c>
      <c r="P172" s="46"/>
      <c r="Q172" s="46"/>
      <c r="R172" s="46"/>
      <c r="S172" s="46"/>
      <c r="T172" s="46"/>
      <c r="U172" s="46"/>
      <c r="V172" s="46"/>
      <c r="W172" s="46">
        <v>0</v>
      </c>
      <c r="X172" s="46">
        <v>1</v>
      </c>
      <c r="Y172" s="46">
        <v>0</v>
      </c>
      <c r="Z172" s="46"/>
      <c r="AA172" s="46"/>
      <c r="AB172" s="46"/>
    </row>
    <row r="173" spans="1:28" ht="13" x14ac:dyDescent="0.3">
      <c r="A173" s="46">
        <v>50</v>
      </c>
      <c r="B173" s="46">
        <v>1</v>
      </c>
      <c r="C173" s="46">
        <v>0</v>
      </c>
      <c r="D173" s="46">
        <v>2</v>
      </c>
      <c r="E173" s="46">
        <v>0</v>
      </c>
      <c r="F173" s="46">
        <f>ROUND(F170-F171-F172,O173)</f>
        <v>0</v>
      </c>
      <c r="G173" s="46" t="s">
        <v>273</v>
      </c>
      <c r="H173" s="46" t="s">
        <v>274</v>
      </c>
      <c r="I173" s="46"/>
      <c r="J173" s="46"/>
      <c r="K173" s="46">
        <v>212</v>
      </c>
      <c r="L173" s="46">
        <v>32</v>
      </c>
      <c r="M173" s="46">
        <v>0</v>
      </c>
      <c r="N173" s="46" t="s">
        <v>30</v>
      </c>
      <c r="O173" s="46">
        <v>2</v>
      </c>
      <c r="P173" s="46"/>
      <c r="Q173" s="46"/>
      <c r="R173" s="46"/>
      <c r="S173" s="46"/>
      <c r="T173" s="46"/>
      <c r="U173" s="46"/>
      <c r="V173" s="46"/>
      <c r="W173" s="46">
        <v>46825</v>
      </c>
      <c r="X173" s="46">
        <v>1</v>
      </c>
      <c r="Y173" s="46">
        <v>46825</v>
      </c>
      <c r="Z173" s="46"/>
      <c r="AA173" s="46"/>
      <c r="AB173" s="46"/>
    </row>
    <row r="174" spans="1:28" ht="13" x14ac:dyDescent="0.3">
      <c r="A174" s="46">
        <v>50</v>
      </c>
      <c r="B174" s="46">
        <v>1</v>
      </c>
      <c r="C174" s="46">
        <v>0</v>
      </c>
      <c r="D174" s="46">
        <v>2</v>
      </c>
      <c r="E174" s="46">
        <v>0</v>
      </c>
      <c r="F174" s="46">
        <f>ROUND(F173*0.2,O174)</f>
        <v>0</v>
      </c>
      <c r="G174" s="46" t="s">
        <v>42</v>
      </c>
      <c r="H174" s="46" t="s">
        <v>42</v>
      </c>
      <c r="I174" s="46"/>
      <c r="J174" s="46"/>
      <c r="K174" s="46">
        <v>212</v>
      </c>
      <c r="L174" s="46">
        <v>33</v>
      </c>
      <c r="M174" s="46">
        <v>0</v>
      </c>
      <c r="N174" s="46" t="s">
        <v>30</v>
      </c>
      <c r="O174" s="46">
        <v>2</v>
      </c>
      <c r="P174" s="46"/>
      <c r="Q174" s="46"/>
      <c r="R174" s="46"/>
      <c r="S174" s="46"/>
      <c r="T174" s="46"/>
      <c r="U174" s="46"/>
      <c r="V174" s="46"/>
      <c r="W174" s="46">
        <v>9365</v>
      </c>
      <c r="X174" s="46">
        <v>1</v>
      </c>
      <c r="Y174" s="46">
        <v>9365</v>
      </c>
      <c r="Z174" s="46"/>
      <c r="AA174" s="46"/>
      <c r="AB174" s="46"/>
    </row>
    <row r="175" spans="1:28" ht="13" x14ac:dyDescent="0.3">
      <c r="A175" s="46">
        <v>50</v>
      </c>
      <c r="B175" s="46">
        <v>1</v>
      </c>
      <c r="C175" s="46">
        <v>0</v>
      </c>
      <c r="D175" s="46">
        <v>2</v>
      </c>
      <c r="E175" s="46">
        <v>0</v>
      </c>
      <c r="F175" s="46">
        <f>ROUND(F173+F174,O175)</f>
        <v>0</v>
      </c>
      <c r="G175" s="46" t="s">
        <v>43</v>
      </c>
      <c r="H175" s="46" t="s">
        <v>275</v>
      </c>
      <c r="I175" s="46"/>
      <c r="J175" s="46"/>
      <c r="K175" s="46">
        <v>212</v>
      </c>
      <c r="L175" s="46">
        <v>34</v>
      </c>
      <c r="M175" s="46">
        <v>0</v>
      </c>
      <c r="N175" s="46" t="s">
        <v>30</v>
      </c>
      <c r="O175" s="46">
        <v>2</v>
      </c>
      <c r="P175" s="46"/>
      <c r="Q175" s="46"/>
      <c r="R175" s="46"/>
      <c r="S175" s="46"/>
      <c r="T175" s="46"/>
      <c r="U175" s="46"/>
      <c r="V175" s="46"/>
      <c r="W175" s="46">
        <v>56190</v>
      </c>
      <c r="X175" s="46">
        <v>1</v>
      </c>
      <c r="Y175" s="46">
        <v>56190</v>
      </c>
      <c r="Z175" s="46"/>
      <c r="AA175" s="46"/>
      <c r="AB175" s="46"/>
    </row>
    <row r="176" spans="1:28" ht="13" x14ac:dyDescent="0.3">
      <c r="A176" s="46">
        <v>50</v>
      </c>
      <c r="B176" s="46">
        <v>1</v>
      </c>
      <c r="C176" s="46">
        <v>0</v>
      </c>
      <c r="D176" s="46">
        <v>2</v>
      </c>
      <c r="E176" s="46">
        <v>0</v>
      </c>
      <c r="F176" s="46">
        <f>ROUND(F155,O176)</f>
        <v>0</v>
      </c>
      <c r="G176" s="46" t="s">
        <v>276</v>
      </c>
      <c r="H176" s="46" t="s">
        <v>277</v>
      </c>
      <c r="I176" s="46"/>
      <c r="J176" s="46"/>
      <c r="K176" s="46">
        <v>212</v>
      </c>
      <c r="L176" s="46">
        <v>35</v>
      </c>
      <c r="M176" s="46">
        <v>0</v>
      </c>
      <c r="N176" s="46" t="s">
        <v>30</v>
      </c>
      <c r="O176" s="46">
        <v>2</v>
      </c>
      <c r="P176" s="46"/>
      <c r="Q176" s="46"/>
      <c r="R176" s="46"/>
      <c r="S176" s="46"/>
      <c r="T176" s="46"/>
      <c r="U176" s="46"/>
      <c r="V176" s="46"/>
      <c r="W176" s="46">
        <v>0</v>
      </c>
      <c r="X176" s="46">
        <v>1</v>
      </c>
      <c r="Y176" s="46">
        <v>0</v>
      </c>
      <c r="Z176" s="46"/>
      <c r="AA176" s="46"/>
      <c r="AB176" s="46"/>
    </row>
    <row r="177" spans="1:245" ht="13" x14ac:dyDescent="0.3">
      <c r="A177" s="46">
        <v>50</v>
      </c>
      <c r="B177" s="46">
        <v>1</v>
      </c>
      <c r="C177" s="46">
        <v>0</v>
      </c>
      <c r="D177" s="46">
        <v>2</v>
      </c>
      <c r="E177" s="46">
        <v>0</v>
      </c>
      <c r="F177" s="46">
        <f>ROUND(F154,O177)</f>
        <v>0</v>
      </c>
      <c r="G177" s="46" t="s">
        <v>278</v>
      </c>
      <c r="H177" s="46" t="s">
        <v>279</v>
      </c>
      <c r="I177" s="46"/>
      <c r="J177" s="46"/>
      <c r="K177" s="46">
        <v>212</v>
      </c>
      <c r="L177" s="46">
        <v>36</v>
      </c>
      <c r="M177" s="46">
        <v>0</v>
      </c>
      <c r="N177" s="46" t="s">
        <v>30</v>
      </c>
      <c r="O177" s="46">
        <v>2</v>
      </c>
      <c r="P177" s="46"/>
      <c r="Q177" s="46"/>
      <c r="R177" s="46"/>
      <c r="S177" s="46"/>
      <c r="T177" s="46"/>
      <c r="U177" s="46"/>
      <c r="V177" s="46"/>
      <c r="W177" s="46">
        <v>0</v>
      </c>
      <c r="X177" s="46">
        <v>1</v>
      </c>
      <c r="Y177" s="46">
        <v>0</v>
      </c>
      <c r="Z177" s="46"/>
      <c r="AA177" s="46"/>
      <c r="AB177" s="46"/>
    </row>
    <row r="178" spans="1:245" ht="13" x14ac:dyDescent="0.3">
      <c r="A178" s="46">
        <v>50</v>
      </c>
      <c r="B178" s="46">
        <v>1</v>
      </c>
      <c r="C178" s="46">
        <v>0</v>
      </c>
      <c r="D178" s="46">
        <v>2</v>
      </c>
      <c r="E178" s="46">
        <v>0</v>
      </c>
      <c r="F178" s="46">
        <f>ROUND(F175+F176+F177,O178)</f>
        <v>0</v>
      </c>
      <c r="G178" s="46" t="s">
        <v>266</v>
      </c>
      <c r="H178" s="46" t="s">
        <v>280</v>
      </c>
      <c r="I178" s="46"/>
      <c r="J178" s="46"/>
      <c r="K178" s="46">
        <v>212</v>
      </c>
      <c r="L178" s="46">
        <v>37</v>
      </c>
      <c r="M178" s="46">
        <v>0</v>
      </c>
      <c r="N178" s="46" t="s">
        <v>30</v>
      </c>
      <c r="O178" s="46">
        <v>2</v>
      </c>
      <c r="P178" s="46"/>
      <c r="Q178" s="46"/>
      <c r="R178" s="46"/>
      <c r="S178" s="46"/>
      <c r="T178" s="46"/>
      <c r="U178" s="46"/>
      <c r="V178" s="46"/>
      <c r="W178" s="46">
        <v>56190</v>
      </c>
      <c r="X178" s="46">
        <v>1</v>
      </c>
      <c r="Y178" s="46">
        <v>56190</v>
      </c>
      <c r="Z178" s="46"/>
      <c r="AA178" s="46"/>
      <c r="AB178" s="46"/>
    </row>
    <row r="180" spans="1:245" ht="13" x14ac:dyDescent="0.3">
      <c r="A180" s="43">
        <v>4</v>
      </c>
      <c r="B180" s="43">
        <v>1</v>
      </c>
      <c r="C180" s="43"/>
      <c r="D180" s="43">
        <f>ROW(A189)</f>
        <v>189</v>
      </c>
      <c r="E180" s="43"/>
      <c r="F180" s="43" t="s">
        <v>174</v>
      </c>
      <c r="G180" s="43" t="s">
        <v>307</v>
      </c>
      <c r="H180" s="43" t="s">
        <v>30</v>
      </c>
      <c r="I180" s="43">
        <v>0</v>
      </c>
      <c r="J180" s="43"/>
      <c r="K180" s="43">
        <v>-1</v>
      </c>
      <c r="L180" s="43"/>
      <c r="M180" s="43" t="s">
        <v>30</v>
      </c>
      <c r="N180" s="43"/>
      <c r="O180" s="43"/>
      <c r="P180" s="43"/>
      <c r="Q180" s="43"/>
      <c r="R180" s="43"/>
      <c r="S180" s="43">
        <v>0</v>
      </c>
      <c r="T180" s="43"/>
      <c r="U180" s="43" t="s">
        <v>30</v>
      </c>
      <c r="V180" s="43">
        <v>0</v>
      </c>
      <c r="W180" s="43"/>
      <c r="X180" s="43"/>
      <c r="Y180" s="43"/>
      <c r="Z180" s="43"/>
      <c r="AA180" s="43"/>
      <c r="AB180" s="43" t="s">
        <v>30</v>
      </c>
      <c r="AC180" s="43" t="s">
        <v>30</v>
      </c>
      <c r="AD180" s="43" t="s">
        <v>30</v>
      </c>
      <c r="AE180" s="43" t="s">
        <v>30</v>
      </c>
      <c r="AF180" s="43" t="s">
        <v>30</v>
      </c>
      <c r="AG180" s="43" t="s">
        <v>30</v>
      </c>
      <c r="AH180" s="43"/>
      <c r="AI180" s="43"/>
      <c r="AJ180" s="43"/>
      <c r="AK180" s="43"/>
      <c r="AL180" s="43"/>
      <c r="AM180" s="43"/>
      <c r="AN180" s="43"/>
      <c r="AO180" s="43"/>
      <c r="AP180" s="43" t="s">
        <v>30</v>
      </c>
      <c r="AQ180" s="43" t="s">
        <v>30</v>
      </c>
      <c r="AR180" s="43" t="s">
        <v>30</v>
      </c>
      <c r="AS180" s="43"/>
      <c r="AT180" s="43"/>
      <c r="AU180" s="43"/>
      <c r="AV180" s="43"/>
      <c r="AW180" s="43"/>
      <c r="AX180" s="43"/>
      <c r="AY180" s="43"/>
      <c r="AZ180" s="43" t="s">
        <v>30</v>
      </c>
      <c r="BA180" s="43"/>
      <c r="BB180" s="43" t="s">
        <v>30</v>
      </c>
      <c r="BC180" s="43" t="s">
        <v>30</v>
      </c>
      <c r="BD180" s="43" t="s">
        <v>30</v>
      </c>
      <c r="BE180" s="43" t="s">
        <v>30</v>
      </c>
      <c r="BF180" s="43" t="s">
        <v>30</v>
      </c>
      <c r="BG180" s="43" t="s">
        <v>30</v>
      </c>
      <c r="BH180" s="43" t="s">
        <v>30</v>
      </c>
      <c r="BI180" s="43" t="s">
        <v>30</v>
      </c>
      <c r="BJ180" s="43" t="s">
        <v>30</v>
      </c>
      <c r="BK180" s="43" t="s">
        <v>30</v>
      </c>
      <c r="BL180" s="43" t="s">
        <v>30</v>
      </c>
      <c r="BM180" s="43" t="s">
        <v>30</v>
      </c>
      <c r="BN180" s="43" t="s">
        <v>30</v>
      </c>
      <c r="BO180" s="43" t="s">
        <v>30</v>
      </c>
      <c r="BP180" s="43" t="s">
        <v>30</v>
      </c>
      <c r="BQ180" s="43"/>
      <c r="BR180" s="43"/>
      <c r="BS180" s="43"/>
      <c r="BT180" s="43"/>
      <c r="BU180" s="43"/>
      <c r="BV180" s="43"/>
      <c r="BW180" s="43"/>
      <c r="BX180" s="43">
        <v>0</v>
      </c>
      <c r="BY180" s="43"/>
      <c r="BZ180" s="43"/>
      <c r="CA180" s="43"/>
      <c r="CB180" s="43"/>
      <c r="CC180" s="43"/>
      <c r="CD180" s="43"/>
      <c r="CE180" s="43"/>
      <c r="CF180" s="43"/>
      <c r="CG180" s="43"/>
      <c r="CH180" s="43"/>
      <c r="CI180" s="43"/>
      <c r="CJ180" s="43">
        <v>0</v>
      </c>
    </row>
    <row r="182" spans="1:245" ht="13" x14ac:dyDescent="0.3">
      <c r="A182" s="44">
        <v>52</v>
      </c>
      <c r="B182" s="44">
        <f t="shared" ref="B182:G182" si="95">B189</f>
        <v>1</v>
      </c>
      <c r="C182" s="44">
        <f t="shared" si="95"/>
        <v>4</v>
      </c>
      <c r="D182" s="44">
        <f t="shared" si="95"/>
        <v>180</v>
      </c>
      <c r="E182" s="44">
        <f t="shared" si="95"/>
        <v>0</v>
      </c>
      <c r="F182" s="44" t="str">
        <f t="shared" si="95"/>
        <v>Новый раздел</v>
      </c>
      <c r="G182" s="44" t="str">
        <f t="shared" si="95"/>
        <v>Ремонт газонов -300м2</v>
      </c>
      <c r="H182" s="44"/>
      <c r="I182" s="44"/>
      <c r="J182" s="44"/>
      <c r="K182" s="44"/>
      <c r="L182" s="44"/>
      <c r="M182" s="44"/>
      <c r="N182" s="44"/>
      <c r="O182" s="44">
        <f t="shared" ref="O182:BZ182" si="96">O189</f>
        <v>49272.65</v>
      </c>
      <c r="P182" s="44">
        <f t="shared" si="96"/>
        <v>28780.63</v>
      </c>
      <c r="Q182" s="44">
        <f t="shared" si="96"/>
        <v>145.49</v>
      </c>
      <c r="R182" s="44">
        <f t="shared" si="96"/>
        <v>51.35</v>
      </c>
      <c r="S182" s="44">
        <f t="shared" si="96"/>
        <v>20346.53</v>
      </c>
      <c r="T182" s="44">
        <f t="shared" si="96"/>
        <v>0</v>
      </c>
      <c r="U182" s="44">
        <f t="shared" si="96"/>
        <v>103.05</v>
      </c>
      <c r="V182" s="44">
        <f t="shared" si="96"/>
        <v>0</v>
      </c>
      <c r="W182" s="44">
        <f t="shared" si="96"/>
        <v>0</v>
      </c>
      <c r="X182" s="44">
        <f t="shared" si="96"/>
        <v>14242.57</v>
      </c>
      <c r="Y182" s="44">
        <f t="shared" si="96"/>
        <v>2034.65</v>
      </c>
      <c r="Z182" s="44">
        <f t="shared" si="96"/>
        <v>0</v>
      </c>
      <c r="AA182" s="44">
        <f t="shared" si="96"/>
        <v>0</v>
      </c>
      <c r="AB182" s="44">
        <f t="shared" si="96"/>
        <v>49272.65</v>
      </c>
      <c r="AC182" s="44">
        <f t="shared" si="96"/>
        <v>28780.63</v>
      </c>
      <c r="AD182" s="44">
        <f t="shared" si="96"/>
        <v>145.49</v>
      </c>
      <c r="AE182" s="44">
        <f t="shared" si="96"/>
        <v>51.35</v>
      </c>
      <c r="AF182" s="44">
        <f t="shared" si="96"/>
        <v>20346.53</v>
      </c>
      <c r="AG182" s="44">
        <f t="shared" si="96"/>
        <v>0</v>
      </c>
      <c r="AH182" s="44">
        <f t="shared" si="96"/>
        <v>103.05</v>
      </c>
      <c r="AI182" s="44">
        <f t="shared" si="96"/>
        <v>0</v>
      </c>
      <c r="AJ182" s="44">
        <f t="shared" si="96"/>
        <v>0</v>
      </c>
      <c r="AK182" s="44">
        <f t="shared" si="96"/>
        <v>14242.57</v>
      </c>
      <c r="AL182" s="44">
        <f t="shared" si="96"/>
        <v>2034.65</v>
      </c>
      <c r="AM182" s="44">
        <f t="shared" si="96"/>
        <v>0</v>
      </c>
      <c r="AN182" s="44">
        <f t="shared" si="96"/>
        <v>0</v>
      </c>
      <c r="AO182" s="44">
        <f t="shared" si="96"/>
        <v>0</v>
      </c>
      <c r="AP182" s="44">
        <f t="shared" si="96"/>
        <v>0</v>
      </c>
      <c r="AQ182" s="44">
        <f t="shared" si="96"/>
        <v>0</v>
      </c>
      <c r="AR182" s="44">
        <f t="shared" si="96"/>
        <v>65605.33</v>
      </c>
      <c r="AS182" s="44">
        <f t="shared" si="96"/>
        <v>0</v>
      </c>
      <c r="AT182" s="44">
        <f t="shared" si="96"/>
        <v>0</v>
      </c>
      <c r="AU182" s="44">
        <f t="shared" si="96"/>
        <v>65605.33</v>
      </c>
      <c r="AV182" s="44">
        <f t="shared" si="96"/>
        <v>28780.63</v>
      </c>
      <c r="AW182" s="44">
        <f t="shared" si="96"/>
        <v>28780.63</v>
      </c>
      <c r="AX182" s="44">
        <f t="shared" si="96"/>
        <v>0</v>
      </c>
      <c r="AY182" s="44">
        <f t="shared" si="96"/>
        <v>28780.63</v>
      </c>
      <c r="AZ182" s="44">
        <f t="shared" si="96"/>
        <v>0</v>
      </c>
      <c r="BA182" s="44">
        <f t="shared" si="96"/>
        <v>0</v>
      </c>
      <c r="BB182" s="44">
        <f t="shared" si="96"/>
        <v>0</v>
      </c>
      <c r="BC182" s="44">
        <f t="shared" si="96"/>
        <v>0</v>
      </c>
      <c r="BD182" s="44">
        <f t="shared" si="96"/>
        <v>0</v>
      </c>
      <c r="BE182" s="44">
        <f t="shared" si="96"/>
        <v>0</v>
      </c>
      <c r="BF182" s="44">
        <f t="shared" si="96"/>
        <v>0</v>
      </c>
      <c r="BG182" s="44">
        <f t="shared" si="96"/>
        <v>0</v>
      </c>
      <c r="BH182" s="44">
        <f t="shared" si="96"/>
        <v>0</v>
      </c>
      <c r="BI182" s="44">
        <f t="shared" si="96"/>
        <v>0</v>
      </c>
      <c r="BJ182" s="44">
        <f t="shared" si="96"/>
        <v>0</v>
      </c>
      <c r="BK182" s="44">
        <f t="shared" si="96"/>
        <v>0</v>
      </c>
      <c r="BL182" s="44">
        <f t="shared" si="96"/>
        <v>0</v>
      </c>
      <c r="BM182" s="44">
        <f t="shared" si="96"/>
        <v>0</v>
      </c>
      <c r="BN182" s="44">
        <f t="shared" si="96"/>
        <v>0</v>
      </c>
      <c r="BO182" s="44">
        <f t="shared" si="96"/>
        <v>0</v>
      </c>
      <c r="BP182" s="44">
        <f t="shared" si="96"/>
        <v>0</v>
      </c>
      <c r="BQ182" s="44">
        <f t="shared" si="96"/>
        <v>0</v>
      </c>
      <c r="BR182" s="44">
        <f t="shared" si="96"/>
        <v>0</v>
      </c>
      <c r="BS182" s="44">
        <f t="shared" si="96"/>
        <v>0</v>
      </c>
      <c r="BT182" s="44">
        <f t="shared" si="96"/>
        <v>0</v>
      </c>
      <c r="BU182" s="44">
        <f t="shared" si="96"/>
        <v>0</v>
      </c>
      <c r="BV182" s="44">
        <f t="shared" si="96"/>
        <v>0</v>
      </c>
      <c r="BW182" s="44">
        <f t="shared" si="96"/>
        <v>0</v>
      </c>
      <c r="BX182" s="44">
        <f t="shared" si="96"/>
        <v>0</v>
      </c>
      <c r="BY182" s="44">
        <f t="shared" si="96"/>
        <v>0</v>
      </c>
      <c r="BZ182" s="44">
        <f t="shared" si="96"/>
        <v>0</v>
      </c>
      <c r="CA182" s="44">
        <f t="shared" ref="CA182:EL182" si="97">CA189</f>
        <v>65605.33</v>
      </c>
      <c r="CB182" s="44">
        <f t="shared" si="97"/>
        <v>0</v>
      </c>
      <c r="CC182" s="44">
        <f t="shared" si="97"/>
        <v>0</v>
      </c>
      <c r="CD182" s="44">
        <f t="shared" si="97"/>
        <v>65605.33</v>
      </c>
      <c r="CE182" s="44">
        <f t="shared" si="97"/>
        <v>28780.63</v>
      </c>
      <c r="CF182" s="44">
        <f t="shared" si="97"/>
        <v>28780.63</v>
      </c>
      <c r="CG182" s="44">
        <f t="shared" si="97"/>
        <v>0</v>
      </c>
      <c r="CH182" s="44">
        <f t="shared" si="97"/>
        <v>28780.63</v>
      </c>
      <c r="CI182" s="44">
        <f t="shared" si="97"/>
        <v>0</v>
      </c>
      <c r="CJ182" s="44">
        <f t="shared" si="97"/>
        <v>0</v>
      </c>
      <c r="CK182" s="44">
        <f t="shared" si="97"/>
        <v>0</v>
      </c>
      <c r="CL182" s="44">
        <f t="shared" si="97"/>
        <v>0</v>
      </c>
      <c r="CM182" s="44">
        <f t="shared" si="97"/>
        <v>0</v>
      </c>
      <c r="CN182" s="44">
        <f t="shared" si="97"/>
        <v>0</v>
      </c>
      <c r="CO182" s="44">
        <f t="shared" si="97"/>
        <v>0</v>
      </c>
      <c r="CP182" s="44">
        <f t="shared" si="97"/>
        <v>0</v>
      </c>
      <c r="CQ182" s="44">
        <f t="shared" si="97"/>
        <v>0</v>
      </c>
      <c r="CR182" s="44">
        <f t="shared" si="97"/>
        <v>0</v>
      </c>
      <c r="CS182" s="44">
        <f t="shared" si="97"/>
        <v>0</v>
      </c>
      <c r="CT182" s="44">
        <f t="shared" si="97"/>
        <v>0</v>
      </c>
      <c r="CU182" s="44">
        <f t="shared" si="97"/>
        <v>0</v>
      </c>
      <c r="CV182" s="44">
        <f t="shared" si="97"/>
        <v>0</v>
      </c>
      <c r="CW182" s="44">
        <f t="shared" si="97"/>
        <v>0</v>
      </c>
      <c r="CX182" s="44">
        <f t="shared" si="97"/>
        <v>0</v>
      </c>
      <c r="CY182" s="44">
        <f t="shared" si="97"/>
        <v>0</v>
      </c>
      <c r="CZ182" s="44">
        <f t="shared" si="97"/>
        <v>0</v>
      </c>
      <c r="DA182" s="44">
        <f t="shared" si="97"/>
        <v>0</v>
      </c>
      <c r="DB182" s="44">
        <f t="shared" si="97"/>
        <v>0</v>
      </c>
      <c r="DC182" s="44">
        <f t="shared" si="97"/>
        <v>0</v>
      </c>
      <c r="DD182" s="44">
        <f t="shared" si="97"/>
        <v>0</v>
      </c>
      <c r="DE182" s="44">
        <f t="shared" si="97"/>
        <v>0</v>
      </c>
      <c r="DF182" s="44">
        <f t="shared" si="97"/>
        <v>0</v>
      </c>
      <c r="DG182" s="45">
        <f t="shared" si="97"/>
        <v>0</v>
      </c>
      <c r="DH182" s="45">
        <f t="shared" si="97"/>
        <v>0</v>
      </c>
      <c r="DI182" s="45">
        <f t="shared" si="97"/>
        <v>0</v>
      </c>
      <c r="DJ182" s="45">
        <f t="shared" si="97"/>
        <v>0</v>
      </c>
      <c r="DK182" s="45">
        <f t="shared" si="97"/>
        <v>0</v>
      </c>
      <c r="DL182" s="45">
        <f t="shared" si="97"/>
        <v>0</v>
      </c>
      <c r="DM182" s="45">
        <f t="shared" si="97"/>
        <v>0</v>
      </c>
      <c r="DN182" s="45">
        <f t="shared" si="97"/>
        <v>0</v>
      </c>
      <c r="DO182" s="45">
        <f t="shared" si="97"/>
        <v>0</v>
      </c>
      <c r="DP182" s="45">
        <f t="shared" si="97"/>
        <v>0</v>
      </c>
      <c r="DQ182" s="45">
        <f t="shared" si="97"/>
        <v>0</v>
      </c>
      <c r="DR182" s="45">
        <f t="shared" si="97"/>
        <v>0</v>
      </c>
      <c r="DS182" s="45">
        <f t="shared" si="97"/>
        <v>0</v>
      </c>
      <c r="DT182" s="45">
        <f t="shared" si="97"/>
        <v>0</v>
      </c>
      <c r="DU182" s="45">
        <f t="shared" si="97"/>
        <v>0</v>
      </c>
      <c r="DV182" s="45">
        <f t="shared" si="97"/>
        <v>0</v>
      </c>
      <c r="DW182" s="45">
        <f t="shared" si="97"/>
        <v>0</v>
      </c>
      <c r="DX182" s="45">
        <f t="shared" si="97"/>
        <v>0</v>
      </c>
      <c r="DY182" s="45">
        <f t="shared" si="97"/>
        <v>0</v>
      </c>
      <c r="DZ182" s="45">
        <f t="shared" si="97"/>
        <v>0</v>
      </c>
      <c r="EA182" s="45">
        <f t="shared" si="97"/>
        <v>0</v>
      </c>
      <c r="EB182" s="45">
        <f t="shared" si="97"/>
        <v>0</v>
      </c>
      <c r="EC182" s="45">
        <f t="shared" si="97"/>
        <v>0</v>
      </c>
      <c r="ED182" s="45">
        <f t="shared" si="97"/>
        <v>0</v>
      </c>
      <c r="EE182" s="45">
        <f t="shared" si="97"/>
        <v>0</v>
      </c>
      <c r="EF182" s="45">
        <f t="shared" si="97"/>
        <v>0</v>
      </c>
      <c r="EG182" s="45">
        <f t="shared" si="97"/>
        <v>0</v>
      </c>
      <c r="EH182" s="45">
        <f t="shared" si="97"/>
        <v>0</v>
      </c>
      <c r="EI182" s="45">
        <f t="shared" si="97"/>
        <v>0</v>
      </c>
      <c r="EJ182" s="45">
        <f t="shared" si="97"/>
        <v>0</v>
      </c>
      <c r="EK182" s="45">
        <f t="shared" si="97"/>
        <v>0</v>
      </c>
      <c r="EL182" s="45">
        <f t="shared" si="97"/>
        <v>0</v>
      </c>
      <c r="EM182" s="45">
        <f t="shared" ref="EM182:GX182" si="98">EM189</f>
        <v>0</v>
      </c>
      <c r="EN182" s="45">
        <f t="shared" si="98"/>
        <v>0</v>
      </c>
      <c r="EO182" s="45">
        <f t="shared" si="98"/>
        <v>0</v>
      </c>
      <c r="EP182" s="45">
        <f t="shared" si="98"/>
        <v>0</v>
      </c>
      <c r="EQ182" s="45">
        <f t="shared" si="98"/>
        <v>0</v>
      </c>
      <c r="ER182" s="45">
        <f t="shared" si="98"/>
        <v>0</v>
      </c>
      <c r="ES182" s="45">
        <f t="shared" si="98"/>
        <v>0</v>
      </c>
      <c r="ET182" s="45">
        <f t="shared" si="98"/>
        <v>0</v>
      </c>
      <c r="EU182" s="45">
        <f t="shared" si="98"/>
        <v>0</v>
      </c>
      <c r="EV182" s="45">
        <f t="shared" si="98"/>
        <v>0</v>
      </c>
      <c r="EW182" s="45">
        <f t="shared" si="98"/>
        <v>0</v>
      </c>
      <c r="EX182" s="45">
        <f t="shared" si="98"/>
        <v>0</v>
      </c>
      <c r="EY182" s="45">
        <f t="shared" si="98"/>
        <v>0</v>
      </c>
      <c r="EZ182" s="45">
        <f t="shared" si="98"/>
        <v>0</v>
      </c>
      <c r="FA182" s="45">
        <f t="shared" si="98"/>
        <v>0</v>
      </c>
      <c r="FB182" s="45">
        <f t="shared" si="98"/>
        <v>0</v>
      </c>
      <c r="FC182" s="45">
        <f t="shared" si="98"/>
        <v>0</v>
      </c>
      <c r="FD182" s="45">
        <f t="shared" si="98"/>
        <v>0</v>
      </c>
      <c r="FE182" s="45">
        <f t="shared" si="98"/>
        <v>0</v>
      </c>
      <c r="FF182" s="45">
        <f t="shared" si="98"/>
        <v>0</v>
      </c>
      <c r="FG182" s="45">
        <f t="shared" si="98"/>
        <v>0</v>
      </c>
      <c r="FH182" s="45">
        <f t="shared" si="98"/>
        <v>0</v>
      </c>
      <c r="FI182" s="45">
        <f t="shared" si="98"/>
        <v>0</v>
      </c>
      <c r="FJ182" s="45">
        <f t="shared" si="98"/>
        <v>0</v>
      </c>
      <c r="FK182" s="45">
        <f t="shared" si="98"/>
        <v>0</v>
      </c>
      <c r="FL182" s="45">
        <f t="shared" si="98"/>
        <v>0</v>
      </c>
      <c r="FM182" s="45">
        <f t="shared" si="98"/>
        <v>0</v>
      </c>
      <c r="FN182" s="45">
        <f t="shared" si="98"/>
        <v>0</v>
      </c>
      <c r="FO182" s="45">
        <f t="shared" si="98"/>
        <v>0</v>
      </c>
      <c r="FP182" s="45">
        <f t="shared" si="98"/>
        <v>0</v>
      </c>
      <c r="FQ182" s="45">
        <f t="shared" si="98"/>
        <v>0</v>
      </c>
      <c r="FR182" s="45">
        <f t="shared" si="98"/>
        <v>0</v>
      </c>
      <c r="FS182" s="45">
        <f t="shared" si="98"/>
        <v>0</v>
      </c>
      <c r="FT182" s="45">
        <f t="shared" si="98"/>
        <v>0</v>
      </c>
      <c r="FU182" s="45">
        <f t="shared" si="98"/>
        <v>0</v>
      </c>
      <c r="FV182" s="45">
        <f t="shared" si="98"/>
        <v>0</v>
      </c>
      <c r="FW182" s="45">
        <f t="shared" si="98"/>
        <v>0</v>
      </c>
      <c r="FX182" s="45">
        <f t="shared" si="98"/>
        <v>0</v>
      </c>
      <c r="FY182" s="45">
        <f t="shared" si="98"/>
        <v>0</v>
      </c>
      <c r="FZ182" s="45">
        <f t="shared" si="98"/>
        <v>0</v>
      </c>
      <c r="GA182" s="45">
        <f t="shared" si="98"/>
        <v>0</v>
      </c>
      <c r="GB182" s="45">
        <f t="shared" si="98"/>
        <v>0</v>
      </c>
      <c r="GC182" s="45">
        <f t="shared" si="98"/>
        <v>0</v>
      </c>
      <c r="GD182" s="45">
        <f t="shared" si="98"/>
        <v>0</v>
      </c>
      <c r="GE182" s="45">
        <f t="shared" si="98"/>
        <v>0</v>
      </c>
      <c r="GF182" s="45">
        <f t="shared" si="98"/>
        <v>0</v>
      </c>
      <c r="GG182" s="45">
        <f t="shared" si="98"/>
        <v>0</v>
      </c>
      <c r="GH182" s="45">
        <f t="shared" si="98"/>
        <v>0</v>
      </c>
      <c r="GI182" s="45">
        <f t="shared" si="98"/>
        <v>0</v>
      </c>
      <c r="GJ182" s="45">
        <f t="shared" si="98"/>
        <v>0</v>
      </c>
      <c r="GK182" s="45">
        <f t="shared" si="98"/>
        <v>0</v>
      </c>
      <c r="GL182" s="45">
        <f t="shared" si="98"/>
        <v>0</v>
      </c>
      <c r="GM182" s="45">
        <f t="shared" si="98"/>
        <v>0</v>
      </c>
      <c r="GN182" s="45">
        <f t="shared" si="98"/>
        <v>0</v>
      </c>
      <c r="GO182" s="45">
        <f t="shared" si="98"/>
        <v>0</v>
      </c>
      <c r="GP182" s="45">
        <f t="shared" si="98"/>
        <v>0</v>
      </c>
      <c r="GQ182" s="45">
        <f t="shared" si="98"/>
        <v>0</v>
      </c>
      <c r="GR182" s="45">
        <f t="shared" si="98"/>
        <v>0</v>
      </c>
      <c r="GS182" s="45">
        <f t="shared" si="98"/>
        <v>0</v>
      </c>
      <c r="GT182" s="45">
        <f t="shared" si="98"/>
        <v>0</v>
      </c>
      <c r="GU182" s="45">
        <f t="shared" si="98"/>
        <v>0</v>
      </c>
      <c r="GV182" s="45">
        <f t="shared" si="98"/>
        <v>0</v>
      </c>
      <c r="GW182" s="45">
        <f t="shared" si="98"/>
        <v>0</v>
      </c>
      <c r="GX182" s="45">
        <f t="shared" si="98"/>
        <v>0</v>
      </c>
    </row>
    <row r="184" spans="1:245" x14ac:dyDescent="0.25">
      <c r="A184" s="2">
        <v>17</v>
      </c>
      <c r="B184" s="2">
        <v>1</v>
      </c>
      <c r="C184" s="2">
        <f>ROW('SmtRes (2)'!A55)</f>
        <v>55</v>
      </c>
      <c r="D184" s="2">
        <f>ROW('EtalonRes (2)'!A53)</f>
        <v>53</v>
      </c>
      <c r="E184" s="2" t="s">
        <v>308</v>
      </c>
      <c r="F184" s="2" t="s">
        <v>309</v>
      </c>
      <c r="G184" s="2" t="s">
        <v>310</v>
      </c>
      <c r="H184" s="2" t="s">
        <v>60</v>
      </c>
      <c r="I184" s="2">
        <f>ROUND(225/100,9)</f>
        <v>2.25</v>
      </c>
      <c r="J184" s="2">
        <v>0</v>
      </c>
      <c r="K184" s="2">
        <f>ROUND(225/100,9)</f>
        <v>2.25</v>
      </c>
      <c r="O184" s="2">
        <f>ROUND(CP184,2)</f>
        <v>40288.47</v>
      </c>
      <c r="P184" s="2">
        <f>ROUND(CQ184*I184,2)</f>
        <v>26679.38</v>
      </c>
      <c r="Q184" s="2">
        <f>ROUND(CR184*I184,2)</f>
        <v>145.49</v>
      </c>
      <c r="R184" s="2">
        <f>ROUND(CS184*I184,2)</f>
        <v>51.35</v>
      </c>
      <c r="S184" s="2">
        <f>ROUND(CT184*I184,2)</f>
        <v>13463.6</v>
      </c>
      <c r="T184" s="2">
        <f>ROUND(CU184*I184,2)</f>
        <v>0</v>
      </c>
      <c r="U184" s="2">
        <f>CV184*I184</f>
        <v>69.3</v>
      </c>
      <c r="V184" s="2">
        <f>CW184*I184</f>
        <v>0</v>
      </c>
      <c r="W184" s="2">
        <f>ROUND(CX184*I184,2)</f>
        <v>0</v>
      </c>
      <c r="X184" s="2">
        <f t="shared" ref="X184:Y187" si="99">ROUND(CY184,2)</f>
        <v>9424.52</v>
      </c>
      <c r="Y184" s="2">
        <f t="shared" si="99"/>
        <v>1346.36</v>
      </c>
      <c r="AA184" s="2">
        <v>52262273</v>
      </c>
      <c r="AB184" s="2">
        <f>ROUND((AC184+AD184+AF184),6)</f>
        <v>17905.98</v>
      </c>
      <c r="AC184" s="2">
        <f>ROUND((ES184),6)</f>
        <v>11857.5</v>
      </c>
      <c r="AD184" s="2">
        <f>ROUND((((ET184)-(EU184))+AE184),6)</f>
        <v>64.66</v>
      </c>
      <c r="AE184" s="2">
        <f t="shared" ref="AE184:AF187" si="100">ROUND((EU184),6)</f>
        <v>22.82</v>
      </c>
      <c r="AF184" s="2">
        <f t="shared" si="100"/>
        <v>5983.82</v>
      </c>
      <c r="AG184" s="2">
        <f>ROUND((AP184),6)</f>
        <v>0</v>
      </c>
      <c r="AH184" s="2">
        <f t="shared" ref="AH184:AI187" si="101">(EW184)</f>
        <v>30.8</v>
      </c>
      <c r="AI184" s="2">
        <f t="shared" si="101"/>
        <v>0</v>
      </c>
      <c r="AJ184" s="2">
        <f>(AS184)</f>
        <v>0</v>
      </c>
      <c r="AK184" s="2">
        <v>17905.98</v>
      </c>
      <c r="AL184" s="2">
        <v>11857.5</v>
      </c>
      <c r="AM184" s="2">
        <v>64.66</v>
      </c>
      <c r="AN184" s="2">
        <v>22.82</v>
      </c>
      <c r="AO184" s="2">
        <v>5983.82</v>
      </c>
      <c r="AP184" s="2">
        <v>0</v>
      </c>
      <c r="AQ184" s="2">
        <v>30.8</v>
      </c>
      <c r="AR184" s="2">
        <v>0</v>
      </c>
      <c r="AS184" s="2">
        <v>0</v>
      </c>
      <c r="AT184" s="2">
        <v>70</v>
      </c>
      <c r="AU184" s="2">
        <v>10</v>
      </c>
      <c r="AV184" s="2">
        <v>1</v>
      </c>
      <c r="AW184" s="2">
        <v>1</v>
      </c>
      <c r="AZ184" s="2">
        <v>1</v>
      </c>
      <c r="BA184" s="2">
        <v>1</v>
      </c>
      <c r="BB184" s="2">
        <v>1</v>
      </c>
      <c r="BC184" s="2">
        <v>1</v>
      </c>
      <c r="BD184" s="2" t="s">
        <v>30</v>
      </c>
      <c r="BE184" s="2" t="s">
        <v>30</v>
      </c>
      <c r="BF184" s="2" t="s">
        <v>30</v>
      </c>
      <c r="BG184" s="2" t="s">
        <v>30</v>
      </c>
      <c r="BH184" s="2">
        <v>0</v>
      </c>
      <c r="BI184" s="2">
        <v>4</v>
      </c>
      <c r="BJ184" s="2" t="s">
        <v>311</v>
      </c>
      <c r="BM184" s="2">
        <v>0</v>
      </c>
      <c r="BN184" s="2">
        <v>0</v>
      </c>
      <c r="BO184" s="2" t="s">
        <v>30</v>
      </c>
      <c r="BP184" s="2">
        <v>0</v>
      </c>
      <c r="BQ184" s="2">
        <v>1</v>
      </c>
      <c r="BR184" s="2">
        <v>0</v>
      </c>
      <c r="BS184" s="2">
        <v>1</v>
      </c>
      <c r="BT184" s="2">
        <v>1</v>
      </c>
      <c r="BU184" s="2">
        <v>1</v>
      </c>
      <c r="BV184" s="2">
        <v>1</v>
      </c>
      <c r="BW184" s="2">
        <v>1</v>
      </c>
      <c r="BX184" s="2">
        <v>1</v>
      </c>
      <c r="BY184" s="2" t="s">
        <v>30</v>
      </c>
      <c r="BZ184" s="2">
        <v>70</v>
      </c>
      <c r="CA184" s="2">
        <v>10</v>
      </c>
      <c r="CB184" s="2" t="s">
        <v>30</v>
      </c>
      <c r="CE184" s="2">
        <v>0</v>
      </c>
      <c r="CF184" s="2">
        <v>0</v>
      </c>
      <c r="CG184" s="2">
        <v>0</v>
      </c>
      <c r="CM184" s="2">
        <v>0</v>
      </c>
      <c r="CN184" s="2" t="s">
        <v>30</v>
      </c>
      <c r="CO184" s="2">
        <v>0</v>
      </c>
      <c r="CP184" s="2">
        <f>(P184+Q184+S184)</f>
        <v>40288.47</v>
      </c>
      <c r="CQ184" s="2">
        <f>(AC184*BC184*AW184)</f>
        <v>11857.5</v>
      </c>
      <c r="CR184" s="2">
        <f>((((ET184)*BB184-(EU184)*BS184)+AE184*BS184)*AV184)</f>
        <v>64.66</v>
      </c>
      <c r="CS184" s="2">
        <f>(AE184*BS184*AV184)</f>
        <v>22.82</v>
      </c>
      <c r="CT184" s="2">
        <f>(AF184*BA184*AV184)</f>
        <v>5983.82</v>
      </c>
      <c r="CU184" s="2">
        <f>AG184</f>
        <v>0</v>
      </c>
      <c r="CV184" s="2">
        <f>(AH184*AV184)</f>
        <v>30.8</v>
      </c>
      <c r="CW184" s="2">
        <f t="shared" ref="CW184:CX187" si="102">AI184</f>
        <v>0</v>
      </c>
      <c r="CX184" s="2">
        <f t="shared" si="102"/>
        <v>0</v>
      </c>
      <c r="CY184" s="2">
        <f>((S184*BZ184)/100)</f>
        <v>9424.52</v>
      </c>
      <c r="CZ184" s="2">
        <f>((S184*CA184)/100)</f>
        <v>1346.36</v>
      </c>
      <c r="DC184" s="2" t="s">
        <v>30</v>
      </c>
      <c r="DD184" s="2" t="s">
        <v>30</v>
      </c>
      <c r="DE184" s="2" t="s">
        <v>30</v>
      </c>
      <c r="DF184" s="2" t="s">
        <v>30</v>
      </c>
      <c r="DG184" s="2" t="s">
        <v>30</v>
      </c>
      <c r="DH184" s="2" t="s">
        <v>30</v>
      </c>
      <c r="DI184" s="2" t="s">
        <v>30</v>
      </c>
      <c r="DJ184" s="2" t="s">
        <v>30</v>
      </c>
      <c r="DK184" s="2" t="s">
        <v>30</v>
      </c>
      <c r="DL184" s="2" t="s">
        <v>30</v>
      </c>
      <c r="DM184" s="2" t="s">
        <v>30</v>
      </c>
      <c r="DN184" s="2">
        <v>0</v>
      </c>
      <c r="DO184" s="2">
        <v>0</v>
      </c>
      <c r="DP184" s="2">
        <v>1</v>
      </c>
      <c r="DQ184" s="2">
        <v>1</v>
      </c>
      <c r="DU184" s="2">
        <v>1005</v>
      </c>
      <c r="DV184" s="2" t="s">
        <v>60</v>
      </c>
      <c r="DW184" s="2" t="s">
        <v>60</v>
      </c>
      <c r="DX184" s="2">
        <v>100</v>
      </c>
      <c r="DZ184" s="2" t="s">
        <v>30</v>
      </c>
      <c r="EA184" s="2" t="s">
        <v>30</v>
      </c>
      <c r="EB184" s="2" t="s">
        <v>30</v>
      </c>
      <c r="EC184" s="2" t="s">
        <v>30</v>
      </c>
      <c r="EE184" s="2">
        <v>49661954</v>
      </c>
      <c r="EF184" s="2">
        <v>1</v>
      </c>
      <c r="EG184" s="2" t="s">
        <v>180</v>
      </c>
      <c r="EH184" s="2">
        <v>0</v>
      </c>
      <c r="EI184" s="2" t="s">
        <v>30</v>
      </c>
      <c r="EJ184" s="2">
        <v>4</v>
      </c>
      <c r="EK184" s="2">
        <v>0</v>
      </c>
      <c r="EL184" s="2" t="s">
        <v>181</v>
      </c>
      <c r="EM184" s="2" t="s">
        <v>182</v>
      </c>
      <c r="EO184" s="2" t="s">
        <v>30</v>
      </c>
      <c r="EQ184" s="2">
        <v>0</v>
      </c>
      <c r="ER184" s="2">
        <v>17905.98</v>
      </c>
      <c r="ES184" s="2">
        <v>11857.5</v>
      </c>
      <c r="ET184" s="2">
        <v>64.66</v>
      </c>
      <c r="EU184" s="2">
        <v>22.82</v>
      </c>
      <c r="EV184" s="2">
        <v>5983.82</v>
      </c>
      <c r="EW184" s="2">
        <v>30.8</v>
      </c>
      <c r="EX184" s="2">
        <v>0</v>
      </c>
      <c r="EY184" s="2">
        <v>0</v>
      </c>
      <c r="FQ184" s="2">
        <v>0</v>
      </c>
      <c r="FR184" s="2">
        <f>ROUND(IF(AND(BH184=3,BI184=3),P184,0),2)</f>
        <v>0</v>
      </c>
      <c r="FS184" s="2">
        <v>0</v>
      </c>
      <c r="FX184" s="2">
        <v>70</v>
      </c>
      <c r="FY184" s="2">
        <v>10</v>
      </c>
      <c r="GA184" s="2" t="s">
        <v>30</v>
      </c>
      <c r="GD184" s="2">
        <v>0</v>
      </c>
      <c r="GF184" s="2">
        <v>1344656155</v>
      </c>
      <c r="GG184" s="2">
        <v>2</v>
      </c>
      <c r="GH184" s="2">
        <v>1</v>
      </c>
      <c r="GI184" s="2">
        <v>-2</v>
      </c>
      <c r="GJ184" s="2">
        <v>0</v>
      </c>
      <c r="GK184" s="2">
        <f>ROUND(R184*(R12)/100,2)</f>
        <v>55.46</v>
      </c>
      <c r="GL184" s="2">
        <f>ROUND(IF(AND(BH184=3,BI184=3,FS184&lt;&gt;0),P184,0),2)</f>
        <v>0</v>
      </c>
      <c r="GM184" s="2">
        <f>ROUND(O184+X184+Y184+GK184,2)+GX184</f>
        <v>51114.81</v>
      </c>
      <c r="GN184" s="2">
        <f>IF(OR(BI184=0,BI184=1),ROUND(O184+X184+Y184+GK184,2),0)</f>
        <v>0</v>
      </c>
      <c r="GO184" s="2">
        <f>IF(BI184=2,ROUND(O184+X184+Y184+GK184,2),0)</f>
        <v>0</v>
      </c>
      <c r="GP184" s="2">
        <f>IF(BI184=4,ROUND(O184+X184+Y184+GK184,2)+GX184,0)</f>
        <v>51114.81</v>
      </c>
      <c r="GR184" s="2">
        <v>0</v>
      </c>
      <c r="GS184" s="2">
        <v>0</v>
      </c>
      <c r="GT184" s="2">
        <v>0</v>
      </c>
      <c r="GU184" s="2" t="s">
        <v>30</v>
      </c>
      <c r="GV184" s="2">
        <f>ROUND((GT184),6)</f>
        <v>0</v>
      </c>
      <c r="GW184" s="2">
        <v>1</v>
      </c>
      <c r="GX184" s="2">
        <f>ROUND(HC184*I184,2)</f>
        <v>0</v>
      </c>
      <c r="HA184" s="2">
        <v>0</v>
      </c>
      <c r="HB184" s="2">
        <v>0</v>
      </c>
      <c r="HC184" s="2">
        <f>GV184*GW184</f>
        <v>0</v>
      </c>
      <c r="HE184" s="2" t="s">
        <v>30</v>
      </c>
      <c r="HF184" s="2" t="s">
        <v>30</v>
      </c>
      <c r="HM184" s="2" t="s">
        <v>30</v>
      </c>
      <c r="HN184" s="2" t="s">
        <v>30</v>
      </c>
      <c r="HO184" s="2" t="s">
        <v>30</v>
      </c>
      <c r="HP184" s="2" t="s">
        <v>30</v>
      </c>
      <c r="HQ184" s="2" t="s">
        <v>30</v>
      </c>
      <c r="IK184" s="2">
        <v>0</v>
      </c>
    </row>
    <row r="185" spans="1:245" x14ac:dyDescent="0.25">
      <c r="A185" s="2">
        <v>17</v>
      </c>
      <c r="B185" s="2">
        <v>1</v>
      </c>
      <c r="C185" s="2">
        <f>ROW('SmtRes (2)'!A57)</f>
        <v>57</v>
      </c>
      <c r="D185" s="2">
        <f>ROW('EtalonRes (2)'!A55)</f>
        <v>55</v>
      </c>
      <c r="E185" s="2" t="s">
        <v>312</v>
      </c>
      <c r="F185" s="2" t="s">
        <v>313</v>
      </c>
      <c r="G185" s="2" t="s">
        <v>314</v>
      </c>
      <c r="H185" s="2" t="s">
        <v>60</v>
      </c>
      <c r="I185" s="2">
        <f>ROUND(75/100,9)</f>
        <v>0.75</v>
      </c>
      <c r="J185" s="2">
        <v>0</v>
      </c>
      <c r="K185" s="2">
        <f>ROUND(75/100,9)</f>
        <v>0.75</v>
      </c>
      <c r="O185" s="2">
        <f>ROUND(CP185,2)</f>
        <v>15595.79</v>
      </c>
      <c r="P185" s="2">
        <f>ROUND(CQ185*I185,2)</f>
        <v>8893.1299999999992</v>
      </c>
      <c r="Q185" s="2">
        <f>ROUND(CR185*I185,2)</f>
        <v>0</v>
      </c>
      <c r="R185" s="2">
        <f>ROUND(CS185*I185,2)</f>
        <v>0</v>
      </c>
      <c r="S185" s="2">
        <f>ROUND(CT185*I185,2)</f>
        <v>6702.66</v>
      </c>
      <c r="T185" s="2">
        <f>ROUND(CU185*I185,2)</f>
        <v>0</v>
      </c>
      <c r="U185" s="2">
        <f>CV185*I185</f>
        <v>34.5</v>
      </c>
      <c r="V185" s="2">
        <f>CW185*I185</f>
        <v>0</v>
      </c>
      <c r="W185" s="2">
        <f>ROUND(CX185*I185,2)</f>
        <v>0</v>
      </c>
      <c r="X185" s="2">
        <f t="shared" si="99"/>
        <v>4691.8599999999997</v>
      </c>
      <c r="Y185" s="2">
        <f t="shared" si="99"/>
        <v>670.27</v>
      </c>
      <c r="AA185" s="2">
        <v>52262273</v>
      </c>
      <c r="AB185" s="2">
        <f>ROUND((AC185+AD185+AF185),6)</f>
        <v>20794.38</v>
      </c>
      <c r="AC185" s="2">
        <f>ROUND((ES185),6)</f>
        <v>11857.5</v>
      </c>
      <c r="AD185" s="2">
        <f>ROUND((((ET185)-(EU185))+AE185),6)</f>
        <v>0</v>
      </c>
      <c r="AE185" s="2">
        <f t="shared" si="100"/>
        <v>0</v>
      </c>
      <c r="AF185" s="2">
        <f t="shared" si="100"/>
        <v>8936.8799999999992</v>
      </c>
      <c r="AG185" s="2">
        <f>ROUND((AP185),6)</f>
        <v>0</v>
      </c>
      <c r="AH185" s="2">
        <f t="shared" si="101"/>
        <v>46</v>
      </c>
      <c r="AI185" s="2">
        <f t="shared" si="101"/>
        <v>0</v>
      </c>
      <c r="AJ185" s="2">
        <f>(AS185)</f>
        <v>0</v>
      </c>
      <c r="AK185" s="2">
        <v>20794.38</v>
      </c>
      <c r="AL185" s="2">
        <v>11857.5</v>
      </c>
      <c r="AM185" s="2">
        <v>0</v>
      </c>
      <c r="AN185" s="2">
        <v>0</v>
      </c>
      <c r="AO185" s="2">
        <v>8936.8799999999992</v>
      </c>
      <c r="AP185" s="2">
        <v>0</v>
      </c>
      <c r="AQ185" s="2">
        <v>46</v>
      </c>
      <c r="AR185" s="2">
        <v>0</v>
      </c>
      <c r="AS185" s="2">
        <v>0</v>
      </c>
      <c r="AT185" s="2">
        <v>70</v>
      </c>
      <c r="AU185" s="2">
        <v>10</v>
      </c>
      <c r="AV185" s="2">
        <v>1</v>
      </c>
      <c r="AW185" s="2">
        <v>1</v>
      </c>
      <c r="AZ185" s="2">
        <v>1</v>
      </c>
      <c r="BA185" s="2">
        <v>1</v>
      </c>
      <c r="BB185" s="2">
        <v>1</v>
      </c>
      <c r="BC185" s="2">
        <v>1</v>
      </c>
      <c r="BD185" s="2" t="s">
        <v>30</v>
      </c>
      <c r="BE185" s="2" t="s">
        <v>30</v>
      </c>
      <c r="BF185" s="2" t="s">
        <v>30</v>
      </c>
      <c r="BG185" s="2" t="s">
        <v>30</v>
      </c>
      <c r="BH185" s="2">
        <v>0</v>
      </c>
      <c r="BI185" s="2">
        <v>4</v>
      </c>
      <c r="BJ185" s="2" t="s">
        <v>315</v>
      </c>
      <c r="BM185" s="2">
        <v>0</v>
      </c>
      <c r="BN185" s="2">
        <v>0</v>
      </c>
      <c r="BO185" s="2" t="s">
        <v>30</v>
      </c>
      <c r="BP185" s="2">
        <v>0</v>
      </c>
      <c r="BQ185" s="2">
        <v>1</v>
      </c>
      <c r="BR185" s="2">
        <v>0</v>
      </c>
      <c r="BS185" s="2">
        <v>1</v>
      </c>
      <c r="BT185" s="2">
        <v>1</v>
      </c>
      <c r="BU185" s="2">
        <v>1</v>
      </c>
      <c r="BV185" s="2">
        <v>1</v>
      </c>
      <c r="BW185" s="2">
        <v>1</v>
      </c>
      <c r="BX185" s="2">
        <v>1</v>
      </c>
      <c r="BY185" s="2" t="s">
        <v>30</v>
      </c>
      <c r="BZ185" s="2">
        <v>70</v>
      </c>
      <c r="CA185" s="2">
        <v>10</v>
      </c>
      <c r="CB185" s="2" t="s">
        <v>30</v>
      </c>
      <c r="CE185" s="2">
        <v>0</v>
      </c>
      <c r="CF185" s="2">
        <v>0</v>
      </c>
      <c r="CG185" s="2">
        <v>0</v>
      </c>
      <c r="CM185" s="2">
        <v>0</v>
      </c>
      <c r="CN185" s="2" t="s">
        <v>30</v>
      </c>
      <c r="CO185" s="2">
        <v>0</v>
      </c>
      <c r="CP185" s="2">
        <f>(P185+Q185+S185)</f>
        <v>15595.79</v>
      </c>
      <c r="CQ185" s="2">
        <f>(AC185*BC185*AW185)</f>
        <v>11857.5</v>
      </c>
      <c r="CR185" s="2">
        <f>((((ET185)*BB185-(EU185)*BS185)+AE185*BS185)*AV185)</f>
        <v>0</v>
      </c>
      <c r="CS185" s="2">
        <f>(AE185*BS185*AV185)</f>
        <v>0</v>
      </c>
      <c r="CT185" s="2">
        <f>(AF185*BA185*AV185)</f>
        <v>8936.8799999999992</v>
      </c>
      <c r="CU185" s="2">
        <f>AG185</f>
        <v>0</v>
      </c>
      <c r="CV185" s="2">
        <f>(AH185*AV185)</f>
        <v>46</v>
      </c>
      <c r="CW185" s="2">
        <f t="shared" si="102"/>
        <v>0</v>
      </c>
      <c r="CX185" s="2">
        <f t="shared" si="102"/>
        <v>0</v>
      </c>
      <c r="CY185" s="2">
        <f>((S185*BZ185)/100)</f>
        <v>4691.8620000000001</v>
      </c>
      <c r="CZ185" s="2">
        <f>((S185*CA185)/100)</f>
        <v>670.26599999999996</v>
      </c>
      <c r="DC185" s="2" t="s">
        <v>30</v>
      </c>
      <c r="DD185" s="2" t="s">
        <v>30</v>
      </c>
      <c r="DE185" s="2" t="s">
        <v>30</v>
      </c>
      <c r="DF185" s="2" t="s">
        <v>30</v>
      </c>
      <c r="DG185" s="2" t="s">
        <v>30</v>
      </c>
      <c r="DH185" s="2" t="s">
        <v>30</v>
      </c>
      <c r="DI185" s="2" t="s">
        <v>30</v>
      </c>
      <c r="DJ185" s="2" t="s">
        <v>30</v>
      </c>
      <c r="DK185" s="2" t="s">
        <v>30</v>
      </c>
      <c r="DL185" s="2" t="s">
        <v>30</v>
      </c>
      <c r="DM185" s="2" t="s">
        <v>30</v>
      </c>
      <c r="DN185" s="2">
        <v>0</v>
      </c>
      <c r="DO185" s="2">
        <v>0</v>
      </c>
      <c r="DP185" s="2">
        <v>1</v>
      </c>
      <c r="DQ185" s="2">
        <v>1</v>
      </c>
      <c r="DU185" s="2">
        <v>1005</v>
      </c>
      <c r="DV185" s="2" t="s">
        <v>60</v>
      </c>
      <c r="DW185" s="2" t="s">
        <v>60</v>
      </c>
      <c r="DX185" s="2">
        <v>100</v>
      </c>
      <c r="DZ185" s="2" t="s">
        <v>30</v>
      </c>
      <c r="EA185" s="2" t="s">
        <v>30</v>
      </c>
      <c r="EB185" s="2" t="s">
        <v>30</v>
      </c>
      <c r="EC185" s="2" t="s">
        <v>30</v>
      </c>
      <c r="EE185" s="2">
        <v>49661954</v>
      </c>
      <c r="EF185" s="2">
        <v>1</v>
      </c>
      <c r="EG185" s="2" t="s">
        <v>180</v>
      </c>
      <c r="EH185" s="2">
        <v>0</v>
      </c>
      <c r="EI185" s="2" t="s">
        <v>30</v>
      </c>
      <c r="EJ185" s="2">
        <v>4</v>
      </c>
      <c r="EK185" s="2">
        <v>0</v>
      </c>
      <c r="EL185" s="2" t="s">
        <v>181</v>
      </c>
      <c r="EM185" s="2" t="s">
        <v>182</v>
      </c>
      <c r="EO185" s="2" t="s">
        <v>30</v>
      </c>
      <c r="EQ185" s="2">
        <v>0</v>
      </c>
      <c r="ER185" s="2">
        <v>20794.38</v>
      </c>
      <c r="ES185" s="2">
        <v>11857.5</v>
      </c>
      <c r="ET185" s="2">
        <v>0</v>
      </c>
      <c r="EU185" s="2">
        <v>0</v>
      </c>
      <c r="EV185" s="2">
        <v>8936.8799999999992</v>
      </c>
      <c r="EW185" s="2">
        <v>46</v>
      </c>
      <c r="EX185" s="2">
        <v>0</v>
      </c>
      <c r="EY185" s="2">
        <v>0</v>
      </c>
      <c r="FQ185" s="2">
        <v>0</v>
      </c>
      <c r="FR185" s="2">
        <f>ROUND(IF(AND(BH185=3,BI185=3),P185,0),2)</f>
        <v>0</v>
      </c>
      <c r="FS185" s="2">
        <v>0</v>
      </c>
      <c r="FX185" s="2">
        <v>70</v>
      </c>
      <c r="FY185" s="2">
        <v>10</v>
      </c>
      <c r="GA185" s="2" t="s">
        <v>30</v>
      </c>
      <c r="GD185" s="2">
        <v>0</v>
      </c>
      <c r="GF185" s="2">
        <v>1540860315</v>
      </c>
      <c r="GG185" s="2">
        <v>2</v>
      </c>
      <c r="GH185" s="2">
        <v>1</v>
      </c>
      <c r="GI185" s="2">
        <v>-2</v>
      </c>
      <c r="GJ185" s="2">
        <v>0</v>
      </c>
      <c r="GK185" s="2">
        <f>ROUND(R185*(R12)/100,2)</f>
        <v>0</v>
      </c>
      <c r="GL185" s="2">
        <f>ROUND(IF(AND(BH185=3,BI185=3,FS185&lt;&gt;0),P185,0),2)</f>
        <v>0</v>
      </c>
      <c r="GM185" s="2">
        <f>ROUND(O185+X185+Y185+GK185,2)+GX185</f>
        <v>20957.919999999998</v>
      </c>
      <c r="GN185" s="2">
        <f>IF(OR(BI185=0,BI185=1),ROUND(O185+X185+Y185+GK185,2),0)</f>
        <v>0</v>
      </c>
      <c r="GO185" s="2">
        <f>IF(BI185=2,ROUND(O185+X185+Y185+GK185,2),0)</f>
        <v>0</v>
      </c>
      <c r="GP185" s="2">
        <f>IF(BI185=4,ROUND(O185+X185+Y185+GK185,2)+GX185,0)</f>
        <v>20957.919999999998</v>
      </c>
      <c r="GR185" s="2">
        <v>0</v>
      </c>
      <c r="GS185" s="2">
        <v>0</v>
      </c>
      <c r="GT185" s="2">
        <v>0</v>
      </c>
      <c r="GU185" s="2" t="s">
        <v>30</v>
      </c>
      <c r="GV185" s="2">
        <f>ROUND((GT185),6)</f>
        <v>0</v>
      </c>
      <c r="GW185" s="2">
        <v>1</v>
      </c>
      <c r="GX185" s="2">
        <f>ROUND(HC185*I185,2)</f>
        <v>0</v>
      </c>
      <c r="HA185" s="2">
        <v>0</v>
      </c>
      <c r="HB185" s="2">
        <v>0</v>
      </c>
      <c r="HC185" s="2">
        <f>GV185*GW185</f>
        <v>0</v>
      </c>
      <c r="HE185" s="2" t="s">
        <v>30</v>
      </c>
      <c r="HF185" s="2" t="s">
        <v>30</v>
      </c>
      <c r="HM185" s="2" t="s">
        <v>30</v>
      </c>
      <c r="HN185" s="2" t="s">
        <v>30</v>
      </c>
      <c r="HO185" s="2" t="s">
        <v>30</v>
      </c>
      <c r="HP185" s="2" t="s">
        <v>30</v>
      </c>
      <c r="HQ185" s="2" t="s">
        <v>30</v>
      </c>
      <c r="IK185" s="2">
        <v>0</v>
      </c>
    </row>
    <row r="186" spans="1:245" x14ac:dyDescent="0.25">
      <c r="A186" s="2">
        <v>17</v>
      </c>
      <c r="B186" s="2">
        <v>1</v>
      </c>
      <c r="C186" s="2">
        <f>ROW('SmtRes (2)'!A59)</f>
        <v>59</v>
      </c>
      <c r="D186" s="2">
        <f>ROW('EtalonRes (2)'!A57)</f>
        <v>57</v>
      </c>
      <c r="E186" s="2" t="s">
        <v>316</v>
      </c>
      <c r="F186" s="2" t="s">
        <v>317</v>
      </c>
      <c r="G186" s="2" t="s">
        <v>318</v>
      </c>
      <c r="H186" s="2" t="s">
        <v>60</v>
      </c>
      <c r="I186" s="2">
        <f>ROUND(-300/100,9)</f>
        <v>-3</v>
      </c>
      <c r="J186" s="2">
        <v>0</v>
      </c>
      <c r="K186" s="2">
        <f>ROUND(-300/100,9)</f>
        <v>-3</v>
      </c>
      <c r="O186" s="2">
        <f>ROUND(CP186,2)</f>
        <v>-15523.56</v>
      </c>
      <c r="P186" s="2">
        <f>ROUND(CQ186*I186,2)</f>
        <v>-11857.5</v>
      </c>
      <c r="Q186" s="2">
        <f>ROUND(CR186*I186,2)</f>
        <v>0</v>
      </c>
      <c r="R186" s="2">
        <f>ROUND(CS186*I186,2)</f>
        <v>0</v>
      </c>
      <c r="S186" s="2">
        <f>ROUND(CT186*I186,2)</f>
        <v>-3666.06</v>
      </c>
      <c r="T186" s="2">
        <f>ROUND(CU186*I186,2)</f>
        <v>0</v>
      </c>
      <c r="U186" s="2">
        <f>CV186*I186</f>
        <v>-18.87</v>
      </c>
      <c r="V186" s="2">
        <f>CW186*I186</f>
        <v>0</v>
      </c>
      <c r="W186" s="2">
        <f>ROUND(CX186*I186,2)</f>
        <v>0</v>
      </c>
      <c r="X186" s="2">
        <f t="shared" si="99"/>
        <v>-2566.2399999999998</v>
      </c>
      <c r="Y186" s="2">
        <f t="shared" si="99"/>
        <v>-366.61</v>
      </c>
      <c r="AA186" s="2">
        <v>52262273</v>
      </c>
      <c r="AB186" s="2">
        <f>ROUND((AC186+AD186+AF186),6)</f>
        <v>5174.5200000000004</v>
      </c>
      <c r="AC186" s="2">
        <f>ROUND((ES186),6)</f>
        <v>3952.5</v>
      </c>
      <c r="AD186" s="2">
        <f>ROUND((((ET186)-(EU186))+AE186),6)</f>
        <v>0</v>
      </c>
      <c r="AE186" s="2">
        <f t="shared" si="100"/>
        <v>0</v>
      </c>
      <c r="AF186" s="2">
        <f t="shared" si="100"/>
        <v>1222.02</v>
      </c>
      <c r="AG186" s="2">
        <f>ROUND((AP186),6)</f>
        <v>0</v>
      </c>
      <c r="AH186" s="2">
        <f t="shared" si="101"/>
        <v>6.29</v>
      </c>
      <c r="AI186" s="2">
        <f t="shared" si="101"/>
        <v>0</v>
      </c>
      <c r="AJ186" s="2">
        <f>(AS186)</f>
        <v>0</v>
      </c>
      <c r="AK186" s="2">
        <v>5174.5200000000004</v>
      </c>
      <c r="AL186" s="2">
        <v>3952.5</v>
      </c>
      <c r="AM186" s="2">
        <v>0</v>
      </c>
      <c r="AN186" s="2">
        <v>0</v>
      </c>
      <c r="AO186" s="2">
        <v>1222.02</v>
      </c>
      <c r="AP186" s="2">
        <v>0</v>
      </c>
      <c r="AQ186" s="2">
        <v>6.29</v>
      </c>
      <c r="AR186" s="2">
        <v>0</v>
      </c>
      <c r="AS186" s="2">
        <v>0</v>
      </c>
      <c r="AT186" s="2">
        <v>70</v>
      </c>
      <c r="AU186" s="2">
        <v>10</v>
      </c>
      <c r="AV186" s="2">
        <v>1</v>
      </c>
      <c r="AW186" s="2">
        <v>1</v>
      </c>
      <c r="AZ186" s="2">
        <v>1</v>
      </c>
      <c r="BA186" s="2">
        <v>1</v>
      </c>
      <c r="BB186" s="2">
        <v>1</v>
      </c>
      <c r="BC186" s="2">
        <v>1</v>
      </c>
      <c r="BD186" s="2" t="s">
        <v>30</v>
      </c>
      <c r="BE186" s="2" t="s">
        <v>30</v>
      </c>
      <c r="BF186" s="2" t="s">
        <v>30</v>
      </c>
      <c r="BG186" s="2" t="s">
        <v>30</v>
      </c>
      <c r="BH186" s="2">
        <v>0</v>
      </c>
      <c r="BI186" s="2">
        <v>4</v>
      </c>
      <c r="BJ186" s="2" t="s">
        <v>319</v>
      </c>
      <c r="BM186" s="2">
        <v>0</v>
      </c>
      <c r="BN186" s="2">
        <v>0</v>
      </c>
      <c r="BO186" s="2" t="s">
        <v>30</v>
      </c>
      <c r="BP186" s="2">
        <v>0</v>
      </c>
      <c r="BQ186" s="2">
        <v>1</v>
      </c>
      <c r="BR186" s="2">
        <v>0</v>
      </c>
      <c r="BS186" s="2">
        <v>1</v>
      </c>
      <c r="BT186" s="2">
        <v>1</v>
      </c>
      <c r="BU186" s="2">
        <v>1</v>
      </c>
      <c r="BV186" s="2">
        <v>1</v>
      </c>
      <c r="BW186" s="2">
        <v>1</v>
      </c>
      <c r="BX186" s="2">
        <v>1</v>
      </c>
      <c r="BY186" s="2" t="s">
        <v>30</v>
      </c>
      <c r="BZ186" s="2">
        <v>70</v>
      </c>
      <c r="CA186" s="2">
        <v>10</v>
      </c>
      <c r="CB186" s="2" t="s">
        <v>30</v>
      </c>
      <c r="CE186" s="2">
        <v>0</v>
      </c>
      <c r="CF186" s="2">
        <v>0</v>
      </c>
      <c r="CG186" s="2">
        <v>0</v>
      </c>
      <c r="CM186" s="2">
        <v>0</v>
      </c>
      <c r="CN186" s="2" t="s">
        <v>30</v>
      </c>
      <c r="CO186" s="2">
        <v>0</v>
      </c>
      <c r="CP186" s="2">
        <f>(P186+Q186+S186)</f>
        <v>-15523.56</v>
      </c>
      <c r="CQ186" s="2">
        <f>(AC186*BC186*AW186)</f>
        <v>3952.5</v>
      </c>
      <c r="CR186" s="2">
        <f>((((ET186)*BB186-(EU186)*BS186)+AE186*BS186)*AV186)</f>
        <v>0</v>
      </c>
      <c r="CS186" s="2">
        <f>(AE186*BS186*AV186)</f>
        <v>0</v>
      </c>
      <c r="CT186" s="2">
        <f>(AF186*BA186*AV186)</f>
        <v>1222.02</v>
      </c>
      <c r="CU186" s="2">
        <f>AG186</f>
        <v>0</v>
      </c>
      <c r="CV186" s="2">
        <f>(AH186*AV186)</f>
        <v>6.29</v>
      </c>
      <c r="CW186" s="2">
        <f t="shared" si="102"/>
        <v>0</v>
      </c>
      <c r="CX186" s="2">
        <f t="shared" si="102"/>
        <v>0</v>
      </c>
      <c r="CY186" s="2">
        <f>((S186*BZ186)/100)</f>
        <v>-2566.2420000000002</v>
      </c>
      <c r="CZ186" s="2">
        <f>((S186*CA186)/100)</f>
        <v>-366.60599999999999</v>
      </c>
      <c r="DC186" s="2" t="s">
        <v>30</v>
      </c>
      <c r="DD186" s="2" t="s">
        <v>30</v>
      </c>
      <c r="DE186" s="2" t="s">
        <v>30</v>
      </c>
      <c r="DF186" s="2" t="s">
        <v>30</v>
      </c>
      <c r="DG186" s="2" t="s">
        <v>30</v>
      </c>
      <c r="DH186" s="2" t="s">
        <v>30</v>
      </c>
      <c r="DI186" s="2" t="s">
        <v>30</v>
      </c>
      <c r="DJ186" s="2" t="s">
        <v>30</v>
      </c>
      <c r="DK186" s="2" t="s">
        <v>30</v>
      </c>
      <c r="DL186" s="2" t="s">
        <v>30</v>
      </c>
      <c r="DM186" s="2" t="s">
        <v>30</v>
      </c>
      <c r="DN186" s="2">
        <v>0</v>
      </c>
      <c r="DO186" s="2">
        <v>0</v>
      </c>
      <c r="DP186" s="2">
        <v>1</v>
      </c>
      <c r="DQ186" s="2">
        <v>1</v>
      </c>
      <c r="DU186" s="2">
        <v>1005</v>
      </c>
      <c r="DV186" s="2" t="s">
        <v>60</v>
      </c>
      <c r="DW186" s="2" t="s">
        <v>60</v>
      </c>
      <c r="DX186" s="2">
        <v>100</v>
      </c>
      <c r="DZ186" s="2" t="s">
        <v>30</v>
      </c>
      <c r="EA186" s="2" t="s">
        <v>30</v>
      </c>
      <c r="EB186" s="2" t="s">
        <v>30</v>
      </c>
      <c r="EC186" s="2" t="s">
        <v>30</v>
      </c>
      <c r="EE186" s="2">
        <v>49661954</v>
      </c>
      <c r="EF186" s="2">
        <v>1</v>
      </c>
      <c r="EG186" s="2" t="s">
        <v>180</v>
      </c>
      <c r="EH186" s="2">
        <v>0</v>
      </c>
      <c r="EI186" s="2" t="s">
        <v>30</v>
      </c>
      <c r="EJ186" s="2">
        <v>4</v>
      </c>
      <c r="EK186" s="2">
        <v>0</v>
      </c>
      <c r="EL186" s="2" t="s">
        <v>181</v>
      </c>
      <c r="EM186" s="2" t="s">
        <v>182</v>
      </c>
      <c r="EO186" s="2" t="s">
        <v>30</v>
      </c>
      <c r="EQ186" s="2">
        <v>0</v>
      </c>
      <c r="ER186" s="2">
        <v>5174.5200000000004</v>
      </c>
      <c r="ES186" s="2">
        <v>3952.5</v>
      </c>
      <c r="ET186" s="2">
        <v>0</v>
      </c>
      <c r="EU186" s="2">
        <v>0</v>
      </c>
      <c r="EV186" s="2">
        <v>1222.02</v>
      </c>
      <c r="EW186" s="2">
        <v>6.29</v>
      </c>
      <c r="EX186" s="2">
        <v>0</v>
      </c>
      <c r="EY186" s="2">
        <v>0</v>
      </c>
      <c r="FQ186" s="2">
        <v>0</v>
      </c>
      <c r="FR186" s="2">
        <f>ROUND(IF(AND(BH186=3,BI186=3),P186,0),2)</f>
        <v>0</v>
      </c>
      <c r="FS186" s="2">
        <v>0</v>
      </c>
      <c r="FX186" s="2">
        <v>70</v>
      </c>
      <c r="FY186" s="2">
        <v>10</v>
      </c>
      <c r="GA186" s="2" t="s">
        <v>30</v>
      </c>
      <c r="GD186" s="2">
        <v>0</v>
      </c>
      <c r="GF186" s="2">
        <v>-824199479</v>
      </c>
      <c r="GG186" s="2">
        <v>2</v>
      </c>
      <c r="GH186" s="2">
        <v>1</v>
      </c>
      <c r="GI186" s="2">
        <v>-2</v>
      </c>
      <c r="GJ186" s="2">
        <v>0</v>
      </c>
      <c r="GK186" s="2">
        <f>ROUND(R186*(R12)/100,2)</f>
        <v>0</v>
      </c>
      <c r="GL186" s="2">
        <f>ROUND(IF(AND(BH186=3,BI186=3,FS186&lt;&gt;0),P186,0),2)</f>
        <v>0</v>
      </c>
      <c r="GM186" s="2">
        <f>ROUND(O186+X186+Y186+GK186,2)+GX186</f>
        <v>-18456.41</v>
      </c>
      <c r="GN186" s="2">
        <f>IF(OR(BI186=0,BI186=1),ROUND(O186+X186+Y186+GK186,2),0)</f>
        <v>0</v>
      </c>
      <c r="GO186" s="2">
        <f>IF(BI186=2,ROUND(O186+X186+Y186+GK186,2),0)</f>
        <v>0</v>
      </c>
      <c r="GP186" s="2">
        <f>IF(BI186=4,ROUND(O186+X186+Y186+GK186,2)+GX186,0)</f>
        <v>-18456.41</v>
      </c>
      <c r="GR186" s="2">
        <v>0</v>
      </c>
      <c r="GS186" s="2">
        <v>3</v>
      </c>
      <c r="GT186" s="2">
        <v>0</v>
      </c>
      <c r="GU186" s="2" t="s">
        <v>30</v>
      </c>
      <c r="GV186" s="2">
        <f>ROUND((GT186),6)</f>
        <v>0</v>
      </c>
      <c r="GW186" s="2">
        <v>1</v>
      </c>
      <c r="GX186" s="2">
        <f>ROUND(HC186*I186,2)</f>
        <v>0</v>
      </c>
      <c r="HA186" s="2">
        <v>0</v>
      </c>
      <c r="HB186" s="2">
        <v>0</v>
      </c>
      <c r="HC186" s="2">
        <f>GV186*GW186</f>
        <v>0</v>
      </c>
      <c r="HE186" s="2" t="s">
        <v>30</v>
      </c>
      <c r="HF186" s="2" t="s">
        <v>30</v>
      </c>
      <c r="HM186" s="2" t="s">
        <v>30</v>
      </c>
      <c r="HN186" s="2" t="s">
        <v>30</v>
      </c>
      <c r="HO186" s="2" t="s">
        <v>30</v>
      </c>
      <c r="HP186" s="2" t="s">
        <v>30</v>
      </c>
      <c r="HQ186" s="2" t="s">
        <v>30</v>
      </c>
      <c r="IK186" s="2">
        <v>0</v>
      </c>
    </row>
    <row r="187" spans="1:245" x14ac:dyDescent="0.25">
      <c r="A187" s="2">
        <v>17</v>
      </c>
      <c r="B187" s="2">
        <v>1</v>
      </c>
      <c r="C187" s="2">
        <f>ROW('SmtRes (2)'!A62)</f>
        <v>62</v>
      </c>
      <c r="D187" s="2">
        <f>ROW('EtalonRes (2)'!A60)</f>
        <v>60</v>
      </c>
      <c r="E187" s="2" t="s">
        <v>320</v>
      </c>
      <c r="F187" s="2" t="s">
        <v>321</v>
      </c>
      <c r="G187" s="2" t="s">
        <v>322</v>
      </c>
      <c r="H187" s="2" t="s">
        <v>60</v>
      </c>
      <c r="I187" s="2">
        <f>ROUND(300/100,9)</f>
        <v>3</v>
      </c>
      <c r="J187" s="2">
        <v>0</v>
      </c>
      <c r="K187" s="2">
        <f>ROUND(300/100,9)</f>
        <v>3</v>
      </c>
      <c r="O187" s="2">
        <f>ROUND(CP187,2)</f>
        <v>8911.9500000000007</v>
      </c>
      <c r="P187" s="2">
        <f>ROUND(CQ187*I187,2)</f>
        <v>5065.62</v>
      </c>
      <c r="Q187" s="2">
        <f>ROUND(CR187*I187,2)</f>
        <v>0</v>
      </c>
      <c r="R187" s="2">
        <f>ROUND(CS187*I187,2)</f>
        <v>0</v>
      </c>
      <c r="S187" s="2">
        <f>ROUND(CT187*I187,2)</f>
        <v>3846.33</v>
      </c>
      <c r="T187" s="2">
        <f>ROUND(CU187*I187,2)</f>
        <v>0</v>
      </c>
      <c r="U187" s="2">
        <f>CV187*I187</f>
        <v>18.12</v>
      </c>
      <c r="V187" s="2">
        <f>CW187*I187</f>
        <v>0</v>
      </c>
      <c r="W187" s="2">
        <f>ROUND(CX187*I187,2)</f>
        <v>0</v>
      </c>
      <c r="X187" s="2">
        <f t="shared" si="99"/>
        <v>2692.43</v>
      </c>
      <c r="Y187" s="2">
        <f t="shared" si="99"/>
        <v>384.63</v>
      </c>
      <c r="AA187" s="2">
        <v>52262273</v>
      </c>
      <c r="AB187" s="2">
        <f>ROUND((AC187+AD187+AF187),6)</f>
        <v>2970.65</v>
      </c>
      <c r="AC187" s="2">
        <f>ROUND((ES187),6)</f>
        <v>1688.54</v>
      </c>
      <c r="AD187" s="2">
        <f>ROUND((((ET187)-(EU187))+AE187),6)</f>
        <v>0</v>
      </c>
      <c r="AE187" s="2">
        <f t="shared" si="100"/>
        <v>0</v>
      </c>
      <c r="AF187" s="2">
        <f t="shared" si="100"/>
        <v>1282.1099999999999</v>
      </c>
      <c r="AG187" s="2">
        <f>ROUND((AP187),6)</f>
        <v>0</v>
      </c>
      <c r="AH187" s="2">
        <f t="shared" si="101"/>
        <v>6.04</v>
      </c>
      <c r="AI187" s="2">
        <f t="shared" si="101"/>
        <v>0</v>
      </c>
      <c r="AJ187" s="2">
        <f>(AS187)</f>
        <v>0</v>
      </c>
      <c r="AK187" s="2">
        <v>2970.65</v>
      </c>
      <c r="AL187" s="2">
        <v>1688.54</v>
      </c>
      <c r="AM187" s="2">
        <v>0</v>
      </c>
      <c r="AN187" s="2">
        <v>0</v>
      </c>
      <c r="AO187" s="2">
        <v>1282.1099999999999</v>
      </c>
      <c r="AP187" s="2">
        <v>0</v>
      </c>
      <c r="AQ187" s="2">
        <v>6.04</v>
      </c>
      <c r="AR187" s="2">
        <v>0</v>
      </c>
      <c r="AS187" s="2">
        <v>0</v>
      </c>
      <c r="AT187" s="2">
        <v>70</v>
      </c>
      <c r="AU187" s="2">
        <v>10</v>
      </c>
      <c r="AV187" s="2">
        <v>1</v>
      </c>
      <c r="AW187" s="2">
        <v>1</v>
      </c>
      <c r="AZ187" s="2">
        <v>1</v>
      </c>
      <c r="BA187" s="2">
        <v>1</v>
      </c>
      <c r="BB187" s="2">
        <v>1</v>
      </c>
      <c r="BC187" s="2">
        <v>1</v>
      </c>
      <c r="BD187" s="2" t="s">
        <v>30</v>
      </c>
      <c r="BE187" s="2" t="s">
        <v>30</v>
      </c>
      <c r="BF187" s="2" t="s">
        <v>30</v>
      </c>
      <c r="BG187" s="2" t="s">
        <v>30</v>
      </c>
      <c r="BH187" s="2">
        <v>0</v>
      </c>
      <c r="BI187" s="2">
        <v>4</v>
      </c>
      <c r="BJ187" s="2" t="s">
        <v>323</v>
      </c>
      <c r="BM187" s="2">
        <v>0</v>
      </c>
      <c r="BN187" s="2">
        <v>0</v>
      </c>
      <c r="BO187" s="2" t="s">
        <v>30</v>
      </c>
      <c r="BP187" s="2">
        <v>0</v>
      </c>
      <c r="BQ187" s="2">
        <v>1</v>
      </c>
      <c r="BR187" s="2">
        <v>0</v>
      </c>
      <c r="BS187" s="2">
        <v>1</v>
      </c>
      <c r="BT187" s="2">
        <v>1</v>
      </c>
      <c r="BU187" s="2">
        <v>1</v>
      </c>
      <c r="BV187" s="2">
        <v>1</v>
      </c>
      <c r="BW187" s="2">
        <v>1</v>
      </c>
      <c r="BX187" s="2">
        <v>1</v>
      </c>
      <c r="BY187" s="2" t="s">
        <v>30</v>
      </c>
      <c r="BZ187" s="2">
        <v>70</v>
      </c>
      <c r="CA187" s="2">
        <v>10</v>
      </c>
      <c r="CB187" s="2" t="s">
        <v>30</v>
      </c>
      <c r="CE187" s="2">
        <v>0</v>
      </c>
      <c r="CF187" s="2">
        <v>0</v>
      </c>
      <c r="CG187" s="2">
        <v>0</v>
      </c>
      <c r="CM187" s="2">
        <v>0</v>
      </c>
      <c r="CN187" s="2" t="s">
        <v>30</v>
      </c>
      <c r="CO187" s="2">
        <v>0</v>
      </c>
      <c r="CP187" s="2">
        <f>(P187+Q187+S187)</f>
        <v>8911.9500000000007</v>
      </c>
      <c r="CQ187" s="2">
        <f>(AC187*BC187*AW187)</f>
        <v>1688.54</v>
      </c>
      <c r="CR187" s="2">
        <f>((((ET187)*BB187-(EU187)*BS187)+AE187*BS187)*AV187)</f>
        <v>0</v>
      </c>
      <c r="CS187" s="2">
        <f>(AE187*BS187*AV187)</f>
        <v>0</v>
      </c>
      <c r="CT187" s="2">
        <f>(AF187*BA187*AV187)</f>
        <v>1282.1099999999999</v>
      </c>
      <c r="CU187" s="2">
        <f>AG187</f>
        <v>0</v>
      </c>
      <c r="CV187" s="2">
        <f>(AH187*AV187)</f>
        <v>6.04</v>
      </c>
      <c r="CW187" s="2">
        <f t="shared" si="102"/>
        <v>0</v>
      </c>
      <c r="CX187" s="2">
        <f t="shared" si="102"/>
        <v>0</v>
      </c>
      <c r="CY187" s="2">
        <f>((S187*BZ187)/100)</f>
        <v>2692.431</v>
      </c>
      <c r="CZ187" s="2">
        <f>((S187*CA187)/100)</f>
        <v>384.63299999999998</v>
      </c>
      <c r="DC187" s="2" t="s">
        <v>30</v>
      </c>
      <c r="DD187" s="2" t="s">
        <v>30</v>
      </c>
      <c r="DE187" s="2" t="s">
        <v>30</v>
      </c>
      <c r="DF187" s="2" t="s">
        <v>30</v>
      </c>
      <c r="DG187" s="2" t="s">
        <v>30</v>
      </c>
      <c r="DH187" s="2" t="s">
        <v>30</v>
      </c>
      <c r="DI187" s="2" t="s">
        <v>30</v>
      </c>
      <c r="DJ187" s="2" t="s">
        <v>30</v>
      </c>
      <c r="DK187" s="2" t="s">
        <v>30</v>
      </c>
      <c r="DL187" s="2" t="s">
        <v>30</v>
      </c>
      <c r="DM187" s="2" t="s">
        <v>30</v>
      </c>
      <c r="DN187" s="2">
        <v>0</v>
      </c>
      <c r="DO187" s="2">
        <v>0</v>
      </c>
      <c r="DP187" s="2">
        <v>1</v>
      </c>
      <c r="DQ187" s="2">
        <v>1</v>
      </c>
      <c r="DU187" s="2">
        <v>1005</v>
      </c>
      <c r="DV187" s="2" t="s">
        <v>60</v>
      </c>
      <c r="DW187" s="2" t="s">
        <v>60</v>
      </c>
      <c r="DX187" s="2">
        <v>100</v>
      </c>
      <c r="DZ187" s="2" t="s">
        <v>30</v>
      </c>
      <c r="EA187" s="2" t="s">
        <v>30</v>
      </c>
      <c r="EB187" s="2" t="s">
        <v>30</v>
      </c>
      <c r="EC187" s="2" t="s">
        <v>30</v>
      </c>
      <c r="EE187" s="2">
        <v>49661954</v>
      </c>
      <c r="EF187" s="2">
        <v>1</v>
      </c>
      <c r="EG187" s="2" t="s">
        <v>180</v>
      </c>
      <c r="EH187" s="2">
        <v>0</v>
      </c>
      <c r="EI187" s="2" t="s">
        <v>30</v>
      </c>
      <c r="EJ187" s="2">
        <v>4</v>
      </c>
      <c r="EK187" s="2">
        <v>0</v>
      </c>
      <c r="EL187" s="2" t="s">
        <v>181</v>
      </c>
      <c r="EM187" s="2" t="s">
        <v>182</v>
      </c>
      <c r="EO187" s="2" t="s">
        <v>30</v>
      </c>
      <c r="EQ187" s="2">
        <v>0</v>
      </c>
      <c r="ER187" s="2">
        <v>2970.65</v>
      </c>
      <c r="ES187" s="2">
        <v>1688.54</v>
      </c>
      <c r="ET187" s="2">
        <v>0</v>
      </c>
      <c r="EU187" s="2">
        <v>0</v>
      </c>
      <c r="EV187" s="2">
        <v>1282.1099999999999</v>
      </c>
      <c r="EW187" s="2">
        <v>6.04</v>
      </c>
      <c r="EX187" s="2">
        <v>0</v>
      </c>
      <c r="EY187" s="2">
        <v>0</v>
      </c>
      <c r="FQ187" s="2">
        <v>0</v>
      </c>
      <c r="FR187" s="2">
        <f>ROUND(IF(AND(BH187=3,BI187=3),P187,0),2)</f>
        <v>0</v>
      </c>
      <c r="FS187" s="2">
        <v>0</v>
      </c>
      <c r="FX187" s="2">
        <v>70</v>
      </c>
      <c r="FY187" s="2">
        <v>10</v>
      </c>
      <c r="GA187" s="2" t="s">
        <v>30</v>
      </c>
      <c r="GD187" s="2">
        <v>0</v>
      </c>
      <c r="GF187" s="2">
        <v>-499590402</v>
      </c>
      <c r="GG187" s="2">
        <v>2</v>
      </c>
      <c r="GH187" s="2">
        <v>1</v>
      </c>
      <c r="GI187" s="2">
        <v>-2</v>
      </c>
      <c r="GJ187" s="2">
        <v>0</v>
      </c>
      <c r="GK187" s="2">
        <f>ROUND(R187*(R12)/100,2)</f>
        <v>0</v>
      </c>
      <c r="GL187" s="2">
        <f>ROUND(IF(AND(BH187=3,BI187=3,FS187&lt;&gt;0),P187,0),2)</f>
        <v>0</v>
      </c>
      <c r="GM187" s="2">
        <f>ROUND(O187+X187+Y187+GK187,2)+GX187</f>
        <v>11989.01</v>
      </c>
      <c r="GN187" s="2">
        <f>IF(OR(BI187=0,BI187=1),ROUND(O187+X187+Y187+GK187,2),0)</f>
        <v>0</v>
      </c>
      <c r="GO187" s="2">
        <f>IF(BI187=2,ROUND(O187+X187+Y187+GK187,2),0)</f>
        <v>0</v>
      </c>
      <c r="GP187" s="2">
        <f>IF(BI187=4,ROUND(O187+X187+Y187+GK187,2)+GX187,0)</f>
        <v>11989.01</v>
      </c>
      <c r="GR187" s="2">
        <v>0</v>
      </c>
      <c r="GS187" s="2">
        <v>0</v>
      </c>
      <c r="GT187" s="2">
        <v>0</v>
      </c>
      <c r="GU187" s="2" t="s">
        <v>30</v>
      </c>
      <c r="GV187" s="2">
        <f>ROUND((GT187),6)</f>
        <v>0</v>
      </c>
      <c r="GW187" s="2">
        <v>1</v>
      </c>
      <c r="GX187" s="2">
        <f>ROUND(HC187*I187,2)</f>
        <v>0</v>
      </c>
      <c r="HA187" s="2">
        <v>0</v>
      </c>
      <c r="HB187" s="2">
        <v>0</v>
      </c>
      <c r="HC187" s="2">
        <f>GV187*GW187</f>
        <v>0</v>
      </c>
      <c r="HE187" s="2" t="s">
        <v>30</v>
      </c>
      <c r="HF187" s="2" t="s">
        <v>30</v>
      </c>
      <c r="HM187" s="2" t="s">
        <v>30</v>
      </c>
      <c r="HN187" s="2" t="s">
        <v>30</v>
      </c>
      <c r="HO187" s="2" t="s">
        <v>30</v>
      </c>
      <c r="HP187" s="2" t="s">
        <v>30</v>
      </c>
      <c r="HQ187" s="2" t="s">
        <v>30</v>
      </c>
      <c r="IK187" s="2">
        <v>0</v>
      </c>
    </row>
    <row r="189" spans="1:245" ht="13" x14ac:dyDescent="0.3">
      <c r="A189" s="44">
        <v>51</v>
      </c>
      <c r="B189" s="44">
        <f>B180</f>
        <v>1</v>
      </c>
      <c r="C189" s="44">
        <f>A180</f>
        <v>4</v>
      </c>
      <c r="D189" s="44">
        <f>ROW(A180)</f>
        <v>180</v>
      </c>
      <c r="E189" s="44"/>
      <c r="F189" s="44" t="str">
        <f>IF(F180&lt;&gt;"",F180,"")</f>
        <v>Новый раздел</v>
      </c>
      <c r="G189" s="44" t="str">
        <f>IF(G180&lt;&gt;"",G180,"")</f>
        <v>Ремонт газонов -300м2</v>
      </c>
      <c r="H189" s="44">
        <v>0</v>
      </c>
      <c r="I189" s="44"/>
      <c r="J189" s="44"/>
      <c r="K189" s="44"/>
      <c r="L189" s="44"/>
      <c r="M189" s="44"/>
      <c r="N189" s="44"/>
      <c r="O189" s="44">
        <f t="shared" ref="O189:T189" si="103">ROUND(AB189,2)</f>
        <v>49272.65</v>
      </c>
      <c r="P189" s="44">
        <f t="shared" si="103"/>
        <v>28780.63</v>
      </c>
      <c r="Q189" s="44">
        <f t="shared" si="103"/>
        <v>145.49</v>
      </c>
      <c r="R189" s="44">
        <f t="shared" si="103"/>
        <v>51.35</v>
      </c>
      <c r="S189" s="44">
        <f t="shared" si="103"/>
        <v>20346.53</v>
      </c>
      <c r="T189" s="44">
        <f t="shared" si="103"/>
        <v>0</v>
      </c>
      <c r="U189" s="44">
        <f>AH189</f>
        <v>103.05</v>
      </c>
      <c r="V189" s="44">
        <f>AI189</f>
        <v>0</v>
      </c>
      <c r="W189" s="44">
        <f>ROUND(AJ189,2)</f>
        <v>0</v>
      </c>
      <c r="X189" s="44">
        <f>ROUND(AK189,2)</f>
        <v>14242.57</v>
      </c>
      <c r="Y189" s="44">
        <f>ROUND(AL189,2)</f>
        <v>2034.65</v>
      </c>
      <c r="Z189" s="44"/>
      <c r="AA189" s="44"/>
      <c r="AB189" s="44">
        <f>ROUND(SUMIF(AA184:AA187,"=52262273",O184:O187),2)</f>
        <v>49272.65</v>
      </c>
      <c r="AC189" s="44">
        <f>ROUND(SUMIF(AA184:AA187,"=52262273",P184:P187),2)</f>
        <v>28780.63</v>
      </c>
      <c r="AD189" s="44">
        <f>ROUND(SUMIF(AA184:AA187,"=52262273",Q184:Q187),2)</f>
        <v>145.49</v>
      </c>
      <c r="AE189" s="44">
        <f>ROUND(SUMIF(AA184:AA187,"=52262273",R184:R187),2)</f>
        <v>51.35</v>
      </c>
      <c r="AF189" s="44">
        <f>ROUND(SUMIF(AA184:AA187,"=52262273",S184:S187),2)</f>
        <v>20346.53</v>
      </c>
      <c r="AG189" s="44">
        <f>ROUND(SUMIF(AA184:AA187,"=52262273",T184:T187),2)</f>
        <v>0</v>
      </c>
      <c r="AH189" s="44">
        <f>SUMIF(AA184:AA187,"=52262273",U184:U187)</f>
        <v>103.05</v>
      </c>
      <c r="AI189" s="44">
        <f>SUMIF(AA184:AA187,"=52262273",V184:V187)</f>
        <v>0</v>
      </c>
      <c r="AJ189" s="44">
        <f>ROUND(SUMIF(AA184:AA187,"=52262273",W184:W187),2)</f>
        <v>0</v>
      </c>
      <c r="AK189" s="44">
        <f>ROUND(SUMIF(AA184:AA187,"=52262273",X184:X187),2)</f>
        <v>14242.57</v>
      </c>
      <c r="AL189" s="44">
        <f>ROUND(SUMIF(AA184:AA187,"=52262273",Y184:Y187),2)</f>
        <v>2034.65</v>
      </c>
      <c r="AM189" s="44"/>
      <c r="AN189" s="44"/>
      <c r="AO189" s="44">
        <f t="shared" ref="AO189:BD189" si="104">ROUND(BX189,2)</f>
        <v>0</v>
      </c>
      <c r="AP189" s="44">
        <f t="shared" si="104"/>
        <v>0</v>
      </c>
      <c r="AQ189" s="44">
        <f t="shared" si="104"/>
        <v>0</v>
      </c>
      <c r="AR189" s="44">
        <f t="shared" si="104"/>
        <v>65605.33</v>
      </c>
      <c r="AS189" s="44">
        <f t="shared" si="104"/>
        <v>0</v>
      </c>
      <c r="AT189" s="44">
        <f t="shared" si="104"/>
        <v>0</v>
      </c>
      <c r="AU189" s="44">
        <f t="shared" si="104"/>
        <v>65605.33</v>
      </c>
      <c r="AV189" s="44">
        <f t="shared" si="104"/>
        <v>28780.63</v>
      </c>
      <c r="AW189" s="44">
        <f t="shared" si="104"/>
        <v>28780.63</v>
      </c>
      <c r="AX189" s="44">
        <f t="shared" si="104"/>
        <v>0</v>
      </c>
      <c r="AY189" s="44">
        <f t="shared" si="104"/>
        <v>28780.63</v>
      </c>
      <c r="AZ189" s="44">
        <f t="shared" si="104"/>
        <v>0</v>
      </c>
      <c r="BA189" s="44">
        <f t="shared" si="104"/>
        <v>0</v>
      </c>
      <c r="BB189" s="44">
        <f t="shared" si="104"/>
        <v>0</v>
      </c>
      <c r="BC189" s="44">
        <f t="shared" si="104"/>
        <v>0</v>
      </c>
      <c r="BD189" s="44">
        <f t="shared" si="104"/>
        <v>0</v>
      </c>
      <c r="BE189" s="44"/>
      <c r="BF189" s="44"/>
      <c r="BG189" s="44"/>
      <c r="BH189" s="44"/>
      <c r="BI189" s="44"/>
      <c r="BJ189" s="44"/>
      <c r="BK189" s="44"/>
      <c r="BL189" s="44"/>
      <c r="BM189" s="44"/>
      <c r="BN189" s="44"/>
      <c r="BO189" s="44"/>
      <c r="BP189" s="44"/>
      <c r="BQ189" s="44"/>
      <c r="BR189" s="44"/>
      <c r="BS189" s="44"/>
      <c r="BT189" s="44"/>
      <c r="BU189" s="44"/>
      <c r="BV189" s="44"/>
      <c r="BW189" s="44"/>
      <c r="BX189" s="44">
        <f>ROUND(SUMIF(AA184:AA187,"=52262273",FQ184:FQ187),2)</f>
        <v>0</v>
      </c>
      <c r="BY189" s="44">
        <f>ROUND(SUMIF(AA184:AA187,"=52262273",FR184:FR187),2)</f>
        <v>0</v>
      </c>
      <c r="BZ189" s="44">
        <f>ROUND(SUMIF(AA184:AA187,"=52262273",GL184:GL187),2)</f>
        <v>0</v>
      </c>
      <c r="CA189" s="44">
        <f>ROUND(SUMIF(AA184:AA187,"=52262273",GM184:GM187),2)</f>
        <v>65605.33</v>
      </c>
      <c r="CB189" s="44">
        <f>ROUND(SUMIF(AA184:AA187,"=52262273",GN184:GN187),2)</f>
        <v>0</v>
      </c>
      <c r="CC189" s="44">
        <f>ROUND(SUMIF(AA184:AA187,"=52262273",GO184:GO187),2)</f>
        <v>0</v>
      </c>
      <c r="CD189" s="44">
        <f>ROUND(SUMIF(AA184:AA187,"=52262273",GP184:GP187),2)</f>
        <v>65605.33</v>
      </c>
      <c r="CE189" s="44">
        <f>AC189-BX189</f>
        <v>28780.63</v>
      </c>
      <c r="CF189" s="44">
        <f>AC189-BY189</f>
        <v>28780.63</v>
      </c>
      <c r="CG189" s="44">
        <f>BX189-BZ189</f>
        <v>0</v>
      </c>
      <c r="CH189" s="44">
        <f>AC189-BX189-BY189+BZ189</f>
        <v>28780.63</v>
      </c>
      <c r="CI189" s="44">
        <f>BY189-BZ189</f>
        <v>0</v>
      </c>
      <c r="CJ189" s="44">
        <f>ROUND(SUMIF(AA184:AA187,"=52262273",GX184:GX187),2)</f>
        <v>0</v>
      </c>
      <c r="CK189" s="44">
        <f>ROUND(SUMIF(AA184:AA187,"=52262273",GY184:GY187),2)</f>
        <v>0</v>
      </c>
      <c r="CL189" s="44">
        <f>ROUND(SUMIF(AA184:AA187,"=52262273",GZ184:GZ187),2)</f>
        <v>0</v>
      </c>
      <c r="CM189" s="44">
        <f>ROUND(SUMIF(AA184:AA187,"=52262273",HD184:HD187),2)</f>
        <v>0</v>
      </c>
      <c r="CN189" s="44"/>
      <c r="CO189" s="44"/>
      <c r="CP189" s="44"/>
      <c r="CQ189" s="44"/>
      <c r="CR189" s="44"/>
      <c r="CS189" s="44"/>
      <c r="CT189" s="44"/>
      <c r="CU189" s="44"/>
      <c r="CV189" s="44"/>
      <c r="CW189" s="44"/>
      <c r="CX189" s="44"/>
      <c r="CY189" s="44"/>
      <c r="CZ189" s="44"/>
      <c r="DA189" s="44"/>
      <c r="DB189" s="44"/>
      <c r="DC189" s="44"/>
      <c r="DD189" s="44"/>
      <c r="DE189" s="44"/>
      <c r="DF189" s="44"/>
      <c r="DG189" s="45"/>
      <c r="DH189" s="45"/>
      <c r="DI189" s="45"/>
      <c r="DJ189" s="45"/>
      <c r="DK189" s="45"/>
      <c r="DL189" s="45"/>
      <c r="DM189" s="45"/>
      <c r="DN189" s="45"/>
      <c r="DO189" s="45"/>
      <c r="DP189" s="45"/>
      <c r="DQ189" s="45"/>
      <c r="DR189" s="45"/>
      <c r="DS189" s="45"/>
      <c r="DT189" s="45"/>
      <c r="DU189" s="45"/>
      <c r="DV189" s="45"/>
      <c r="DW189" s="45"/>
      <c r="DX189" s="45"/>
      <c r="DY189" s="45"/>
      <c r="DZ189" s="45"/>
      <c r="EA189" s="45"/>
      <c r="EB189" s="45"/>
      <c r="EC189" s="45"/>
      <c r="ED189" s="45"/>
      <c r="EE189" s="45"/>
      <c r="EF189" s="45"/>
      <c r="EG189" s="45"/>
      <c r="EH189" s="45"/>
      <c r="EI189" s="45"/>
      <c r="EJ189" s="45"/>
      <c r="EK189" s="45"/>
      <c r="EL189" s="45"/>
      <c r="EM189" s="45"/>
      <c r="EN189" s="45"/>
      <c r="EO189" s="45"/>
      <c r="EP189" s="45"/>
      <c r="EQ189" s="45"/>
      <c r="ER189" s="45"/>
      <c r="ES189" s="45"/>
      <c r="ET189" s="45"/>
      <c r="EU189" s="45"/>
      <c r="EV189" s="45"/>
      <c r="EW189" s="45"/>
      <c r="EX189" s="45"/>
      <c r="EY189" s="45"/>
      <c r="EZ189" s="45"/>
      <c r="FA189" s="45"/>
      <c r="FB189" s="45"/>
      <c r="FC189" s="45"/>
      <c r="FD189" s="45"/>
      <c r="FE189" s="45"/>
      <c r="FF189" s="45"/>
      <c r="FG189" s="45"/>
      <c r="FH189" s="45"/>
      <c r="FI189" s="45"/>
      <c r="FJ189" s="45"/>
      <c r="FK189" s="45"/>
      <c r="FL189" s="45"/>
      <c r="FM189" s="45"/>
      <c r="FN189" s="45"/>
      <c r="FO189" s="45"/>
      <c r="FP189" s="45"/>
      <c r="FQ189" s="45"/>
      <c r="FR189" s="45"/>
      <c r="FS189" s="45"/>
      <c r="FT189" s="45"/>
      <c r="FU189" s="45"/>
      <c r="FV189" s="45"/>
      <c r="FW189" s="45"/>
      <c r="FX189" s="45"/>
      <c r="FY189" s="45"/>
      <c r="FZ189" s="45"/>
      <c r="GA189" s="45"/>
      <c r="GB189" s="45"/>
      <c r="GC189" s="45"/>
      <c r="GD189" s="45"/>
      <c r="GE189" s="45"/>
      <c r="GF189" s="45"/>
      <c r="GG189" s="45"/>
      <c r="GH189" s="45"/>
      <c r="GI189" s="45"/>
      <c r="GJ189" s="45"/>
      <c r="GK189" s="45"/>
      <c r="GL189" s="45"/>
      <c r="GM189" s="45"/>
      <c r="GN189" s="45"/>
      <c r="GO189" s="45"/>
      <c r="GP189" s="45"/>
      <c r="GQ189" s="45"/>
      <c r="GR189" s="45"/>
      <c r="GS189" s="45"/>
      <c r="GT189" s="45"/>
      <c r="GU189" s="45"/>
      <c r="GV189" s="45"/>
      <c r="GW189" s="45"/>
      <c r="GX189" s="45">
        <v>0</v>
      </c>
    </row>
    <row r="191" spans="1:245" ht="13" x14ac:dyDescent="0.3">
      <c r="A191" s="46">
        <v>50</v>
      </c>
      <c r="B191" s="46">
        <v>0</v>
      </c>
      <c r="C191" s="46">
        <v>0</v>
      </c>
      <c r="D191" s="46">
        <v>1</v>
      </c>
      <c r="E191" s="46">
        <v>201</v>
      </c>
      <c r="F191" s="46">
        <f>ROUND('Source (2)'!O189,O191)</f>
        <v>49272.65</v>
      </c>
      <c r="G191" s="46" t="s">
        <v>214</v>
      </c>
      <c r="H191" s="46" t="s">
        <v>215</v>
      </c>
      <c r="I191" s="46"/>
      <c r="J191" s="46"/>
      <c r="K191" s="46">
        <v>201</v>
      </c>
      <c r="L191" s="46">
        <v>1</v>
      </c>
      <c r="M191" s="46">
        <v>3</v>
      </c>
      <c r="N191" s="46" t="s">
        <v>30</v>
      </c>
      <c r="O191" s="46">
        <v>2</v>
      </c>
      <c r="P191" s="46"/>
      <c r="Q191" s="46"/>
      <c r="R191" s="46"/>
      <c r="S191" s="46"/>
      <c r="T191" s="46"/>
      <c r="U191" s="46"/>
      <c r="V191" s="46"/>
      <c r="W191" s="46">
        <v>49272.65</v>
      </c>
      <c r="X191" s="46">
        <v>1</v>
      </c>
      <c r="Y191" s="46">
        <v>49272.65</v>
      </c>
      <c r="Z191" s="46"/>
      <c r="AA191" s="46"/>
      <c r="AB191" s="46"/>
    </row>
    <row r="192" spans="1:245" ht="13" x14ac:dyDescent="0.3">
      <c r="A192" s="46">
        <v>50</v>
      </c>
      <c r="B192" s="46">
        <v>0</v>
      </c>
      <c r="C192" s="46">
        <v>0</v>
      </c>
      <c r="D192" s="46">
        <v>1</v>
      </c>
      <c r="E192" s="46">
        <v>202</v>
      </c>
      <c r="F192" s="46">
        <f>ROUND('Source (2)'!P189,O192)</f>
        <v>28780.63</v>
      </c>
      <c r="G192" s="46" t="s">
        <v>216</v>
      </c>
      <c r="H192" s="46" t="s">
        <v>217</v>
      </c>
      <c r="I192" s="46"/>
      <c r="J192" s="46"/>
      <c r="K192" s="46">
        <v>202</v>
      </c>
      <c r="L192" s="46">
        <v>2</v>
      </c>
      <c r="M192" s="46">
        <v>3</v>
      </c>
      <c r="N192" s="46" t="s">
        <v>30</v>
      </c>
      <c r="O192" s="46">
        <v>2</v>
      </c>
      <c r="P192" s="46"/>
      <c r="Q192" s="46"/>
      <c r="R192" s="46"/>
      <c r="S192" s="46"/>
      <c r="T192" s="46"/>
      <c r="U192" s="46"/>
      <c r="V192" s="46"/>
      <c r="W192" s="46">
        <v>28780.63</v>
      </c>
      <c r="X192" s="46">
        <v>1</v>
      </c>
      <c r="Y192" s="46">
        <v>28780.63</v>
      </c>
      <c r="Z192" s="46"/>
      <c r="AA192" s="46"/>
      <c r="AB192" s="46"/>
    </row>
    <row r="193" spans="1:28" ht="13" x14ac:dyDescent="0.3">
      <c r="A193" s="46">
        <v>50</v>
      </c>
      <c r="B193" s="46">
        <v>0</v>
      </c>
      <c r="C193" s="46">
        <v>0</v>
      </c>
      <c r="D193" s="46">
        <v>1</v>
      </c>
      <c r="E193" s="46">
        <v>222</v>
      </c>
      <c r="F193" s="46">
        <f>ROUND('Source (2)'!AO189,O193)</f>
        <v>0</v>
      </c>
      <c r="G193" s="46" t="s">
        <v>218</v>
      </c>
      <c r="H193" s="46" t="s">
        <v>219</v>
      </c>
      <c r="I193" s="46"/>
      <c r="J193" s="46"/>
      <c r="K193" s="46">
        <v>222</v>
      </c>
      <c r="L193" s="46">
        <v>3</v>
      </c>
      <c r="M193" s="46">
        <v>3</v>
      </c>
      <c r="N193" s="46" t="s">
        <v>30</v>
      </c>
      <c r="O193" s="46">
        <v>2</v>
      </c>
      <c r="P193" s="46"/>
      <c r="Q193" s="46"/>
      <c r="R193" s="46"/>
      <c r="S193" s="46"/>
      <c r="T193" s="46"/>
      <c r="U193" s="46"/>
      <c r="V193" s="46"/>
      <c r="W193" s="46">
        <v>0</v>
      </c>
      <c r="X193" s="46">
        <v>1</v>
      </c>
      <c r="Y193" s="46">
        <v>0</v>
      </c>
      <c r="Z193" s="46"/>
      <c r="AA193" s="46"/>
      <c r="AB193" s="46"/>
    </row>
    <row r="194" spans="1:28" ht="13" x14ac:dyDescent="0.3">
      <c r="A194" s="46">
        <v>50</v>
      </c>
      <c r="B194" s="46">
        <v>0</v>
      </c>
      <c r="C194" s="46">
        <v>0</v>
      </c>
      <c r="D194" s="46">
        <v>1</v>
      </c>
      <c r="E194" s="46">
        <v>225</v>
      </c>
      <c r="F194" s="46">
        <f>ROUND('Source (2)'!AV189,O194)</f>
        <v>28780.63</v>
      </c>
      <c r="G194" s="46" t="s">
        <v>220</v>
      </c>
      <c r="H194" s="46" t="s">
        <v>221</v>
      </c>
      <c r="I194" s="46"/>
      <c r="J194" s="46"/>
      <c r="K194" s="46">
        <v>225</v>
      </c>
      <c r="L194" s="46">
        <v>4</v>
      </c>
      <c r="M194" s="46">
        <v>3</v>
      </c>
      <c r="N194" s="46" t="s">
        <v>30</v>
      </c>
      <c r="O194" s="46">
        <v>2</v>
      </c>
      <c r="P194" s="46"/>
      <c r="Q194" s="46"/>
      <c r="R194" s="46"/>
      <c r="S194" s="46"/>
      <c r="T194" s="46"/>
      <c r="U194" s="46"/>
      <c r="V194" s="46"/>
      <c r="W194" s="46">
        <v>28780.63</v>
      </c>
      <c r="X194" s="46">
        <v>1</v>
      </c>
      <c r="Y194" s="46">
        <v>28780.63</v>
      </c>
      <c r="Z194" s="46"/>
      <c r="AA194" s="46"/>
      <c r="AB194" s="46"/>
    </row>
    <row r="195" spans="1:28" ht="13" x14ac:dyDescent="0.3">
      <c r="A195" s="46">
        <v>50</v>
      </c>
      <c r="B195" s="46">
        <v>0</v>
      </c>
      <c r="C195" s="46">
        <v>0</v>
      </c>
      <c r="D195" s="46">
        <v>1</v>
      </c>
      <c r="E195" s="46">
        <v>226</v>
      </c>
      <c r="F195" s="46">
        <f>ROUND('Source (2)'!AW189,O195)</f>
        <v>28780.63</v>
      </c>
      <c r="G195" s="46" t="s">
        <v>222</v>
      </c>
      <c r="H195" s="46" t="s">
        <v>223</v>
      </c>
      <c r="I195" s="46"/>
      <c r="J195" s="46"/>
      <c r="K195" s="46">
        <v>226</v>
      </c>
      <c r="L195" s="46">
        <v>5</v>
      </c>
      <c r="M195" s="46">
        <v>3</v>
      </c>
      <c r="N195" s="46" t="s">
        <v>30</v>
      </c>
      <c r="O195" s="46">
        <v>2</v>
      </c>
      <c r="P195" s="46"/>
      <c r="Q195" s="46"/>
      <c r="R195" s="46"/>
      <c r="S195" s="46"/>
      <c r="T195" s="46"/>
      <c r="U195" s="46"/>
      <c r="V195" s="46"/>
      <c r="W195" s="46">
        <v>28780.63</v>
      </c>
      <c r="X195" s="46">
        <v>1</v>
      </c>
      <c r="Y195" s="46">
        <v>28780.63</v>
      </c>
      <c r="Z195" s="46"/>
      <c r="AA195" s="46"/>
      <c r="AB195" s="46"/>
    </row>
    <row r="196" spans="1:28" ht="13" x14ac:dyDescent="0.3">
      <c r="A196" s="46">
        <v>50</v>
      </c>
      <c r="B196" s="46">
        <v>0</v>
      </c>
      <c r="C196" s="46">
        <v>0</v>
      </c>
      <c r="D196" s="46">
        <v>1</v>
      </c>
      <c r="E196" s="46">
        <v>227</v>
      </c>
      <c r="F196" s="46">
        <f>ROUND('Source (2)'!AX189,O196)</f>
        <v>0</v>
      </c>
      <c r="G196" s="46" t="s">
        <v>224</v>
      </c>
      <c r="H196" s="46" t="s">
        <v>225</v>
      </c>
      <c r="I196" s="46"/>
      <c r="J196" s="46"/>
      <c r="K196" s="46">
        <v>227</v>
      </c>
      <c r="L196" s="46">
        <v>6</v>
      </c>
      <c r="M196" s="46">
        <v>3</v>
      </c>
      <c r="N196" s="46" t="s">
        <v>30</v>
      </c>
      <c r="O196" s="46">
        <v>2</v>
      </c>
      <c r="P196" s="46"/>
      <c r="Q196" s="46"/>
      <c r="R196" s="46"/>
      <c r="S196" s="46"/>
      <c r="T196" s="46"/>
      <c r="U196" s="46"/>
      <c r="V196" s="46"/>
      <c r="W196" s="46">
        <v>0</v>
      </c>
      <c r="X196" s="46">
        <v>1</v>
      </c>
      <c r="Y196" s="46">
        <v>0</v>
      </c>
      <c r="Z196" s="46"/>
      <c r="AA196" s="46"/>
      <c r="AB196" s="46"/>
    </row>
    <row r="197" spans="1:28" ht="13" x14ac:dyDescent="0.3">
      <c r="A197" s="46">
        <v>50</v>
      </c>
      <c r="B197" s="46">
        <v>0</v>
      </c>
      <c r="C197" s="46">
        <v>0</v>
      </c>
      <c r="D197" s="46">
        <v>1</v>
      </c>
      <c r="E197" s="46">
        <v>228</v>
      </c>
      <c r="F197" s="46">
        <f>ROUND('Source (2)'!AY189,O197)</f>
        <v>28780.63</v>
      </c>
      <c r="G197" s="46" t="s">
        <v>226</v>
      </c>
      <c r="H197" s="46" t="s">
        <v>227</v>
      </c>
      <c r="I197" s="46"/>
      <c r="J197" s="46"/>
      <c r="K197" s="46">
        <v>228</v>
      </c>
      <c r="L197" s="46">
        <v>7</v>
      </c>
      <c r="M197" s="46">
        <v>3</v>
      </c>
      <c r="N197" s="46" t="s">
        <v>30</v>
      </c>
      <c r="O197" s="46">
        <v>2</v>
      </c>
      <c r="P197" s="46"/>
      <c r="Q197" s="46"/>
      <c r="R197" s="46"/>
      <c r="S197" s="46"/>
      <c r="T197" s="46"/>
      <c r="U197" s="46"/>
      <c r="V197" s="46"/>
      <c r="W197" s="46">
        <v>28780.63</v>
      </c>
      <c r="X197" s="46">
        <v>1</v>
      </c>
      <c r="Y197" s="46">
        <v>28780.63</v>
      </c>
      <c r="Z197" s="46"/>
      <c r="AA197" s="46"/>
      <c r="AB197" s="46"/>
    </row>
    <row r="198" spans="1:28" ht="13" x14ac:dyDescent="0.3">
      <c r="A198" s="46">
        <v>50</v>
      </c>
      <c r="B198" s="46">
        <v>0</v>
      </c>
      <c r="C198" s="46">
        <v>0</v>
      </c>
      <c r="D198" s="46">
        <v>1</v>
      </c>
      <c r="E198" s="46">
        <v>216</v>
      </c>
      <c r="F198" s="46">
        <f>ROUND('Source (2)'!AP189,O198)</f>
        <v>0</v>
      </c>
      <c r="G198" s="46" t="s">
        <v>228</v>
      </c>
      <c r="H198" s="46" t="s">
        <v>229</v>
      </c>
      <c r="I198" s="46"/>
      <c r="J198" s="46"/>
      <c r="K198" s="46">
        <v>216</v>
      </c>
      <c r="L198" s="46">
        <v>8</v>
      </c>
      <c r="M198" s="46">
        <v>3</v>
      </c>
      <c r="N198" s="46" t="s">
        <v>30</v>
      </c>
      <c r="O198" s="46">
        <v>2</v>
      </c>
      <c r="P198" s="46"/>
      <c r="Q198" s="46"/>
      <c r="R198" s="46"/>
      <c r="S198" s="46"/>
      <c r="T198" s="46"/>
      <c r="U198" s="46"/>
      <c r="V198" s="46"/>
      <c r="W198" s="46">
        <v>0</v>
      </c>
      <c r="X198" s="46">
        <v>1</v>
      </c>
      <c r="Y198" s="46">
        <v>0</v>
      </c>
      <c r="Z198" s="46"/>
      <c r="AA198" s="46"/>
      <c r="AB198" s="46"/>
    </row>
    <row r="199" spans="1:28" ht="13" x14ac:dyDescent="0.3">
      <c r="A199" s="46">
        <v>50</v>
      </c>
      <c r="B199" s="46">
        <v>0</v>
      </c>
      <c r="C199" s="46">
        <v>0</v>
      </c>
      <c r="D199" s="46">
        <v>1</v>
      </c>
      <c r="E199" s="46">
        <v>223</v>
      </c>
      <c r="F199" s="46">
        <f>ROUND('Source (2)'!AQ189,O199)</f>
        <v>0</v>
      </c>
      <c r="G199" s="46" t="s">
        <v>230</v>
      </c>
      <c r="H199" s="46" t="s">
        <v>231</v>
      </c>
      <c r="I199" s="46"/>
      <c r="J199" s="46"/>
      <c r="K199" s="46">
        <v>223</v>
      </c>
      <c r="L199" s="46">
        <v>9</v>
      </c>
      <c r="M199" s="46">
        <v>3</v>
      </c>
      <c r="N199" s="46" t="s">
        <v>30</v>
      </c>
      <c r="O199" s="46">
        <v>2</v>
      </c>
      <c r="P199" s="46"/>
      <c r="Q199" s="46"/>
      <c r="R199" s="46"/>
      <c r="S199" s="46"/>
      <c r="T199" s="46"/>
      <c r="U199" s="46"/>
      <c r="V199" s="46"/>
      <c r="W199" s="46">
        <v>0</v>
      </c>
      <c r="X199" s="46">
        <v>1</v>
      </c>
      <c r="Y199" s="46">
        <v>0</v>
      </c>
      <c r="Z199" s="46"/>
      <c r="AA199" s="46"/>
      <c r="AB199" s="46"/>
    </row>
    <row r="200" spans="1:28" ht="13" x14ac:dyDescent="0.3">
      <c r="A200" s="46">
        <v>50</v>
      </c>
      <c r="B200" s="46">
        <v>0</v>
      </c>
      <c r="C200" s="46">
        <v>0</v>
      </c>
      <c r="D200" s="46">
        <v>1</v>
      </c>
      <c r="E200" s="46">
        <v>229</v>
      </c>
      <c r="F200" s="46">
        <f>ROUND('Source (2)'!AZ189,O200)</f>
        <v>0</v>
      </c>
      <c r="G200" s="46" t="s">
        <v>232</v>
      </c>
      <c r="H200" s="46" t="s">
        <v>233</v>
      </c>
      <c r="I200" s="46"/>
      <c r="J200" s="46"/>
      <c r="K200" s="46">
        <v>229</v>
      </c>
      <c r="L200" s="46">
        <v>10</v>
      </c>
      <c r="M200" s="46">
        <v>3</v>
      </c>
      <c r="N200" s="46" t="s">
        <v>30</v>
      </c>
      <c r="O200" s="46">
        <v>2</v>
      </c>
      <c r="P200" s="46"/>
      <c r="Q200" s="46"/>
      <c r="R200" s="46"/>
      <c r="S200" s="46"/>
      <c r="T200" s="46"/>
      <c r="U200" s="46"/>
      <c r="V200" s="46"/>
      <c r="W200" s="46">
        <v>0</v>
      </c>
      <c r="X200" s="46">
        <v>1</v>
      </c>
      <c r="Y200" s="46">
        <v>0</v>
      </c>
      <c r="Z200" s="46"/>
      <c r="AA200" s="46"/>
      <c r="AB200" s="46"/>
    </row>
    <row r="201" spans="1:28" ht="13" x14ac:dyDescent="0.3">
      <c r="A201" s="46">
        <v>50</v>
      </c>
      <c r="B201" s="46">
        <v>0</v>
      </c>
      <c r="C201" s="46">
        <v>0</v>
      </c>
      <c r="D201" s="46">
        <v>1</v>
      </c>
      <c r="E201" s="46">
        <v>203</v>
      </c>
      <c r="F201" s="46">
        <f>ROUND('Source (2)'!Q189,O201)</f>
        <v>145.49</v>
      </c>
      <c r="G201" s="46" t="s">
        <v>234</v>
      </c>
      <c r="H201" s="46" t="s">
        <v>235</v>
      </c>
      <c r="I201" s="46"/>
      <c r="J201" s="46"/>
      <c r="K201" s="46">
        <v>203</v>
      </c>
      <c r="L201" s="46">
        <v>11</v>
      </c>
      <c r="M201" s="46">
        <v>3</v>
      </c>
      <c r="N201" s="46" t="s">
        <v>30</v>
      </c>
      <c r="O201" s="46">
        <v>2</v>
      </c>
      <c r="P201" s="46"/>
      <c r="Q201" s="46"/>
      <c r="R201" s="46"/>
      <c r="S201" s="46"/>
      <c r="T201" s="46"/>
      <c r="U201" s="46"/>
      <c r="V201" s="46"/>
      <c r="W201" s="46">
        <v>145.49</v>
      </c>
      <c r="X201" s="46">
        <v>1</v>
      </c>
      <c r="Y201" s="46">
        <v>145.49</v>
      </c>
      <c r="Z201" s="46"/>
      <c r="AA201" s="46"/>
      <c r="AB201" s="46"/>
    </row>
    <row r="202" spans="1:28" ht="13" x14ac:dyDescent="0.3">
      <c r="A202" s="46">
        <v>50</v>
      </c>
      <c r="B202" s="46">
        <v>0</v>
      </c>
      <c r="C202" s="46">
        <v>0</v>
      </c>
      <c r="D202" s="46">
        <v>1</v>
      </c>
      <c r="E202" s="46">
        <v>231</v>
      </c>
      <c r="F202" s="46">
        <f>ROUND('Source (2)'!BB189,O202)</f>
        <v>0</v>
      </c>
      <c r="G202" s="46" t="s">
        <v>236</v>
      </c>
      <c r="H202" s="46" t="s">
        <v>237</v>
      </c>
      <c r="I202" s="46"/>
      <c r="J202" s="46"/>
      <c r="K202" s="46">
        <v>231</v>
      </c>
      <c r="L202" s="46">
        <v>12</v>
      </c>
      <c r="M202" s="46">
        <v>3</v>
      </c>
      <c r="N202" s="46" t="s">
        <v>30</v>
      </c>
      <c r="O202" s="46">
        <v>2</v>
      </c>
      <c r="P202" s="46"/>
      <c r="Q202" s="46"/>
      <c r="R202" s="46"/>
      <c r="S202" s="46"/>
      <c r="T202" s="46"/>
      <c r="U202" s="46"/>
      <c r="V202" s="46"/>
      <c r="W202" s="46">
        <v>0</v>
      </c>
      <c r="X202" s="46">
        <v>1</v>
      </c>
      <c r="Y202" s="46">
        <v>0</v>
      </c>
      <c r="Z202" s="46"/>
      <c r="AA202" s="46"/>
      <c r="AB202" s="46"/>
    </row>
    <row r="203" spans="1:28" ht="13" x14ac:dyDescent="0.3">
      <c r="A203" s="46">
        <v>50</v>
      </c>
      <c r="B203" s="46">
        <v>0</v>
      </c>
      <c r="C203" s="46">
        <v>0</v>
      </c>
      <c r="D203" s="46">
        <v>1</v>
      </c>
      <c r="E203" s="46">
        <v>204</v>
      </c>
      <c r="F203" s="46">
        <f>ROUND('Source (2)'!R189,O203)</f>
        <v>51.35</v>
      </c>
      <c r="G203" s="46" t="s">
        <v>238</v>
      </c>
      <c r="H203" s="46" t="s">
        <v>239</v>
      </c>
      <c r="I203" s="46"/>
      <c r="J203" s="46"/>
      <c r="K203" s="46">
        <v>204</v>
      </c>
      <c r="L203" s="46">
        <v>13</v>
      </c>
      <c r="M203" s="46">
        <v>3</v>
      </c>
      <c r="N203" s="46" t="s">
        <v>30</v>
      </c>
      <c r="O203" s="46">
        <v>2</v>
      </c>
      <c r="P203" s="46"/>
      <c r="Q203" s="46"/>
      <c r="R203" s="46"/>
      <c r="S203" s="46"/>
      <c r="T203" s="46"/>
      <c r="U203" s="46"/>
      <c r="V203" s="46"/>
      <c r="W203" s="46">
        <v>51.35</v>
      </c>
      <c r="X203" s="46">
        <v>1</v>
      </c>
      <c r="Y203" s="46">
        <v>51.35</v>
      </c>
      <c r="Z203" s="46"/>
      <c r="AA203" s="46"/>
      <c r="AB203" s="46"/>
    </row>
    <row r="204" spans="1:28" ht="13" x14ac:dyDescent="0.3">
      <c r="A204" s="46">
        <v>50</v>
      </c>
      <c r="B204" s="46">
        <v>0</v>
      </c>
      <c r="C204" s="46">
        <v>0</v>
      </c>
      <c r="D204" s="46">
        <v>1</v>
      </c>
      <c r="E204" s="46">
        <v>205</v>
      </c>
      <c r="F204" s="46">
        <f>ROUND('Source (2)'!S189,O204)</f>
        <v>20346.53</v>
      </c>
      <c r="G204" s="46" t="s">
        <v>240</v>
      </c>
      <c r="H204" s="46" t="s">
        <v>241</v>
      </c>
      <c r="I204" s="46"/>
      <c r="J204" s="46"/>
      <c r="K204" s="46">
        <v>205</v>
      </c>
      <c r="L204" s="46">
        <v>14</v>
      </c>
      <c r="M204" s="46">
        <v>3</v>
      </c>
      <c r="N204" s="46" t="s">
        <v>30</v>
      </c>
      <c r="O204" s="46">
        <v>2</v>
      </c>
      <c r="P204" s="46"/>
      <c r="Q204" s="46"/>
      <c r="R204" s="46"/>
      <c r="S204" s="46"/>
      <c r="T204" s="46"/>
      <c r="U204" s="46"/>
      <c r="V204" s="46"/>
      <c r="W204" s="46">
        <v>20346.53</v>
      </c>
      <c r="X204" s="46">
        <v>1</v>
      </c>
      <c r="Y204" s="46">
        <v>20346.53</v>
      </c>
      <c r="Z204" s="46"/>
      <c r="AA204" s="46"/>
      <c r="AB204" s="46"/>
    </row>
    <row r="205" spans="1:28" ht="13" x14ac:dyDescent="0.3">
      <c r="A205" s="46">
        <v>50</v>
      </c>
      <c r="B205" s="46">
        <v>0</v>
      </c>
      <c r="C205" s="46">
        <v>0</v>
      </c>
      <c r="D205" s="46">
        <v>1</v>
      </c>
      <c r="E205" s="46">
        <v>232</v>
      </c>
      <c r="F205" s="46">
        <f>ROUND('Source (2)'!BC189,O205)</f>
        <v>0</v>
      </c>
      <c r="G205" s="46" t="s">
        <v>242</v>
      </c>
      <c r="H205" s="46" t="s">
        <v>243</v>
      </c>
      <c r="I205" s="46"/>
      <c r="J205" s="46"/>
      <c r="K205" s="46">
        <v>232</v>
      </c>
      <c r="L205" s="46">
        <v>15</v>
      </c>
      <c r="M205" s="46">
        <v>3</v>
      </c>
      <c r="N205" s="46" t="s">
        <v>30</v>
      </c>
      <c r="O205" s="46">
        <v>2</v>
      </c>
      <c r="P205" s="46"/>
      <c r="Q205" s="46"/>
      <c r="R205" s="46"/>
      <c r="S205" s="46"/>
      <c r="T205" s="46"/>
      <c r="U205" s="46"/>
      <c r="V205" s="46"/>
      <c r="W205" s="46">
        <v>0</v>
      </c>
      <c r="X205" s="46">
        <v>1</v>
      </c>
      <c r="Y205" s="46">
        <v>0</v>
      </c>
      <c r="Z205" s="46"/>
      <c r="AA205" s="46"/>
      <c r="AB205" s="46"/>
    </row>
    <row r="206" spans="1:28" ht="13" x14ac:dyDescent="0.3">
      <c r="A206" s="46">
        <v>50</v>
      </c>
      <c r="B206" s="46">
        <v>0</v>
      </c>
      <c r="C206" s="46">
        <v>0</v>
      </c>
      <c r="D206" s="46">
        <v>1</v>
      </c>
      <c r="E206" s="46">
        <v>214</v>
      </c>
      <c r="F206" s="46">
        <f>ROUND('Source (2)'!AS189,O206)</f>
        <v>0</v>
      </c>
      <c r="G206" s="46" t="s">
        <v>244</v>
      </c>
      <c r="H206" s="46" t="s">
        <v>245</v>
      </c>
      <c r="I206" s="46"/>
      <c r="J206" s="46"/>
      <c r="K206" s="46">
        <v>214</v>
      </c>
      <c r="L206" s="46">
        <v>16</v>
      </c>
      <c r="M206" s="46">
        <v>3</v>
      </c>
      <c r="N206" s="46" t="s">
        <v>30</v>
      </c>
      <c r="O206" s="46">
        <v>2</v>
      </c>
      <c r="P206" s="46"/>
      <c r="Q206" s="46"/>
      <c r="R206" s="46"/>
      <c r="S206" s="46"/>
      <c r="T206" s="46"/>
      <c r="U206" s="46"/>
      <c r="V206" s="46"/>
      <c r="W206" s="46">
        <v>0</v>
      </c>
      <c r="X206" s="46">
        <v>1</v>
      </c>
      <c r="Y206" s="46">
        <v>0</v>
      </c>
      <c r="Z206" s="46"/>
      <c r="AA206" s="46"/>
      <c r="AB206" s="46"/>
    </row>
    <row r="207" spans="1:28" ht="13" x14ac:dyDescent="0.3">
      <c r="A207" s="46">
        <v>50</v>
      </c>
      <c r="B207" s="46">
        <v>0</v>
      </c>
      <c r="C207" s="46">
        <v>0</v>
      </c>
      <c r="D207" s="46">
        <v>1</v>
      </c>
      <c r="E207" s="46">
        <v>215</v>
      </c>
      <c r="F207" s="46">
        <f>ROUND('Source (2)'!AT189,O207)</f>
        <v>0</v>
      </c>
      <c r="G207" s="46" t="s">
        <v>246</v>
      </c>
      <c r="H207" s="46" t="s">
        <v>247</v>
      </c>
      <c r="I207" s="46"/>
      <c r="J207" s="46"/>
      <c r="K207" s="46">
        <v>215</v>
      </c>
      <c r="L207" s="46">
        <v>17</v>
      </c>
      <c r="M207" s="46">
        <v>3</v>
      </c>
      <c r="N207" s="46" t="s">
        <v>30</v>
      </c>
      <c r="O207" s="46">
        <v>2</v>
      </c>
      <c r="P207" s="46"/>
      <c r="Q207" s="46"/>
      <c r="R207" s="46"/>
      <c r="S207" s="46"/>
      <c r="T207" s="46"/>
      <c r="U207" s="46"/>
      <c r="V207" s="46"/>
      <c r="W207" s="46">
        <v>0</v>
      </c>
      <c r="X207" s="46">
        <v>1</v>
      </c>
      <c r="Y207" s="46">
        <v>0</v>
      </c>
      <c r="Z207" s="46"/>
      <c r="AA207" s="46"/>
      <c r="AB207" s="46"/>
    </row>
    <row r="208" spans="1:28" ht="13" x14ac:dyDescent="0.3">
      <c r="A208" s="46">
        <v>50</v>
      </c>
      <c r="B208" s="46">
        <v>0</v>
      </c>
      <c r="C208" s="46">
        <v>0</v>
      </c>
      <c r="D208" s="46">
        <v>1</v>
      </c>
      <c r="E208" s="46">
        <v>217</v>
      </c>
      <c r="F208" s="46">
        <f>ROUND('Source (2)'!AU189,O208)</f>
        <v>65605.33</v>
      </c>
      <c r="G208" s="46" t="s">
        <v>248</v>
      </c>
      <c r="H208" s="46" t="s">
        <v>249</v>
      </c>
      <c r="I208" s="46"/>
      <c r="J208" s="46"/>
      <c r="K208" s="46">
        <v>217</v>
      </c>
      <c r="L208" s="46">
        <v>18</v>
      </c>
      <c r="M208" s="46">
        <v>3</v>
      </c>
      <c r="N208" s="46" t="s">
        <v>30</v>
      </c>
      <c r="O208" s="46">
        <v>2</v>
      </c>
      <c r="P208" s="46"/>
      <c r="Q208" s="46"/>
      <c r="R208" s="46"/>
      <c r="S208" s="46"/>
      <c r="T208" s="46"/>
      <c r="U208" s="46"/>
      <c r="V208" s="46"/>
      <c r="W208" s="46">
        <v>65605.33</v>
      </c>
      <c r="X208" s="46">
        <v>1</v>
      </c>
      <c r="Y208" s="46">
        <v>65605.33</v>
      </c>
      <c r="Z208" s="46"/>
      <c r="AA208" s="46"/>
      <c r="AB208" s="46"/>
    </row>
    <row r="209" spans="1:206" ht="13" x14ac:dyDescent="0.3">
      <c r="A209" s="46">
        <v>50</v>
      </c>
      <c r="B209" s="46">
        <v>0</v>
      </c>
      <c r="C209" s="46">
        <v>0</v>
      </c>
      <c r="D209" s="46">
        <v>1</v>
      </c>
      <c r="E209" s="46">
        <v>230</v>
      </c>
      <c r="F209" s="46">
        <f>ROUND('Source (2)'!BA189,O209)</f>
        <v>0</v>
      </c>
      <c r="G209" s="46" t="s">
        <v>250</v>
      </c>
      <c r="H209" s="46" t="s">
        <v>251</v>
      </c>
      <c r="I209" s="46"/>
      <c r="J209" s="46"/>
      <c r="K209" s="46">
        <v>230</v>
      </c>
      <c r="L209" s="46">
        <v>19</v>
      </c>
      <c r="M209" s="46">
        <v>3</v>
      </c>
      <c r="N209" s="46" t="s">
        <v>30</v>
      </c>
      <c r="O209" s="46">
        <v>2</v>
      </c>
      <c r="P209" s="46"/>
      <c r="Q209" s="46"/>
      <c r="R209" s="46"/>
      <c r="S209" s="46"/>
      <c r="T209" s="46"/>
      <c r="U209" s="46"/>
      <c r="V209" s="46"/>
      <c r="W209" s="46">
        <v>0</v>
      </c>
      <c r="X209" s="46">
        <v>1</v>
      </c>
      <c r="Y209" s="46">
        <v>0</v>
      </c>
      <c r="Z209" s="46"/>
      <c r="AA209" s="46"/>
      <c r="AB209" s="46"/>
    </row>
    <row r="210" spans="1:206" ht="13" x14ac:dyDescent="0.3">
      <c r="A210" s="46">
        <v>50</v>
      </c>
      <c r="B210" s="46">
        <v>0</v>
      </c>
      <c r="C210" s="46">
        <v>0</v>
      </c>
      <c r="D210" s="46">
        <v>1</v>
      </c>
      <c r="E210" s="46">
        <v>206</v>
      </c>
      <c r="F210" s="46">
        <f>ROUND('Source (2)'!T189,O210)</f>
        <v>0</v>
      </c>
      <c r="G210" s="46" t="s">
        <v>252</v>
      </c>
      <c r="H210" s="46" t="s">
        <v>253</v>
      </c>
      <c r="I210" s="46"/>
      <c r="J210" s="46"/>
      <c r="K210" s="46">
        <v>206</v>
      </c>
      <c r="L210" s="46">
        <v>20</v>
      </c>
      <c r="M210" s="46">
        <v>3</v>
      </c>
      <c r="N210" s="46" t="s">
        <v>30</v>
      </c>
      <c r="O210" s="46">
        <v>2</v>
      </c>
      <c r="P210" s="46"/>
      <c r="Q210" s="46"/>
      <c r="R210" s="46"/>
      <c r="S210" s="46"/>
      <c r="T210" s="46"/>
      <c r="U210" s="46"/>
      <c r="V210" s="46"/>
      <c r="W210" s="46">
        <v>0</v>
      </c>
      <c r="X210" s="46">
        <v>1</v>
      </c>
      <c r="Y210" s="46">
        <v>0</v>
      </c>
      <c r="Z210" s="46"/>
      <c r="AA210" s="46"/>
      <c r="AB210" s="46"/>
    </row>
    <row r="211" spans="1:206" ht="13" x14ac:dyDescent="0.3">
      <c r="A211" s="46">
        <v>50</v>
      </c>
      <c r="B211" s="46">
        <v>0</v>
      </c>
      <c r="C211" s="46">
        <v>0</v>
      </c>
      <c r="D211" s="46">
        <v>1</v>
      </c>
      <c r="E211" s="46">
        <v>207</v>
      </c>
      <c r="F211" s="46">
        <f>'Source (2)'!U189</f>
        <v>103.05</v>
      </c>
      <c r="G211" s="46" t="s">
        <v>254</v>
      </c>
      <c r="H211" s="46" t="s">
        <v>255</v>
      </c>
      <c r="I211" s="46"/>
      <c r="J211" s="46"/>
      <c r="K211" s="46">
        <v>207</v>
      </c>
      <c r="L211" s="46">
        <v>21</v>
      </c>
      <c r="M211" s="46">
        <v>3</v>
      </c>
      <c r="N211" s="46" t="s">
        <v>30</v>
      </c>
      <c r="O211" s="46">
        <v>-1</v>
      </c>
      <c r="P211" s="46"/>
      <c r="Q211" s="46"/>
      <c r="R211" s="46"/>
      <c r="S211" s="46"/>
      <c r="T211" s="46"/>
      <c r="U211" s="46"/>
      <c r="V211" s="46"/>
      <c r="W211" s="46">
        <v>103.05</v>
      </c>
      <c r="X211" s="46">
        <v>1</v>
      </c>
      <c r="Y211" s="46">
        <v>103.05</v>
      </c>
      <c r="Z211" s="46"/>
      <c r="AA211" s="46"/>
      <c r="AB211" s="46"/>
    </row>
    <row r="212" spans="1:206" ht="13" x14ac:dyDescent="0.3">
      <c r="A212" s="46">
        <v>50</v>
      </c>
      <c r="B212" s="46">
        <v>0</v>
      </c>
      <c r="C212" s="46">
        <v>0</v>
      </c>
      <c r="D212" s="46">
        <v>1</v>
      </c>
      <c r="E212" s="46">
        <v>208</v>
      </c>
      <c r="F212" s="46">
        <f>'Source (2)'!V189</f>
        <v>0</v>
      </c>
      <c r="G212" s="46" t="s">
        <v>256</v>
      </c>
      <c r="H212" s="46" t="s">
        <v>257</v>
      </c>
      <c r="I212" s="46"/>
      <c r="J212" s="46"/>
      <c r="K212" s="46">
        <v>208</v>
      </c>
      <c r="L212" s="46">
        <v>22</v>
      </c>
      <c r="M212" s="46">
        <v>3</v>
      </c>
      <c r="N212" s="46" t="s">
        <v>30</v>
      </c>
      <c r="O212" s="46">
        <v>-1</v>
      </c>
      <c r="P212" s="46"/>
      <c r="Q212" s="46"/>
      <c r="R212" s="46"/>
      <c r="S212" s="46"/>
      <c r="T212" s="46"/>
      <c r="U212" s="46"/>
      <c r="V212" s="46"/>
      <c r="W212" s="46">
        <v>0</v>
      </c>
      <c r="X212" s="46">
        <v>1</v>
      </c>
      <c r="Y212" s="46">
        <v>0</v>
      </c>
      <c r="Z212" s="46"/>
      <c r="AA212" s="46"/>
      <c r="AB212" s="46"/>
    </row>
    <row r="213" spans="1:206" ht="13" x14ac:dyDescent="0.3">
      <c r="A213" s="46">
        <v>50</v>
      </c>
      <c r="B213" s="46">
        <v>0</v>
      </c>
      <c r="C213" s="46">
        <v>0</v>
      </c>
      <c r="D213" s="46">
        <v>1</v>
      </c>
      <c r="E213" s="46">
        <v>209</v>
      </c>
      <c r="F213" s="46">
        <f>ROUND('Source (2)'!W189,O213)</f>
        <v>0</v>
      </c>
      <c r="G213" s="46" t="s">
        <v>258</v>
      </c>
      <c r="H213" s="46" t="s">
        <v>259</v>
      </c>
      <c r="I213" s="46"/>
      <c r="J213" s="46"/>
      <c r="K213" s="46">
        <v>209</v>
      </c>
      <c r="L213" s="46">
        <v>23</v>
      </c>
      <c r="M213" s="46">
        <v>3</v>
      </c>
      <c r="N213" s="46" t="s">
        <v>30</v>
      </c>
      <c r="O213" s="46">
        <v>2</v>
      </c>
      <c r="P213" s="46"/>
      <c r="Q213" s="46"/>
      <c r="R213" s="46"/>
      <c r="S213" s="46"/>
      <c r="T213" s="46"/>
      <c r="U213" s="46"/>
      <c r="V213" s="46"/>
      <c r="W213" s="46">
        <v>0</v>
      </c>
      <c r="X213" s="46">
        <v>1</v>
      </c>
      <c r="Y213" s="46">
        <v>0</v>
      </c>
      <c r="Z213" s="46"/>
      <c r="AA213" s="46"/>
      <c r="AB213" s="46"/>
    </row>
    <row r="214" spans="1:206" ht="13" x14ac:dyDescent="0.3">
      <c r="A214" s="46">
        <v>50</v>
      </c>
      <c r="B214" s="46">
        <v>0</v>
      </c>
      <c r="C214" s="46">
        <v>0</v>
      </c>
      <c r="D214" s="46">
        <v>1</v>
      </c>
      <c r="E214" s="46">
        <v>233</v>
      </c>
      <c r="F214" s="46">
        <f>ROUND('Source (2)'!BD189,O214)</f>
        <v>0</v>
      </c>
      <c r="G214" s="46" t="s">
        <v>260</v>
      </c>
      <c r="H214" s="46" t="s">
        <v>261</v>
      </c>
      <c r="I214" s="46"/>
      <c r="J214" s="46"/>
      <c r="K214" s="46">
        <v>233</v>
      </c>
      <c r="L214" s="46">
        <v>24</v>
      </c>
      <c r="M214" s="46">
        <v>3</v>
      </c>
      <c r="N214" s="46" t="s">
        <v>30</v>
      </c>
      <c r="O214" s="46">
        <v>2</v>
      </c>
      <c r="P214" s="46"/>
      <c r="Q214" s="46"/>
      <c r="R214" s="46"/>
      <c r="S214" s="46"/>
      <c r="T214" s="46"/>
      <c r="U214" s="46"/>
      <c r="V214" s="46"/>
      <c r="W214" s="46">
        <v>0</v>
      </c>
      <c r="X214" s="46">
        <v>1</v>
      </c>
      <c r="Y214" s="46">
        <v>0</v>
      </c>
      <c r="Z214" s="46"/>
      <c r="AA214" s="46"/>
      <c r="AB214" s="46"/>
    </row>
    <row r="215" spans="1:206" ht="13" x14ac:dyDescent="0.3">
      <c r="A215" s="46">
        <v>50</v>
      </c>
      <c r="B215" s="46">
        <v>0</v>
      </c>
      <c r="C215" s="46">
        <v>0</v>
      </c>
      <c r="D215" s="46">
        <v>1</v>
      </c>
      <c r="E215" s="46">
        <v>210</v>
      </c>
      <c r="F215" s="46">
        <f>ROUND('Source (2)'!X189,O215)</f>
        <v>14242.57</v>
      </c>
      <c r="G215" s="46" t="s">
        <v>262</v>
      </c>
      <c r="H215" s="46" t="s">
        <v>263</v>
      </c>
      <c r="I215" s="46"/>
      <c r="J215" s="46"/>
      <c r="K215" s="46">
        <v>210</v>
      </c>
      <c r="L215" s="46">
        <v>25</v>
      </c>
      <c r="M215" s="46">
        <v>3</v>
      </c>
      <c r="N215" s="46" t="s">
        <v>30</v>
      </c>
      <c r="O215" s="46">
        <v>2</v>
      </c>
      <c r="P215" s="46"/>
      <c r="Q215" s="46"/>
      <c r="R215" s="46"/>
      <c r="S215" s="46"/>
      <c r="T215" s="46"/>
      <c r="U215" s="46"/>
      <c r="V215" s="46"/>
      <c r="W215" s="46">
        <v>14242.57</v>
      </c>
      <c r="X215" s="46">
        <v>1</v>
      </c>
      <c r="Y215" s="46">
        <v>14242.57</v>
      </c>
      <c r="Z215" s="46"/>
      <c r="AA215" s="46"/>
      <c r="AB215" s="46"/>
    </row>
    <row r="216" spans="1:206" ht="13" x14ac:dyDescent="0.3">
      <c r="A216" s="46">
        <v>50</v>
      </c>
      <c r="B216" s="46">
        <v>0</v>
      </c>
      <c r="C216" s="46">
        <v>0</v>
      </c>
      <c r="D216" s="46">
        <v>1</v>
      </c>
      <c r="E216" s="46">
        <v>211</v>
      </c>
      <c r="F216" s="46">
        <f>ROUND('Source (2)'!Y189,O216)</f>
        <v>2034.65</v>
      </c>
      <c r="G216" s="46" t="s">
        <v>264</v>
      </c>
      <c r="H216" s="46" t="s">
        <v>265</v>
      </c>
      <c r="I216" s="46"/>
      <c r="J216" s="46"/>
      <c r="K216" s="46">
        <v>211</v>
      </c>
      <c r="L216" s="46">
        <v>26</v>
      </c>
      <c r="M216" s="46">
        <v>3</v>
      </c>
      <c r="N216" s="46" t="s">
        <v>30</v>
      </c>
      <c r="O216" s="46">
        <v>2</v>
      </c>
      <c r="P216" s="46"/>
      <c r="Q216" s="46"/>
      <c r="R216" s="46"/>
      <c r="S216" s="46"/>
      <c r="T216" s="46"/>
      <c r="U216" s="46"/>
      <c r="V216" s="46"/>
      <c r="W216" s="46">
        <v>2034.65</v>
      </c>
      <c r="X216" s="46">
        <v>1</v>
      </c>
      <c r="Y216" s="46">
        <v>2034.65</v>
      </c>
      <c r="Z216" s="46"/>
      <c r="AA216" s="46"/>
      <c r="AB216" s="46"/>
    </row>
    <row r="217" spans="1:206" ht="13" x14ac:dyDescent="0.3">
      <c r="A217" s="46">
        <v>50</v>
      </c>
      <c r="B217" s="46">
        <v>0</v>
      </c>
      <c r="C217" s="46">
        <v>0</v>
      </c>
      <c r="D217" s="46">
        <v>1</v>
      </c>
      <c r="E217" s="46">
        <v>224</v>
      </c>
      <c r="F217" s="46">
        <f>ROUND('Source (2)'!AR189,O217)</f>
        <v>65605.33</v>
      </c>
      <c r="G217" s="46" t="s">
        <v>266</v>
      </c>
      <c r="H217" s="46" t="s">
        <v>267</v>
      </c>
      <c r="I217" s="46"/>
      <c r="J217" s="46"/>
      <c r="K217" s="46">
        <v>224</v>
      </c>
      <c r="L217" s="46">
        <v>27</v>
      </c>
      <c r="M217" s="46">
        <v>3</v>
      </c>
      <c r="N217" s="46" t="s">
        <v>30</v>
      </c>
      <c r="O217" s="46">
        <v>2</v>
      </c>
      <c r="P217" s="46"/>
      <c r="Q217" s="46"/>
      <c r="R217" s="46"/>
      <c r="S217" s="46"/>
      <c r="T217" s="46"/>
      <c r="U217" s="46"/>
      <c r="V217" s="46"/>
      <c r="W217" s="46">
        <v>65605.33</v>
      </c>
      <c r="X217" s="46">
        <v>1</v>
      </c>
      <c r="Y217" s="46">
        <v>65605.33</v>
      </c>
      <c r="Z217" s="46"/>
      <c r="AA217" s="46"/>
      <c r="AB217" s="46"/>
    </row>
    <row r="219" spans="1:206" ht="13" x14ac:dyDescent="0.3">
      <c r="A219" s="44">
        <v>51</v>
      </c>
      <c r="B219" s="44">
        <f>B20</f>
        <v>1</v>
      </c>
      <c r="C219" s="44">
        <f>A20</f>
        <v>3</v>
      </c>
      <c r="D219" s="44">
        <f>ROW(A20)</f>
        <v>20</v>
      </c>
      <c r="E219" s="44"/>
      <c r="F219" s="44" t="str">
        <f>IF(F20&lt;&gt;"",F20,"")</f>
        <v>Новая локальная смета</v>
      </c>
      <c r="G219" s="44" t="str">
        <f>IF(G20&lt;&gt;"",G20,"")</f>
        <v>Новая локальная смета</v>
      </c>
      <c r="H219" s="44">
        <v>0</v>
      </c>
      <c r="I219" s="44"/>
      <c r="J219" s="44"/>
      <c r="K219" s="44"/>
      <c r="L219" s="44"/>
      <c r="M219" s="44"/>
      <c r="N219" s="44"/>
      <c r="O219" s="44">
        <f t="shared" ref="O219:T219" si="105">ROUND(O40+O93+O140+O189+AB219,2)</f>
        <v>1508635.42</v>
      </c>
      <c r="P219" s="44">
        <f t="shared" si="105"/>
        <v>889980.22</v>
      </c>
      <c r="Q219" s="44">
        <f t="shared" si="105"/>
        <v>477991.65</v>
      </c>
      <c r="R219" s="44">
        <f t="shared" si="105"/>
        <v>242709.12</v>
      </c>
      <c r="S219" s="44">
        <f t="shared" si="105"/>
        <v>140663.54999999999</v>
      </c>
      <c r="T219" s="44">
        <f t="shared" si="105"/>
        <v>0</v>
      </c>
      <c r="U219" s="44">
        <f>U40+U93+U140+U189+AH219</f>
        <v>648.00717799999995</v>
      </c>
      <c r="V219" s="44">
        <f>V40+V93+V140+V189+AI219</f>
        <v>0</v>
      </c>
      <c r="W219" s="44">
        <f>ROUND(W40+W93+W140+W189+AJ219,2)</f>
        <v>0</v>
      </c>
      <c r="X219" s="44">
        <f>ROUND(X40+X93+X140+X189+AK219,2)</f>
        <v>98464.49</v>
      </c>
      <c r="Y219" s="44">
        <f>ROUND(Y40+Y93+Y140+Y189+AL219,2)</f>
        <v>14066.36</v>
      </c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>
        <f t="shared" ref="AO219:BD219" si="106">ROUND(AO40+AO93+AO140+AO189+BX219,2)</f>
        <v>0</v>
      </c>
      <c r="AP219" s="44">
        <f t="shared" si="106"/>
        <v>0</v>
      </c>
      <c r="AQ219" s="44">
        <f t="shared" si="106"/>
        <v>0</v>
      </c>
      <c r="AR219" s="44">
        <f t="shared" si="106"/>
        <v>1682458.56</v>
      </c>
      <c r="AS219" s="44">
        <f t="shared" si="106"/>
        <v>0</v>
      </c>
      <c r="AT219" s="44">
        <f t="shared" si="106"/>
        <v>0</v>
      </c>
      <c r="AU219" s="44">
        <f t="shared" si="106"/>
        <v>1682458.56</v>
      </c>
      <c r="AV219" s="44">
        <f t="shared" si="106"/>
        <v>889980.22</v>
      </c>
      <c r="AW219" s="44">
        <f t="shared" si="106"/>
        <v>889980.22</v>
      </c>
      <c r="AX219" s="44">
        <f t="shared" si="106"/>
        <v>0</v>
      </c>
      <c r="AY219" s="44">
        <f t="shared" si="106"/>
        <v>889980.22</v>
      </c>
      <c r="AZ219" s="44">
        <f t="shared" si="106"/>
        <v>0</v>
      </c>
      <c r="BA219" s="44">
        <f t="shared" si="106"/>
        <v>0</v>
      </c>
      <c r="BB219" s="44">
        <f t="shared" si="106"/>
        <v>0</v>
      </c>
      <c r="BC219" s="44">
        <f t="shared" si="106"/>
        <v>0</v>
      </c>
      <c r="BD219" s="44">
        <f t="shared" si="106"/>
        <v>0</v>
      </c>
      <c r="BE219" s="44"/>
      <c r="BF219" s="44"/>
      <c r="BG219" s="44"/>
      <c r="BH219" s="44"/>
      <c r="BI219" s="44"/>
      <c r="BJ219" s="44"/>
      <c r="BK219" s="44"/>
      <c r="BL219" s="44"/>
      <c r="BM219" s="44"/>
      <c r="BN219" s="44"/>
      <c r="BO219" s="44"/>
      <c r="BP219" s="44"/>
      <c r="BQ219" s="44"/>
      <c r="BR219" s="44"/>
      <c r="BS219" s="44"/>
      <c r="BT219" s="44"/>
      <c r="BU219" s="44"/>
      <c r="BV219" s="44"/>
      <c r="BW219" s="44"/>
      <c r="BX219" s="44"/>
      <c r="BY219" s="44"/>
      <c r="BZ219" s="44"/>
      <c r="CA219" s="44"/>
      <c r="CB219" s="44"/>
      <c r="CC219" s="44"/>
      <c r="CD219" s="44"/>
      <c r="CE219" s="44"/>
      <c r="CF219" s="44"/>
      <c r="CG219" s="44"/>
      <c r="CH219" s="44"/>
      <c r="CI219" s="44"/>
      <c r="CJ219" s="44"/>
      <c r="CK219" s="44"/>
      <c r="CL219" s="44"/>
      <c r="CM219" s="44"/>
      <c r="CN219" s="44"/>
      <c r="CO219" s="44"/>
      <c r="CP219" s="44"/>
      <c r="CQ219" s="44"/>
      <c r="CR219" s="44"/>
      <c r="CS219" s="44"/>
      <c r="CT219" s="44"/>
      <c r="CU219" s="44"/>
      <c r="CV219" s="44"/>
      <c r="CW219" s="44"/>
      <c r="CX219" s="44"/>
      <c r="CY219" s="44"/>
      <c r="CZ219" s="44"/>
      <c r="DA219" s="44"/>
      <c r="DB219" s="44"/>
      <c r="DC219" s="44"/>
      <c r="DD219" s="44"/>
      <c r="DE219" s="44"/>
      <c r="DF219" s="44"/>
      <c r="DG219" s="45"/>
      <c r="DH219" s="45"/>
      <c r="DI219" s="45"/>
      <c r="DJ219" s="45"/>
      <c r="DK219" s="45"/>
      <c r="DL219" s="45"/>
      <c r="DM219" s="45"/>
      <c r="DN219" s="45"/>
      <c r="DO219" s="45"/>
      <c r="DP219" s="45"/>
      <c r="DQ219" s="45"/>
      <c r="DR219" s="45"/>
      <c r="DS219" s="45"/>
      <c r="DT219" s="45"/>
      <c r="DU219" s="45"/>
      <c r="DV219" s="45"/>
      <c r="DW219" s="45"/>
      <c r="DX219" s="45"/>
      <c r="DY219" s="45"/>
      <c r="DZ219" s="45"/>
      <c r="EA219" s="45"/>
      <c r="EB219" s="45"/>
      <c r="EC219" s="45"/>
      <c r="ED219" s="45"/>
      <c r="EE219" s="45"/>
      <c r="EF219" s="45"/>
      <c r="EG219" s="45"/>
      <c r="EH219" s="45"/>
      <c r="EI219" s="45"/>
      <c r="EJ219" s="45"/>
      <c r="EK219" s="45"/>
      <c r="EL219" s="45"/>
      <c r="EM219" s="45"/>
      <c r="EN219" s="45"/>
      <c r="EO219" s="45"/>
      <c r="EP219" s="45"/>
      <c r="EQ219" s="45"/>
      <c r="ER219" s="45"/>
      <c r="ES219" s="45"/>
      <c r="ET219" s="45"/>
      <c r="EU219" s="45"/>
      <c r="EV219" s="45"/>
      <c r="EW219" s="45"/>
      <c r="EX219" s="45"/>
      <c r="EY219" s="45"/>
      <c r="EZ219" s="45"/>
      <c r="FA219" s="45"/>
      <c r="FB219" s="45"/>
      <c r="FC219" s="45"/>
      <c r="FD219" s="45"/>
      <c r="FE219" s="45"/>
      <c r="FF219" s="45"/>
      <c r="FG219" s="45"/>
      <c r="FH219" s="45"/>
      <c r="FI219" s="45"/>
      <c r="FJ219" s="45"/>
      <c r="FK219" s="45"/>
      <c r="FL219" s="45"/>
      <c r="FM219" s="45"/>
      <c r="FN219" s="45"/>
      <c r="FO219" s="45"/>
      <c r="FP219" s="45"/>
      <c r="FQ219" s="45"/>
      <c r="FR219" s="45"/>
      <c r="FS219" s="45"/>
      <c r="FT219" s="45"/>
      <c r="FU219" s="45"/>
      <c r="FV219" s="45"/>
      <c r="FW219" s="45"/>
      <c r="FX219" s="45"/>
      <c r="FY219" s="45"/>
      <c r="FZ219" s="45"/>
      <c r="GA219" s="45"/>
      <c r="GB219" s="45"/>
      <c r="GC219" s="45"/>
      <c r="GD219" s="45"/>
      <c r="GE219" s="45"/>
      <c r="GF219" s="45"/>
      <c r="GG219" s="45"/>
      <c r="GH219" s="45"/>
      <c r="GI219" s="45"/>
      <c r="GJ219" s="45"/>
      <c r="GK219" s="45"/>
      <c r="GL219" s="45"/>
      <c r="GM219" s="45"/>
      <c r="GN219" s="45"/>
      <c r="GO219" s="45"/>
      <c r="GP219" s="45"/>
      <c r="GQ219" s="45"/>
      <c r="GR219" s="45"/>
      <c r="GS219" s="45"/>
      <c r="GT219" s="45"/>
      <c r="GU219" s="45"/>
      <c r="GV219" s="45"/>
      <c r="GW219" s="45"/>
      <c r="GX219" s="45">
        <v>0</v>
      </c>
    </row>
    <row r="221" spans="1:206" ht="13" x14ac:dyDescent="0.3">
      <c r="A221" s="46">
        <v>50</v>
      </c>
      <c r="B221" s="46">
        <v>0</v>
      </c>
      <c r="C221" s="46">
        <v>0</v>
      </c>
      <c r="D221" s="46">
        <v>1</v>
      </c>
      <c r="E221" s="46">
        <v>201</v>
      </c>
      <c r="F221" s="46">
        <f>ROUND('Source (2)'!O219,O221)</f>
        <v>1508635.42</v>
      </c>
      <c r="G221" s="46" t="s">
        <v>214</v>
      </c>
      <c r="H221" s="46" t="s">
        <v>215</v>
      </c>
      <c r="I221" s="46"/>
      <c r="J221" s="46"/>
      <c r="K221" s="46">
        <v>201</v>
      </c>
      <c r="L221" s="46">
        <v>1</v>
      </c>
      <c r="M221" s="46">
        <v>3</v>
      </c>
      <c r="N221" s="46" t="s">
        <v>30</v>
      </c>
      <c r="O221" s="46">
        <v>2</v>
      </c>
      <c r="P221" s="46"/>
      <c r="Q221" s="46"/>
      <c r="R221" s="46"/>
      <c r="S221" s="46"/>
      <c r="T221" s="46"/>
      <c r="U221" s="46"/>
      <c r="V221" s="46"/>
      <c r="W221" s="46">
        <v>1555460.42</v>
      </c>
      <c r="X221" s="46">
        <v>1</v>
      </c>
      <c r="Y221" s="46">
        <v>1555460.42</v>
      </c>
      <c r="Z221" s="46"/>
      <c r="AA221" s="46"/>
      <c r="AB221" s="46"/>
    </row>
    <row r="222" spans="1:206" ht="13" x14ac:dyDescent="0.3">
      <c r="A222" s="46">
        <v>50</v>
      </c>
      <c r="B222" s="46">
        <v>0</v>
      </c>
      <c r="C222" s="46">
        <v>0</v>
      </c>
      <c r="D222" s="46">
        <v>1</v>
      </c>
      <c r="E222" s="46">
        <v>202</v>
      </c>
      <c r="F222" s="46">
        <f>ROUND('Source (2)'!P219,O222)</f>
        <v>889980.22</v>
      </c>
      <c r="G222" s="46" t="s">
        <v>216</v>
      </c>
      <c r="H222" s="46" t="s">
        <v>217</v>
      </c>
      <c r="I222" s="46"/>
      <c r="J222" s="46"/>
      <c r="K222" s="46">
        <v>202</v>
      </c>
      <c r="L222" s="46">
        <v>2</v>
      </c>
      <c r="M222" s="46">
        <v>3</v>
      </c>
      <c r="N222" s="46" t="s">
        <v>30</v>
      </c>
      <c r="O222" s="46">
        <v>2</v>
      </c>
      <c r="P222" s="46"/>
      <c r="Q222" s="46"/>
      <c r="R222" s="46"/>
      <c r="S222" s="46"/>
      <c r="T222" s="46"/>
      <c r="U222" s="46"/>
      <c r="V222" s="46"/>
      <c r="W222" s="46">
        <v>936805.22</v>
      </c>
      <c r="X222" s="46">
        <v>1</v>
      </c>
      <c r="Y222" s="46">
        <v>936805.22</v>
      </c>
      <c r="Z222" s="46"/>
      <c r="AA222" s="46"/>
      <c r="AB222" s="46"/>
    </row>
    <row r="223" spans="1:206" ht="13" x14ac:dyDescent="0.3">
      <c r="A223" s="46">
        <v>50</v>
      </c>
      <c r="B223" s="46">
        <v>0</v>
      </c>
      <c r="C223" s="46">
        <v>0</v>
      </c>
      <c r="D223" s="46">
        <v>1</v>
      </c>
      <c r="E223" s="46">
        <v>222</v>
      </c>
      <c r="F223" s="46">
        <f>ROUND('Source (2)'!AO219,O223)</f>
        <v>0</v>
      </c>
      <c r="G223" s="46" t="s">
        <v>218</v>
      </c>
      <c r="H223" s="46" t="s">
        <v>219</v>
      </c>
      <c r="I223" s="46"/>
      <c r="J223" s="46"/>
      <c r="K223" s="46">
        <v>222</v>
      </c>
      <c r="L223" s="46">
        <v>3</v>
      </c>
      <c r="M223" s="46">
        <v>3</v>
      </c>
      <c r="N223" s="46" t="s">
        <v>30</v>
      </c>
      <c r="O223" s="46">
        <v>2</v>
      </c>
      <c r="P223" s="46"/>
      <c r="Q223" s="46"/>
      <c r="R223" s="46"/>
      <c r="S223" s="46"/>
      <c r="T223" s="46"/>
      <c r="U223" s="46"/>
      <c r="V223" s="46"/>
      <c r="W223" s="46">
        <v>0</v>
      </c>
      <c r="X223" s="46">
        <v>1</v>
      </c>
      <c r="Y223" s="46">
        <v>0</v>
      </c>
      <c r="Z223" s="46"/>
      <c r="AA223" s="46"/>
      <c r="AB223" s="46"/>
    </row>
    <row r="224" spans="1:206" ht="13" x14ac:dyDescent="0.3">
      <c r="A224" s="46">
        <v>50</v>
      </c>
      <c r="B224" s="46">
        <v>0</v>
      </c>
      <c r="C224" s="46">
        <v>0</v>
      </c>
      <c r="D224" s="46">
        <v>1</v>
      </c>
      <c r="E224" s="46">
        <v>225</v>
      </c>
      <c r="F224" s="46">
        <f>ROUND('Source (2)'!AV219,O224)</f>
        <v>889980.22</v>
      </c>
      <c r="G224" s="46" t="s">
        <v>220</v>
      </c>
      <c r="H224" s="46" t="s">
        <v>221</v>
      </c>
      <c r="I224" s="46"/>
      <c r="J224" s="46"/>
      <c r="K224" s="46">
        <v>225</v>
      </c>
      <c r="L224" s="46">
        <v>4</v>
      </c>
      <c r="M224" s="46">
        <v>3</v>
      </c>
      <c r="N224" s="46" t="s">
        <v>30</v>
      </c>
      <c r="O224" s="46">
        <v>2</v>
      </c>
      <c r="P224" s="46"/>
      <c r="Q224" s="46"/>
      <c r="R224" s="46"/>
      <c r="S224" s="46"/>
      <c r="T224" s="46"/>
      <c r="U224" s="46"/>
      <c r="V224" s="46"/>
      <c r="W224" s="46">
        <v>936805.22</v>
      </c>
      <c r="X224" s="46">
        <v>1</v>
      </c>
      <c r="Y224" s="46">
        <v>936805.22</v>
      </c>
      <c r="Z224" s="46"/>
      <c r="AA224" s="46"/>
      <c r="AB224" s="46"/>
    </row>
    <row r="225" spans="1:28" ht="13" x14ac:dyDescent="0.3">
      <c r="A225" s="46">
        <v>50</v>
      </c>
      <c r="B225" s="46">
        <v>0</v>
      </c>
      <c r="C225" s="46">
        <v>0</v>
      </c>
      <c r="D225" s="46">
        <v>1</v>
      </c>
      <c r="E225" s="46">
        <v>226</v>
      </c>
      <c r="F225" s="46">
        <f>ROUND('Source (2)'!AW219,O225)</f>
        <v>889980.22</v>
      </c>
      <c r="G225" s="46" t="s">
        <v>222</v>
      </c>
      <c r="H225" s="46" t="s">
        <v>223</v>
      </c>
      <c r="I225" s="46"/>
      <c r="J225" s="46"/>
      <c r="K225" s="46">
        <v>226</v>
      </c>
      <c r="L225" s="46">
        <v>5</v>
      </c>
      <c r="M225" s="46">
        <v>3</v>
      </c>
      <c r="N225" s="46" t="s">
        <v>30</v>
      </c>
      <c r="O225" s="46">
        <v>2</v>
      </c>
      <c r="P225" s="46"/>
      <c r="Q225" s="46"/>
      <c r="R225" s="46"/>
      <c r="S225" s="46"/>
      <c r="T225" s="46"/>
      <c r="U225" s="46"/>
      <c r="V225" s="46"/>
      <c r="W225" s="46">
        <v>936805.22</v>
      </c>
      <c r="X225" s="46">
        <v>1</v>
      </c>
      <c r="Y225" s="46">
        <v>936805.22</v>
      </c>
      <c r="Z225" s="46"/>
      <c r="AA225" s="46"/>
      <c r="AB225" s="46"/>
    </row>
    <row r="226" spans="1:28" ht="13" x14ac:dyDescent="0.3">
      <c r="A226" s="46">
        <v>50</v>
      </c>
      <c r="B226" s="46">
        <v>0</v>
      </c>
      <c r="C226" s="46">
        <v>0</v>
      </c>
      <c r="D226" s="46">
        <v>1</v>
      </c>
      <c r="E226" s="46">
        <v>227</v>
      </c>
      <c r="F226" s="46">
        <f>ROUND('Source (2)'!AX219,O226)</f>
        <v>0</v>
      </c>
      <c r="G226" s="46" t="s">
        <v>224</v>
      </c>
      <c r="H226" s="46" t="s">
        <v>225</v>
      </c>
      <c r="I226" s="46"/>
      <c r="J226" s="46"/>
      <c r="K226" s="46">
        <v>227</v>
      </c>
      <c r="L226" s="46">
        <v>6</v>
      </c>
      <c r="M226" s="46">
        <v>3</v>
      </c>
      <c r="N226" s="46" t="s">
        <v>30</v>
      </c>
      <c r="O226" s="46">
        <v>2</v>
      </c>
      <c r="P226" s="46"/>
      <c r="Q226" s="46"/>
      <c r="R226" s="46"/>
      <c r="S226" s="46"/>
      <c r="T226" s="46"/>
      <c r="U226" s="46"/>
      <c r="V226" s="46"/>
      <c r="W226" s="46">
        <v>0</v>
      </c>
      <c r="X226" s="46">
        <v>1</v>
      </c>
      <c r="Y226" s="46">
        <v>0</v>
      </c>
      <c r="Z226" s="46"/>
      <c r="AA226" s="46"/>
      <c r="AB226" s="46"/>
    </row>
    <row r="227" spans="1:28" ht="13" x14ac:dyDescent="0.3">
      <c r="A227" s="46">
        <v>50</v>
      </c>
      <c r="B227" s="46">
        <v>0</v>
      </c>
      <c r="C227" s="46">
        <v>0</v>
      </c>
      <c r="D227" s="46">
        <v>1</v>
      </c>
      <c r="E227" s="46">
        <v>228</v>
      </c>
      <c r="F227" s="46">
        <f>ROUND('Source (2)'!AY219,O227)</f>
        <v>889980.22</v>
      </c>
      <c r="G227" s="46" t="s">
        <v>226</v>
      </c>
      <c r="H227" s="46" t="s">
        <v>227</v>
      </c>
      <c r="I227" s="46"/>
      <c r="J227" s="46"/>
      <c r="K227" s="46">
        <v>228</v>
      </c>
      <c r="L227" s="46">
        <v>7</v>
      </c>
      <c r="M227" s="46">
        <v>3</v>
      </c>
      <c r="N227" s="46" t="s">
        <v>30</v>
      </c>
      <c r="O227" s="46">
        <v>2</v>
      </c>
      <c r="P227" s="46"/>
      <c r="Q227" s="46"/>
      <c r="R227" s="46"/>
      <c r="S227" s="46"/>
      <c r="T227" s="46"/>
      <c r="U227" s="46"/>
      <c r="V227" s="46"/>
      <c r="W227" s="46">
        <v>936805.22</v>
      </c>
      <c r="X227" s="46">
        <v>1</v>
      </c>
      <c r="Y227" s="46">
        <v>936805.22</v>
      </c>
      <c r="Z227" s="46"/>
      <c r="AA227" s="46"/>
      <c r="AB227" s="46"/>
    </row>
    <row r="228" spans="1:28" ht="13" x14ac:dyDescent="0.3">
      <c r="A228" s="46">
        <v>50</v>
      </c>
      <c r="B228" s="46">
        <v>0</v>
      </c>
      <c r="C228" s="46">
        <v>0</v>
      </c>
      <c r="D228" s="46">
        <v>1</v>
      </c>
      <c r="E228" s="46">
        <v>216</v>
      </c>
      <c r="F228" s="46">
        <f>ROUND('Source (2)'!AP219,O228)</f>
        <v>0</v>
      </c>
      <c r="G228" s="46" t="s">
        <v>228</v>
      </c>
      <c r="H228" s="46" t="s">
        <v>229</v>
      </c>
      <c r="I228" s="46"/>
      <c r="J228" s="46"/>
      <c r="K228" s="46">
        <v>216</v>
      </c>
      <c r="L228" s="46">
        <v>8</v>
      </c>
      <c r="M228" s="46">
        <v>3</v>
      </c>
      <c r="N228" s="46" t="s">
        <v>30</v>
      </c>
      <c r="O228" s="46">
        <v>2</v>
      </c>
      <c r="P228" s="46"/>
      <c r="Q228" s="46"/>
      <c r="R228" s="46"/>
      <c r="S228" s="46"/>
      <c r="T228" s="46"/>
      <c r="U228" s="46"/>
      <c r="V228" s="46"/>
      <c r="W228" s="46">
        <v>0</v>
      </c>
      <c r="X228" s="46">
        <v>1</v>
      </c>
      <c r="Y228" s="46">
        <v>0</v>
      </c>
      <c r="Z228" s="46"/>
      <c r="AA228" s="46"/>
      <c r="AB228" s="46"/>
    </row>
    <row r="229" spans="1:28" ht="13" x14ac:dyDescent="0.3">
      <c r="A229" s="46">
        <v>50</v>
      </c>
      <c r="B229" s="46">
        <v>0</v>
      </c>
      <c r="C229" s="46">
        <v>0</v>
      </c>
      <c r="D229" s="46">
        <v>1</v>
      </c>
      <c r="E229" s="46">
        <v>223</v>
      </c>
      <c r="F229" s="46">
        <f>ROUND('Source (2)'!AQ219,O229)</f>
        <v>0</v>
      </c>
      <c r="G229" s="46" t="s">
        <v>230</v>
      </c>
      <c r="H229" s="46" t="s">
        <v>231</v>
      </c>
      <c r="I229" s="46"/>
      <c r="J229" s="46"/>
      <c r="K229" s="46">
        <v>223</v>
      </c>
      <c r="L229" s="46">
        <v>9</v>
      </c>
      <c r="M229" s="46">
        <v>3</v>
      </c>
      <c r="N229" s="46" t="s">
        <v>30</v>
      </c>
      <c r="O229" s="46">
        <v>2</v>
      </c>
      <c r="P229" s="46"/>
      <c r="Q229" s="46"/>
      <c r="R229" s="46"/>
      <c r="S229" s="46"/>
      <c r="T229" s="46"/>
      <c r="U229" s="46"/>
      <c r="V229" s="46"/>
      <c r="W229" s="46">
        <v>0</v>
      </c>
      <c r="X229" s="46">
        <v>1</v>
      </c>
      <c r="Y229" s="46">
        <v>0</v>
      </c>
      <c r="Z229" s="46"/>
      <c r="AA229" s="46"/>
      <c r="AB229" s="46"/>
    </row>
    <row r="230" spans="1:28" ht="13" x14ac:dyDescent="0.3">
      <c r="A230" s="46">
        <v>50</v>
      </c>
      <c r="B230" s="46">
        <v>0</v>
      </c>
      <c r="C230" s="46">
        <v>0</v>
      </c>
      <c r="D230" s="46">
        <v>1</v>
      </c>
      <c r="E230" s="46">
        <v>229</v>
      </c>
      <c r="F230" s="46">
        <f>ROUND('Source (2)'!AZ219,O230)</f>
        <v>0</v>
      </c>
      <c r="G230" s="46" t="s">
        <v>232</v>
      </c>
      <c r="H230" s="46" t="s">
        <v>233</v>
      </c>
      <c r="I230" s="46"/>
      <c r="J230" s="46"/>
      <c r="K230" s="46">
        <v>229</v>
      </c>
      <c r="L230" s="46">
        <v>10</v>
      </c>
      <c r="M230" s="46">
        <v>3</v>
      </c>
      <c r="N230" s="46" t="s">
        <v>30</v>
      </c>
      <c r="O230" s="46">
        <v>2</v>
      </c>
      <c r="P230" s="46"/>
      <c r="Q230" s="46"/>
      <c r="R230" s="46"/>
      <c r="S230" s="46"/>
      <c r="T230" s="46"/>
      <c r="U230" s="46"/>
      <c r="V230" s="46"/>
      <c r="W230" s="46">
        <v>0</v>
      </c>
      <c r="X230" s="46">
        <v>1</v>
      </c>
      <c r="Y230" s="46">
        <v>0</v>
      </c>
      <c r="Z230" s="46"/>
      <c r="AA230" s="46"/>
      <c r="AB230" s="46"/>
    </row>
    <row r="231" spans="1:28" ht="13" x14ac:dyDescent="0.3">
      <c r="A231" s="46">
        <v>50</v>
      </c>
      <c r="B231" s="46">
        <v>0</v>
      </c>
      <c r="C231" s="46">
        <v>0</v>
      </c>
      <c r="D231" s="46">
        <v>1</v>
      </c>
      <c r="E231" s="46">
        <v>203</v>
      </c>
      <c r="F231" s="46">
        <f>ROUND('Source (2)'!Q219,O231)</f>
        <v>477991.65</v>
      </c>
      <c r="G231" s="46" t="s">
        <v>234</v>
      </c>
      <c r="H231" s="46" t="s">
        <v>235</v>
      </c>
      <c r="I231" s="46"/>
      <c r="J231" s="46"/>
      <c r="K231" s="46">
        <v>203</v>
      </c>
      <c r="L231" s="46">
        <v>11</v>
      </c>
      <c r="M231" s="46">
        <v>3</v>
      </c>
      <c r="N231" s="46" t="s">
        <v>30</v>
      </c>
      <c r="O231" s="46">
        <v>2</v>
      </c>
      <c r="P231" s="46"/>
      <c r="Q231" s="46"/>
      <c r="R231" s="46"/>
      <c r="S231" s="46"/>
      <c r="T231" s="46"/>
      <c r="U231" s="46"/>
      <c r="V231" s="46"/>
      <c r="W231" s="46">
        <v>477991.65</v>
      </c>
      <c r="X231" s="46">
        <v>1</v>
      </c>
      <c r="Y231" s="46">
        <v>477991.65</v>
      </c>
      <c r="Z231" s="46"/>
      <c r="AA231" s="46"/>
      <c r="AB231" s="46"/>
    </row>
    <row r="232" spans="1:28" ht="13" x14ac:dyDescent="0.3">
      <c r="A232" s="46">
        <v>50</v>
      </c>
      <c r="B232" s="46">
        <v>0</v>
      </c>
      <c r="C232" s="46">
        <v>0</v>
      </c>
      <c r="D232" s="46">
        <v>1</v>
      </c>
      <c r="E232" s="46">
        <v>231</v>
      </c>
      <c r="F232" s="46">
        <f>ROUND('Source (2)'!BB219,O232)</f>
        <v>0</v>
      </c>
      <c r="G232" s="46" t="s">
        <v>236</v>
      </c>
      <c r="H232" s="46" t="s">
        <v>237</v>
      </c>
      <c r="I232" s="46"/>
      <c r="J232" s="46"/>
      <c r="K232" s="46">
        <v>231</v>
      </c>
      <c r="L232" s="46">
        <v>12</v>
      </c>
      <c r="M232" s="46">
        <v>3</v>
      </c>
      <c r="N232" s="46" t="s">
        <v>30</v>
      </c>
      <c r="O232" s="46">
        <v>2</v>
      </c>
      <c r="P232" s="46"/>
      <c r="Q232" s="46"/>
      <c r="R232" s="46"/>
      <c r="S232" s="46"/>
      <c r="T232" s="46"/>
      <c r="U232" s="46"/>
      <c r="V232" s="46"/>
      <c r="W232" s="46">
        <v>0</v>
      </c>
      <c r="X232" s="46">
        <v>1</v>
      </c>
      <c r="Y232" s="46">
        <v>0</v>
      </c>
      <c r="Z232" s="46"/>
      <c r="AA232" s="46"/>
      <c r="AB232" s="46"/>
    </row>
    <row r="233" spans="1:28" ht="13" x14ac:dyDescent="0.3">
      <c r="A233" s="46">
        <v>50</v>
      </c>
      <c r="B233" s="46">
        <v>0</v>
      </c>
      <c r="C233" s="46">
        <v>0</v>
      </c>
      <c r="D233" s="46">
        <v>1</v>
      </c>
      <c r="E233" s="46">
        <v>204</v>
      </c>
      <c r="F233" s="46">
        <f>ROUND('Source (2)'!R219,O233)</f>
        <v>242709.12</v>
      </c>
      <c r="G233" s="46" t="s">
        <v>238</v>
      </c>
      <c r="H233" s="46" t="s">
        <v>239</v>
      </c>
      <c r="I233" s="46"/>
      <c r="J233" s="46"/>
      <c r="K233" s="46">
        <v>204</v>
      </c>
      <c r="L233" s="46">
        <v>13</v>
      </c>
      <c r="M233" s="46">
        <v>3</v>
      </c>
      <c r="N233" s="46" t="s">
        <v>30</v>
      </c>
      <c r="O233" s="46">
        <v>2</v>
      </c>
      <c r="P233" s="46"/>
      <c r="Q233" s="46"/>
      <c r="R233" s="46"/>
      <c r="S233" s="46"/>
      <c r="T233" s="46"/>
      <c r="U233" s="46"/>
      <c r="V233" s="46"/>
      <c r="W233" s="46">
        <v>242709.12</v>
      </c>
      <c r="X233" s="46">
        <v>1</v>
      </c>
      <c r="Y233" s="46">
        <v>242709.12</v>
      </c>
      <c r="Z233" s="46"/>
      <c r="AA233" s="46"/>
      <c r="AB233" s="46"/>
    </row>
    <row r="234" spans="1:28" ht="13" x14ac:dyDescent="0.3">
      <c r="A234" s="46">
        <v>50</v>
      </c>
      <c r="B234" s="46">
        <v>0</v>
      </c>
      <c r="C234" s="46">
        <v>0</v>
      </c>
      <c r="D234" s="46">
        <v>1</v>
      </c>
      <c r="E234" s="46">
        <v>205</v>
      </c>
      <c r="F234" s="46">
        <f>ROUND('Source (2)'!S219,O234)</f>
        <v>140663.54999999999</v>
      </c>
      <c r="G234" s="46" t="s">
        <v>240</v>
      </c>
      <c r="H234" s="46" t="s">
        <v>241</v>
      </c>
      <c r="I234" s="46"/>
      <c r="J234" s="46"/>
      <c r="K234" s="46">
        <v>205</v>
      </c>
      <c r="L234" s="46">
        <v>14</v>
      </c>
      <c r="M234" s="46">
        <v>3</v>
      </c>
      <c r="N234" s="46" t="s">
        <v>30</v>
      </c>
      <c r="O234" s="46">
        <v>2</v>
      </c>
      <c r="P234" s="46"/>
      <c r="Q234" s="46"/>
      <c r="R234" s="46"/>
      <c r="S234" s="46"/>
      <c r="T234" s="46"/>
      <c r="U234" s="46"/>
      <c r="V234" s="46"/>
      <c r="W234" s="46">
        <v>140663.54999999999</v>
      </c>
      <c r="X234" s="46">
        <v>1</v>
      </c>
      <c r="Y234" s="46">
        <v>140663.54999999999</v>
      </c>
      <c r="Z234" s="46"/>
      <c r="AA234" s="46"/>
      <c r="AB234" s="46"/>
    </row>
    <row r="235" spans="1:28" ht="13" x14ac:dyDescent="0.3">
      <c r="A235" s="46">
        <v>50</v>
      </c>
      <c r="B235" s="46">
        <v>0</v>
      </c>
      <c r="C235" s="46">
        <v>0</v>
      </c>
      <c r="D235" s="46">
        <v>1</v>
      </c>
      <c r="E235" s="46">
        <v>232</v>
      </c>
      <c r="F235" s="46">
        <f>ROUND('Source (2)'!BC219,O235)</f>
        <v>0</v>
      </c>
      <c r="G235" s="46" t="s">
        <v>242</v>
      </c>
      <c r="H235" s="46" t="s">
        <v>243</v>
      </c>
      <c r="I235" s="46"/>
      <c r="J235" s="46"/>
      <c r="K235" s="46">
        <v>232</v>
      </c>
      <c r="L235" s="46">
        <v>15</v>
      </c>
      <c r="M235" s="46">
        <v>3</v>
      </c>
      <c r="N235" s="46" t="s">
        <v>30</v>
      </c>
      <c r="O235" s="46">
        <v>2</v>
      </c>
      <c r="P235" s="46"/>
      <c r="Q235" s="46"/>
      <c r="R235" s="46"/>
      <c r="S235" s="46"/>
      <c r="T235" s="46"/>
      <c r="U235" s="46"/>
      <c r="V235" s="46"/>
      <c r="W235" s="46">
        <v>0</v>
      </c>
      <c r="X235" s="46">
        <v>1</v>
      </c>
      <c r="Y235" s="46">
        <v>0</v>
      </c>
      <c r="Z235" s="46"/>
      <c r="AA235" s="46"/>
      <c r="AB235" s="46"/>
    </row>
    <row r="236" spans="1:28" ht="13" x14ac:dyDescent="0.3">
      <c r="A236" s="46">
        <v>50</v>
      </c>
      <c r="B236" s="46">
        <v>0</v>
      </c>
      <c r="C236" s="46">
        <v>0</v>
      </c>
      <c r="D236" s="46">
        <v>1</v>
      </c>
      <c r="E236" s="46">
        <v>214</v>
      </c>
      <c r="F236" s="46">
        <f>ROUND('Source (2)'!AS219,O236)</f>
        <v>0</v>
      </c>
      <c r="G236" s="46" t="s">
        <v>244</v>
      </c>
      <c r="H236" s="46" t="s">
        <v>245</v>
      </c>
      <c r="I236" s="46"/>
      <c r="J236" s="46"/>
      <c r="K236" s="46">
        <v>214</v>
      </c>
      <c r="L236" s="46">
        <v>16</v>
      </c>
      <c r="M236" s="46">
        <v>3</v>
      </c>
      <c r="N236" s="46" t="s">
        <v>30</v>
      </c>
      <c r="O236" s="46">
        <v>2</v>
      </c>
      <c r="P236" s="46"/>
      <c r="Q236" s="46"/>
      <c r="R236" s="46"/>
      <c r="S236" s="46"/>
      <c r="T236" s="46"/>
      <c r="U236" s="46"/>
      <c r="V236" s="46"/>
      <c r="W236" s="46">
        <v>0</v>
      </c>
      <c r="X236" s="46">
        <v>1</v>
      </c>
      <c r="Y236" s="46">
        <v>0</v>
      </c>
      <c r="Z236" s="46"/>
      <c r="AA236" s="46"/>
      <c r="AB236" s="46"/>
    </row>
    <row r="237" spans="1:28" ht="13" x14ac:dyDescent="0.3">
      <c r="A237" s="46">
        <v>50</v>
      </c>
      <c r="B237" s="46">
        <v>0</v>
      </c>
      <c r="C237" s="46">
        <v>0</v>
      </c>
      <c r="D237" s="46">
        <v>1</v>
      </c>
      <c r="E237" s="46">
        <v>215</v>
      </c>
      <c r="F237" s="46">
        <f>ROUND('Source (2)'!AT219,O237)</f>
        <v>0</v>
      </c>
      <c r="G237" s="46" t="s">
        <v>246</v>
      </c>
      <c r="H237" s="46" t="s">
        <v>247</v>
      </c>
      <c r="I237" s="46"/>
      <c r="J237" s="46"/>
      <c r="K237" s="46">
        <v>215</v>
      </c>
      <c r="L237" s="46">
        <v>17</v>
      </c>
      <c r="M237" s="46">
        <v>3</v>
      </c>
      <c r="N237" s="46" t="s">
        <v>30</v>
      </c>
      <c r="O237" s="46">
        <v>2</v>
      </c>
      <c r="P237" s="46"/>
      <c r="Q237" s="46"/>
      <c r="R237" s="46"/>
      <c r="S237" s="46"/>
      <c r="T237" s="46"/>
      <c r="U237" s="46"/>
      <c r="V237" s="46"/>
      <c r="W237" s="46">
        <v>0</v>
      </c>
      <c r="X237" s="46">
        <v>1</v>
      </c>
      <c r="Y237" s="46">
        <v>0</v>
      </c>
      <c r="Z237" s="46"/>
      <c r="AA237" s="46"/>
      <c r="AB237" s="46"/>
    </row>
    <row r="238" spans="1:28" ht="13" x14ac:dyDescent="0.3">
      <c r="A238" s="46">
        <v>50</v>
      </c>
      <c r="B238" s="46">
        <v>0</v>
      </c>
      <c r="C238" s="46">
        <v>0</v>
      </c>
      <c r="D238" s="46">
        <v>1</v>
      </c>
      <c r="E238" s="46">
        <v>217</v>
      </c>
      <c r="F238" s="46">
        <f>ROUND('Source (2)'!AU219,O238)</f>
        <v>1682458.56</v>
      </c>
      <c r="G238" s="46" t="s">
        <v>248</v>
      </c>
      <c r="H238" s="46" t="s">
        <v>249</v>
      </c>
      <c r="I238" s="46"/>
      <c r="J238" s="46"/>
      <c r="K238" s="46">
        <v>217</v>
      </c>
      <c r="L238" s="46">
        <v>18</v>
      </c>
      <c r="M238" s="46">
        <v>3</v>
      </c>
      <c r="N238" s="46" t="s">
        <v>30</v>
      </c>
      <c r="O238" s="46">
        <v>2</v>
      </c>
      <c r="P238" s="46"/>
      <c r="Q238" s="46"/>
      <c r="R238" s="46"/>
      <c r="S238" s="46"/>
      <c r="T238" s="46"/>
      <c r="U238" s="46"/>
      <c r="V238" s="46"/>
      <c r="W238" s="46">
        <v>1729283.56</v>
      </c>
      <c r="X238" s="46">
        <v>1</v>
      </c>
      <c r="Y238" s="46">
        <v>1729283.56</v>
      </c>
      <c r="Z238" s="46"/>
      <c r="AA238" s="46"/>
      <c r="AB238" s="46"/>
    </row>
    <row r="239" spans="1:28" ht="13" x14ac:dyDescent="0.3">
      <c r="A239" s="46">
        <v>50</v>
      </c>
      <c r="B239" s="46">
        <v>0</v>
      </c>
      <c r="C239" s="46">
        <v>0</v>
      </c>
      <c r="D239" s="46">
        <v>1</v>
      </c>
      <c r="E239" s="46">
        <v>230</v>
      </c>
      <c r="F239" s="46">
        <f>ROUND('Source (2)'!BA219,O239)</f>
        <v>0</v>
      </c>
      <c r="G239" s="46" t="s">
        <v>250</v>
      </c>
      <c r="H239" s="46" t="s">
        <v>251</v>
      </c>
      <c r="I239" s="46"/>
      <c r="J239" s="46"/>
      <c r="K239" s="46">
        <v>230</v>
      </c>
      <c r="L239" s="46">
        <v>19</v>
      </c>
      <c r="M239" s="46">
        <v>3</v>
      </c>
      <c r="N239" s="46" t="s">
        <v>30</v>
      </c>
      <c r="O239" s="46">
        <v>2</v>
      </c>
      <c r="P239" s="46"/>
      <c r="Q239" s="46"/>
      <c r="R239" s="46"/>
      <c r="S239" s="46"/>
      <c r="T239" s="46"/>
      <c r="U239" s="46"/>
      <c r="V239" s="46"/>
      <c r="W239" s="46">
        <v>0</v>
      </c>
      <c r="X239" s="46">
        <v>1</v>
      </c>
      <c r="Y239" s="46">
        <v>0</v>
      </c>
      <c r="Z239" s="46"/>
      <c r="AA239" s="46"/>
      <c r="AB239" s="46"/>
    </row>
    <row r="240" spans="1:28" ht="13" x14ac:dyDescent="0.3">
      <c r="A240" s="46">
        <v>50</v>
      </c>
      <c r="B240" s="46">
        <v>0</v>
      </c>
      <c r="C240" s="46">
        <v>0</v>
      </c>
      <c r="D240" s="46">
        <v>1</v>
      </c>
      <c r="E240" s="46">
        <v>206</v>
      </c>
      <c r="F240" s="46">
        <f>ROUND('Source (2)'!T219,O240)</f>
        <v>0</v>
      </c>
      <c r="G240" s="46" t="s">
        <v>252</v>
      </c>
      <c r="H240" s="46" t="s">
        <v>253</v>
      </c>
      <c r="I240" s="46"/>
      <c r="J240" s="46"/>
      <c r="K240" s="46">
        <v>206</v>
      </c>
      <c r="L240" s="46">
        <v>20</v>
      </c>
      <c r="M240" s="46">
        <v>3</v>
      </c>
      <c r="N240" s="46" t="s">
        <v>30</v>
      </c>
      <c r="O240" s="46">
        <v>2</v>
      </c>
      <c r="P240" s="46"/>
      <c r="Q240" s="46"/>
      <c r="R240" s="46"/>
      <c r="S240" s="46"/>
      <c r="T240" s="46"/>
      <c r="U240" s="46"/>
      <c r="V240" s="46"/>
      <c r="W240" s="46">
        <v>0</v>
      </c>
      <c r="X240" s="46">
        <v>1</v>
      </c>
      <c r="Y240" s="46">
        <v>0</v>
      </c>
      <c r="Z240" s="46"/>
      <c r="AA240" s="46"/>
      <c r="AB240" s="46"/>
    </row>
    <row r="241" spans="1:28" ht="13" x14ac:dyDescent="0.3">
      <c r="A241" s="46">
        <v>50</v>
      </c>
      <c r="B241" s="46">
        <v>0</v>
      </c>
      <c r="C241" s="46">
        <v>0</v>
      </c>
      <c r="D241" s="46">
        <v>1</v>
      </c>
      <c r="E241" s="46">
        <v>207</v>
      </c>
      <c r="F241" s="46">
        <f>'Source (2)'!U219</f>
        <v>648.00717799999995</v>
      </c>
      <c r="G241" s="46" t="s">
        <v>254</v>
      </c>
      <c r="H241" s="46" t="s">
        <v>255</v>
      </c>
      <c r="I241" s="46"/>
      <c r="J241" s="46"/>
      <c r="K241" s="46">
        <v>207</v>
      </c>
      <c r="L241" s="46">
        <v>21</v>
      </c>
      <c r="M241" s="46">
        <v>3</v>
      </c>
      <c r="N241" s="46" t="s">
        <v>30</v>
      </c>
      <c r="O241" s="46">
        <v>-1</v>
      </c>
      <c r="P241" s="46"/>
      <c r="Q241" s="46"/>
      <c r="R241" s="46"/>
      <c r="S241" s="46"/>
      <c r="T241" s="46"/>
      <c r="U241" s="46"/>
      <c r="V241" s="46"/>
      <c r="W241" s="46">
        <v>648.00717799999995</v>
      </c>
      <c r="X241" s="46">
        <v>1</v>
      </c>
      <c r="Y241" s="46">
        <v>648.00717799999995</v>
      </c>
      <c r="Z241" s="46"/>
      <c r="AA241" s="46"/>
      <c r="AB241" s="46"/>
    </row>
    <row r="242" spans="1:28" ht="13" x14ac:dyDescent="0.3">
      <c r="A242" s="46">
        <v>50</v>
      </c>
      <c r="B242" s="46">
        <v>0</v>
      </c>
      <c r="C242" s="46">
        <v>0</v>
      </c>
      <c r="D242" s="46">
        <v>1</v>
      </c>
      <c r="E242" s="46">
        <v>208</v>
      </c>
      <c r="F242" s="46">
        <f>'Source (2)'!V219</f>
        <v>0</v>
      </c>
      <c r="G242" s="46" t="s">
        <v>256</v>
      </c>
      <c r="H242" s="46" t="s">
        <v>257</v>
      </c>
      <c r="I242" s="46"/>
      <c r="J242" s="46"/>
      <c r="K242" s="46">
        <v>208</v>
      </c>
      <c r="L242" s="46">
        <v>22</v>
      </c>
      <c r="M242" s="46">
        <v>3</v>
      </c>
      <c r="N242" s="46" t="s">
        <v>30</v>
      </c>
      <c r="O242" s="46">
        <v>-1</v>
      </c>
      <c r="P242" s="46"/>
      <c r="Q242" s="46"/>
      <c r="R242" s="46"/>
      <c r="S242" s="46"/>
      <c r="T242" s="46"/>
      <c r="U242" s="46"/>
      <c r="V242" s="46"/>
      <c r="W242" s="46">
        <v>0</v>
      </c>
      <c r="X242" s="46">
        <v>1</v>
      </c>
      <c r="Y242" s="46">
        <v>0</v>
      </c>
      <c r="Z242" s="46"/>
      <c r="AA242" s="46"/>
      <c r="AB242" s="46"/>
    </row>
    <row r="243" spans="1:28" ht="13" x14ac:dyDescent="0.3">
      <c r="A243" s="46">
        <v>50</v>
      </c>
      <c r="B243" s="46">
        <v>0</v>
      </c>
      <c r="C243" s="46">
        <v>0</v>
      </c>
      <c r="D243" s="46">
        <v>1</v>
      </c>
      <c r="E243" s="46">
        <v>209</v>
      </c>
      <c r="F243" s="46">
        <f>ROUND('Source (2)'!W219,O243)</f>
        <v>0</v>
      </c>
      <c r="G243" s="46" t="s">
        <v>258</v>
      </c>
      <c r="H243" s="46" t="s">
        <v>259</v>
      </c>
      <c r="I243" s="46"/>
      <c r="J243" s="46"/>
      <c r="K243" s="46">
        <v>209</v>
      </c>
      <c r="L243" s="46">
        <v>23</v>
      </c>
      <c r="M243" s="46">
        <v>3</v>
      </c>
      <c r="N243" s="46" t="s">
        <v>30</v>
      </c>
      <c r="O243" s="46">
        <v>2</v>
      </c>
      <c r="P243" s="46"/>
      <c r="Q243" s="46"/>
      <c r="R243" s="46"/>
      <c r="S243" s="46"/>
      <c r="T243" s="46"/>
      <c r="U243" s="46"/>
      <c r="V243" s="46"/>
      <c r="W243" s="46">
        <v>0</v>
      </c>
      <c r="X243" s="46">
        <v>1</v>
      </c>
      <c r="Y243" s="46">
        <v>0</v>
      </c>
      <c r="Z243" s="46"/>
      <c r="AA243" s="46"/>
      <c r="AB243" s="46"/>
    </row>
    <row r="244" spans="1:28" ht="13" x14ac:dyDescent="0.3">
      <c r="A244" s="46">
        <v>50</v>
      </c>
      <c r="B244" s="46">
        <v>0</v>
      </c>
      <c r="C244" s="46">
        <v>0</v>
      </c>
      <c r="D244" s="46">
        <v>1</v>
      </c>
      <c r="E244" s="46">
        <v>233</v>
      </c>
      <c r="F244" s="46">
        <f>ROUND('Source (2)'!BD219,O244)</f>
        <v>0</v>
      </c>
      <c r="G244" s="46" t="s">
        <v>260</v>
      </c>
      <c r="H244" s="46" t="s">
        <v>261</v>
      </c>
      <c r="I244" s="46"/>
      <c r="J244" s="46"/>
      <c r="K244" s="46">
        <v>233</v>
      </c>
      <c r="L244" s="46">
        <v>24</v>
      </c>
      <c r="M244" s="46">
        <v>3</v>
      </c>
      <c r="N244" s="46" t="s">
        <v>30</v>
      </c>
      <c r="O244" s="46">
        <v>2</v>
      </c>
      <c r="P244" s="46"/>
      <c r="Q244" s="46"/>
      <c r="R244" s="46"/>
      <c r="S244" s="46"/>
      <c r="T244" s="46"/>
      <c r="U244" s="46"/>
      <c r="V244" s="46"/>
      <c r="W244" s="46">
        <v>0</v>
      </c>
      <c r="X244" s="46">
        <v>1</v>
      </c>
      <c r="Y244" s="46">
        <v>0</v>
      </c>
      <c r="Z244" s="46"/>
      <c r="AA244" s="46"/>
      <c r="AB244" s="46"/>
    </row>
    <row r="245" spans="1:28" ht="13" x14ac:dyDescent="0.3">
      <c r="A245" s="46">
        <v>50</v>
      </c>
      <c r="B245" s="46">
        <v>0</v>
      </c>
      <c r="C245" s="46">
        <v>0</v>
      </c>
      <c r="D245" s="46">
        <v>1</v>
      </c>
      <c r="E245" s="46">
        <v>210</v>
      </c>
      <c r="F245" s="46">
        <f>ROUND('Source (2)'!X219,O245)</f>
        <v>98464.49</v>
      </c>
      <c r="G245" s="46" t="s">
        <v>262</v>
      </c>
      <c r="H245" s="46" t="s">
        <v>263</v>
      </c>
      <c r="I245" s="46"/>
      <c r="J245" s="46"/>
      <c r="K245" s="46">
        <v>210</v>
      </c>
      <c r="L245" s="46">
        <v>25</v>
      </c>
      <c r="M245" s="46">
        <v>3</v>
      </c>
      <c r="N245" s="46" t="s">
        <v>30</v>
      </c>
      <c r="O245" s="46">
        <v>2</v>
      </c>
      <c r="P245" s="46"/>
      <c r="Q245" s="46"/>
      <c r="R245" s="46"/>
      <c r="S245" s="46"/>
      <c r="T245" s="46"/>
      <c r="U245" s="46"/>
      <c r="V245" s="46"/>
      <c r="W245" s="46">
        <v>98464.49</v>
      </c>
      <c r="X245" s="46">
        <v>1</v>
      </c>
      <c r="Y245" s="46">
        <v>98464.49</v>
      </c>
      <c r="Z245" s="46"/>
      <c r="AA245" s="46"/>
      <c r="AB245" s="46"/>
    </row>
    <row r="246" spans="1:28" ht="13" x14ac:dyDescent="0.3">
      <c r="A246" s="46">
        <v>50</v>
      </c>
      <c r="B246" s="46">
        <v>0</v>
      </c>
      <c r="C246" s="46">
        <v>0</v>
      </c>
      <c r="D246" s="46">
        <v>1</v>
      </c>
      <c r="E246" s="46">
        <v>211</v>
      </c>
      <c r="F246" s="46">
        <f>ROUND('Source (2)'!Y219,O246)</f>
        <v>14066.36</v>
      </c>
      <c r="G246" s="46" t="s">
        <v>264</v>
      </c>
      <c r="H246" s="46" t="s">
        <v>265</v>
      </c>
      <c r="I246" s="46"/>
      <c r="J246" s="46"/>
      <c r="K246" s="46">
        <v>211</v>
      </c>
      <c r="L246" s="46">
        <v>26</v>
      </c>
      <c r="M246" s="46">
        <v>3</v>
      </c>
      <c r="N246" s="46" t="s">
        <v>30</v>
      </c>
      <c r="O246" s="46">
        <v>2</v>
      </c>
      <c r="P246" s="46"/>
      <c r="Q246" s="46"/>
      <c r="R246" s="46"/>
      <c r="S246" s="46"/>
      <c r="T246" s="46"/>
      <c r="U246" s="46"/>
      <c r="V246" s="46"/>
      <c r="W246" s="46">
        <v>14066.36</v>
      </c>
      <c r="X246" s="46">
        <v>1</v>
      </c>
      <c r="Y246" s="46">
        <v>14066.36</v>
      </c>
      <c r="Z246" s="46"/>
      <c r="AA246" s="46"/>
      <c r="AB246" s="46"/>
    </row>
    <row r="247" spans="1:28" ht="13" x14ac:dyDescent="0.3">
      <c r="A247" s="46">
        <v>50</v>
      </c>
      <c r="B247" s="46">
        <v>0</v>
      </c>
      <c r="C247" s="46">
        <v>0</v>
      </c>
      <c r="D247" s="46">
        <v>1</v>
      </c>
      <c r="E247" s="46">
        <v>224</v>
      </c>
      <c r="F247" s="46">
        <f>ROUND('Source (2)'!AR219,O247)</f>
        <v>1682458.56</v>
      </c>
      <c r="G247" s="46" t="s">
        <v>266</v>
      </c>
      <c r="H247" s="46" t="s">
        <v>267</v>
      </c>
      <c r="I247" s="46"/>
      <c r="J247" s="46"/>
      <c r="K247" s="46">
        <v>224</v>
      </c>
      <c r="L247" s="46">
        <v>27</v>
      </c>
      <c r="M247" s="46">
        <v>3</v>
      </c>
      <c r="N247" s="46" t="s">
        <v>30</v>
      </c>
      <c r="O247" s="46">
        <v>2</v>
      </c>
      <c r="P247" s="46"/>
      <c r="Q247" s="46"/>
      <c r="R247" s="46"/>
      <c r="S247" s="46"/>
      <c r="T247" s="46"/>
      <c r="U247" s="46"/>
      <c r="V247" s="46"/>
      <c r="W247" s="46">
        <v>1729283.56</v>
      </c>
      <c r="X247" s="46">
        <v>1</v>
      </c>
      <c r="Y247" s="46">
        <v>1729283.56</v>
      </c>
      <c r="Z247" s="46"/>
      <c r="AA247" s="46"/>
      <c r="AB247" s="46"/>
    </row>
    <row r="248" spans="1:28" ht="13" x14ac:dyDescent="0.3">
      <c r="A248" s="46">
        <v>50</v>
      </c>
      <c r="B248" s="46">
        <v>1</v>
      </c>
      <c r="C248" s="46">
        <v>0</v>
      </c>
      <c r="D248" s="46">
        <v>2</v>
      </c>
      <c r="E248" s="46">
        <v>0</v>
      </c>
      <c r="F248" s="46">
        <f>ROUND(F247,O248)</f>
        <v>1682458.56</v>
      </c>
      <c r="G248" s="46" t="s">
        <v>268</v>
      </c>
      <c r="H248" s="46" t="s">
        <v>269</v>
      </c>
      <c r="I248" s="46"/>
      <c r="J248" s="46"/>
      <c r="K248" s="46">
        <v>212</v>
      </c>
      <c r="L248" s="46">
        <v>28</v>
      </c>
      <c r="M248" s="46">
        <v>0</v>
      </c>
      <c r="N248" s="46" t="s">
        <v>30</v>
      </c>
      <c r="O248" s="46">
        <v>2</v>
      </c>
      <c r="P248" s="46"/>
      <c r="Q248" s="46"/>
      <c r="R248" s="46"/>
      <c r="S248" s="46"/>
      <c r="T248" s="46"/>
      <c r="U248" s="46"/>
      <c r="V248" s="46"/>
      <c r="W248" s="46">
        <v>1729283.56</v>
      </c>
      <c r="X248" s="46">
        <v>1</v>
      </c>
      <c r="Y248" s="46">
        <v>1729283.56</v>
      </c>
      <c r="Z248" s="46"/>
      <c r="AA248" s="46"/>
      <c r="AB248" s="46"/>
    </row>
    <row r="249" spans="1:28" ht="13" x14ac:dyDescent="0.3">
      <c r="A249" s="46">
        <v>50</v>
      </c>
      <c r="B249" s="46">
        <v>1</v>
      </c>
      <c r="C249" s="46">
        <v>0</v>
      </c>
      <c r="D249" s="46">
        <v>2</v>
      </c>
      <c r="E249" s="46">
        <v>0</v>
      </c>
      <c r="F249" s="46">
        <f>ROUND(F247-F234-F233,O249)</f>
        <v>1299085.8899999999</v>
      </c>
      <c r="G249" s="46" t="s">
        <v>270</v>
      </c>
      <c r="H249" s="46" t="s">
        <v>271</v>
      </c>
      <c r="I249" s="46"/>
      <c r="J249" s="46"/>
      <c r="K249" s="46">
        <v>212</v>
      </c>
      <c r="L249" s="46">
        <v>29</v>
      </c>
      <c r="M249" s="46">
        <v>0</v>
      </c>
      <c r="N249" s="46" t="s">
        <v>30</v>
      </c>
      <c r="O249" s="46">
        <v>2</v>
      </c>
      <c r="P249" s="46"/>
      <c r="Q249" s="46"/>
      <c r="R249" s="46"/>
      <c r="S249" s="46"/>
      <c r="T249" s="46"/>
      <c r="U249" s="46"/>
      <c r="V249" s="46"/>
      <c r="W249" s="46">
        <v>1345910.89</v>
      </c>
      <c r="X249" s="46">
        <v>1</v>
      </c>
      <c r="Y249" s="46">
        <v>1345910.89</v>
      </c>
      <c r="Z249" s="46"/>
      <c r="AA249" s="46"/>
      <c r="AB249" s="46"/>
    </row>
    <row r="250" spans="1:28" ht="13" x14ac:dyDescent="0.3">
      <c r="A250" s="46">
        <v>50</v>
      </c>
      <c r="B250" s="46">
        <v>1</v>
      </c>
      <c r="C250" s="46">
        <v>0</v>
      </c>
      <c r="D250" s="46">
        <v>2</v>
      </c>
      <c r="E250" s="46">
        <v>0</v>
      </c>
      <c r="F250" s="46">
        <f>ROUND(F246,O250)</f>
        <v>14066.36</v>
      </c>
      <c r="G250" s="46" t="s">
        <v>25</v>
      </c>
      <c r="H250" s="46" t="s">
        <v>25</v>
      </c>
      <c r="I250" s="46"/>
      <c r="J250" s="46"/>
      <c r="K250" s="46">
        <v>212</v>
      </c>
      <c r="L250" s="46">
        <v>30</v>
      </c>
      <c r="M250" s="46">
        <v>0</v>
      </c>
      <c r="N250" s="46" t="s">
        <v>30</v>
      </c>
      <c r="O250" s="46">
        <v>2</v>
      </c>
      <c r="P250" s="46"/>
      <c r="Q250" s="46"/>
      <c r="R250" s="46"/>
      <c r="S250" s="46"/>
      <c r="T250" s="46"/>
      <c r="U250" s="46"/>
      <c r="V250" s="46"/>
      <c r="W250" s="46">
        <v>14066.36</v>
      </c>
      <c r="X250" s="46">
        <v>1</v>
      </c>
      <c r="Y250" s="46">
        <v>14066.36</v>
      </c>
      <c r="Z250" s="46"/>
      <c r="AA250" s="46"/>
      <c r="AB250" s="46"/>
    </row>
    <row r="251" spans="1:28" ht="13" x14ac:dyDescent="0.3">
      <c r="A251" s="46">
        <v>50</v>
      </c>
      <c r="B251" s="46">
        <v>1</v>
      </c>
      <c r="C251" s="46">
        <v>0</v>
      </c>
      <c r="D251" s="46">
        <v>2</v>
      </c>
      <c r="E251" s="46">
        <v>0</v>
      </c>
      <c r="F251" s="46">
        <f>ROUND(F256*0.3,O251)</f>
        <v>72812.740000000005</v>
      </c>
      <c r="G251" s="46" t="s">
        <v>272</v>
      </c>
      <c r="H251" s="46" t="s">
        <v>272</v>
      </c>
      <c r="I251" s="46"/>
      <c r="J251" s="46"/>
      <c r="K251" s="46">
        <v>212</v>
      </c>
      <c r="L251" s="46">
        <v>31</v>
      </c>
      <c r="M251" s="46">
        <v>0</v>
      </c>
      <c r="N251" s="46" t="s">
        <v>30</v>
      </c>
      <c r="O251" s="46">
        <v>2</v>
      </c>
      <c r="P251" s="46"/>
      <c r="Q251" s="46"/>
      <c r="R251" s="46"/>
      <c r="S251" s="46"/>
      <c r="T251" s="46"/>
      <c r="U251" s="46"/>
      <c r="V251" s="46"/>
      <c r="W251" s="46">
        <v>72812.740000000005</v>
      </c>
      <c r="X251" s="46">
        <v>1</v>
      </c>
      <c r="Y251" s="46">
        <v>72812.740000000005</v>
      </c>
      <c r="Z251" s="46"/>
      <c r="AA251" s="46"/>
      <c r="AB251" s="46"/>
    </row>
    <row r="252" spans="1:28" ht="13" x14ac:dyDescent="0.3">
      <c r="A252" s="46">
        <v>50</v>
      </c>
      <c r="B252" s="46">
        <v>1</v>
      </c>
      <c r="C252" s="46">
        <v>0</v>
      </c>
      <c r="D252" s="46">
        <v>2</v>
      </c>
      <c r="E252" s="46">
        <v>0</v>
      </c>
      <c r="F252" s="46">
        <f>ROUND(F249-F250-F251,O252)</f>
        <v>1212206.79</v>
      </c>
      <c r="G252" s="46" t="s">
        <v>273</v>
      </c>
      <c r="H252" s="46" t="s">
        <v>274</v>
      </c>
      <c r="I252" s="46"/>
      <c r="J252" s="46"/>
      <c r="K252" s="46">
        <v>212</v>
      </c>
      <c r="L252" s="46">
        <v>32</v>
      </c>
      <c r="M252" s="46">
        <v>0</v>
      </c>
      <c r="N252" s="46" t="s">
        <v>30</v>
      </c>
      <c r="O252" s="46">
        <v>2</v>
      </c>
      <c r="P252" s="46"/>
      <c r="Q252" s="46"/>
      <c r="R252" s="46"/>
      <c r="S252" s="46"/>
      <c r="T252" s="46"/>
      <c r="U252" s="46"/>
      <c r="V252" s="46"/>
      <c r="W252" s="46">
        <v>1259031.79</v>
      </c>
      <c r="X252" s="46">
        <v>1</v>
      </c>
      <c r="Y252" s="46">
        <v>1259031.79</v>
      </c>
      <c r="Z252" s="46"/>
      <c r="AA252" s="46"/>
      <c r="AB252" s="46"/>
    </row>
    <row r="253" spans="1:28" ht="13" x14ac:dyDescent="0.3">
      <c r="A253" s="46">
        <v>50</v>
      </c>
      <c r="B253" s="46">
        <v>1</v>
      </c>
      <c r="C253" s="46">
        <v>0</v>
      </c>
      <c r="D253" s="46">
        <v>2</v>
      </c>
      <c r="E253" s="46">
        <v>0</v>
      </c>
      <c r="F253" s="46">
        <f>ROUND(F252*0.2,O253)</f>
        <v>242441.36</v>
      </c>
      <c r="G253" s="46" t="s">
        <v>42</v>
      </c>
      <c r="H253" s="46" t="s">
        <v>42</v>
      </c>
      <c r="I253" s="46"/>
      <c r="J253" s="46"/>
      <c r="K253" s="46">
        <v>212</v>
      </c>
      <c r="L253" s="46">
        <v>33</v>
      </c>
      <c r="M253" s="46">
        <v>0</v>
      </c>
      <c r="N253" s="46" t="s">
        <v>30</v>
      </c>
      <c r="O253" s="46">
        <v>2</v>
      </c>
      <c r="P253" s="46"/>
      <c r="Q253" s="46"/>
      <c r="R253" s="46"/>
      <c r="S253" s="46"/>
      <c r="T253" s="46"/>
      <c r="U253" s="46"/>
      <c r="V253" s="46"/>
      <c r="W253" s="46">
        <v>251806.36</v>
      </c>
      <c r="X253" s="46">
        <v>1</v>
      </c>
      <c r="Y253" s="46">
        <v>251806.36</v>
      </c>
      <c r="Z253" s="46"/>
      <c r="AA253" s="46"/>
      <c r="AB253" s="46"/>
    </row>
    <row r="254" spans="1:28" ht="13" x14ac:dyDescent="0.3">
      <c r="A254" s="46">
        <v>50</v>
      </c>
      <c r="B254" s="46">
        <v>1</v>
      </c>
      <c r="C254" s="46">
        <v>0</v>
      </c>
      <c r="D254" s="46">
        <v>2</v>
      </c>
      <c r="E254" s="46">
        <v>0</v>
      </c>
      <c r="F254" s="46">
        <f>ROUND(F252+F253,O254)</f>
        <v>1454648.15</v>
      </c>
      <c r="G254" s="46" t="s">
        <v>43</v>
      </c>
      <c r="H254" s="46" t="s">
        <v>275</v>
      </c>
      <c r="I254" s="46"/>
      <c r="J254" s="46"/>
      <c r="K254" s="46">
        <v>212</v>
      </c>
      <c r="L254" s="46">
        <v>34</v>
      </c>
      <c r="M254" s="46">
        <v>0</v>
      </c>
      <c r="N254" s="46" t="s">
        <v>30</v>
      </c>
      <c r="O254" s="46">
        <v>2</v>
      </c>
      <c r="P254" s="46"/>
      <c r="Q254" s="46"/>
      <c r="R254" s="46"/>
      <c r="S254" s="46"/>
      <c r="T254" s="46"/>
      <c r="U254" s="46"/>
      <c r="V254" s="46"/>
      <c r="W254" s="46">
        <v>1510838.15</v>
      </c>
      <c r="X254" s="46">
        <v>1</v>
      </c>
      <c r="Y254" s="46">
        <v>1510838.15</v>
      </c>
      <c r="Z254" s="46"/>
      <c r="AA254" s="46"/>
      <c r="AB254" s="46"/>
    </row>
    <row r="255" spans="1:28" ht="13" x14ac:dyDescent="0.3">
      <c r="A255" s="46">
        <v>50</v>
      </c>
      <c r="B255" s="46">
        <v>1</v>
      </c>
      <c r="C255" s="46">
        <v>0</v>
      </c>
      <c r="D255" s="46">
        <v>2</v>
      </c>
      <c r="E255" s="46">
        <v>0</v>
      </c>
      <c r="F255" s="46">
        <f>ROUND(F234,O255)</f>
        <v>140663.54999999999</v>
      </c>
      <c r="G255" s="46" t="s">
        <v>276</v>
      </c>
      <c r="H255" s="46" t="s">
        <v>277</v>
      </c>
      <c r="I255" s="46"/>
      <c r="J255" s="46"/>
      <c r="K255" s="46">
        <v>212</v>
      </c>
      <c r="L255" s="46">
        <v>35</v>
      </c>
      <c r="M255" s="46">
        <v>0</v>
      </c>
      <c r="N255" s="46" t="s">
        <v>30</v>
      </c>
      <c r="O255" s="46">
        <v>2</v>
      </c>
      <c r="P255" s="46"/>
      <c r="Q255" s="46"/>
      <c r="R255" s="46"/>
      <c r="S255" s="46"/>
      <c r="T255" s="46"/>
      <c r="U255" s="46"/>
      <c r="V255" s="46"/>
      <c r="W255" s="46">
        <v>140663.54999999999</v>
      </c>
      <c r="X255" s="46">
        <v>1</v>
      </c>
      <c r="Y255" s="46">
        <v>140663.54999999999</v>
      </c>
      <c r="Z255" s="46"/>
      <c r="AA255" s="46"/>
      <c r="AB255" s="46"/>
    </row>
    <row r="256" spans="1:28" ht="13" x14ac:dyDescent="0.3">
      <c r="A256" s="46">
        <v>50</v>
      </c>
      <c r="B256" s="46">
        <v>1</v>
      </c>
      <c r="C256" s="46">
        <v>0</v>
      </c>
      <c r="D256" s="46">
        <v>2</v>
      </c>
      <c r="E256" s="46">
        <v>0</v>
      </c>
      <c r="F256" s="46">
        <f>ROUND(F233,O256)</f>
        <v>242709.12</v>
      </c>
      <c r="G256" s="46" t="s">
        <v>278</v>
      </c>
      <c r="H256" s="46" t="s">
        <v>279</v>
      </c>
      <c r="I256" s="46"/>
      <c r="J256" s="46"/>
      <c r="K256" s="46">
        <v>212</v>
      </c>
      <c r="L256" s="46">
        <v>36</v>
      </c>
      <c r="M256" s="46">
        <v>0</v>
      </c>
      <c r="N256" s="46" t="s">
        <v>30</v>
      </c>
      <c r="O256" s="46">
        <v>2</v>
      </c>
      <c r="P256" s="46"/>
      <c r="Q256" s="46"/>
      <c r="R256" s="46"/>
      <c r="S256" s="46"/>
      <c r="T256" s="46"/>
      <c r="U256" s="46"/>
      <c r="V256" s="46"/>
      <c r="W256" s="46">
        <v>242709.12</v>
      </c>
      <c r="X256" s="46">
        <v>1</v>
      </c>
      <c r="Y256" s="46">
        <v>242709.12</v>
      </c>
      <c r="Z256" s="46"/>
      <c r="AA256" s="46"/>
      <c r="AB256" s="46"/>
    </row>
    <row r="257" spans="1:206" ht="13" x14ac:dyDescent="0.3">
      <c r="A257" s="46">
        <v>50</v>
      </c>
      <c r="B257" s="46">
        <v>1</v>
      </c>
      <c r="C257" s="46">
        <v>0</v>
      </c>
      <c r="D257" s="46">
        <v>2</v>
      </c>
      <c r="E257" s="46">
        <v>0</v>
      </c>
      <c r="F257" s="46">
        <f>ROUND(F254+F255+F256,O257)</f>
        <v>1838020.82</v>
      </c>
      <c r="G257" s="46" t="s">
        <v>266</v>
      </c>
      <c r="H257" s="46" t="s">
        <v>280</v>
      </c>
      <c r="I257" s="46"/>
      <c r="J257" s="46"/>
      <c r="K257" s="46">
        <v>212</v>
      </c>
      <c r="L257" s="46">
        <v>37</v>
      </c>
      <c r="M257" s="46">
        <v>0</v>
      </c>
      <c r="N257" s="46" t="s">
        <v>30</v>
      </c>
      <c r="O257" s="46">
        <v>2</v>
      </c>
      <c r="P257" s="46"/>
      <c r="Q257" s="46"/>
      <c r="R257" s="46"/>
      <c r="S257" s="46"/>
      <c r="T257" s="46"/>
      <c r="U257" s="46"/>
      <c r="V257" s="46"/>
      <c r="W257" s="46">
        <v>1894210.82</v>
      </c>
      <c r="X257" s="46">
        <v>1</v>
      </c>
      <c r="Y257" s="46">
        <v>1894210.82</v>
      </c>
      <c r="Z257" s="46"/>
      <c r="AA257" s="46"/>
      <c r="AB257" s="46"/>
    </row>
    <row r="259" spans="1:206" ht="13" x14ac:dyDescent="0.3">
      <c r="A259" s="44">
        <v>51</v>
      </c>
      <c r="B259" s="44">
        <f>B12</f>
        <v>302</v>
      </c>
      <c r="C259" s="44">
        <f>A12</f>
        <v>1</v>
      </c>
      <c r="D259" s="44">
        <f>ROW(A12)</f>
        <v>12</v>
      </c>
      <c r="E259" s="44"/>
      <c r="F259" s="44" t="str">
        <f>IF(F12&lt;&gt;"",F12,"")</f>
        <v>Г43 в ценах 2022г.</v>
      </c>
      <c r="G259" s="44" t="str">
        <f>IF(G12&lt;&gt;"",G12,"")</f>
        <v>Г19 к.2 -ремонт АБП</v>
      </c>
      <c r="H259" s="44">
        <v>0</v>
      </c>
      <c r="I259" s="44"/>
      <c r="J259" s="44"/>
      <c r="K259" s="44"/>
      <c r="L259" s="44"/>
      <c r="M259" s="44"/>
      <c r="N259" s="44"/>
      <c r="O259" s="44">
        <f t="shared" ref="O259:T259" si="107">ROUND(O219,2)</f>
        <v>1508635.42</v>
      </c>
      <c r="P259" s="44">
        <f t="shared" si="107"/>
        <v>889980.22</v>
      </c>
      <c r="Q259" s="44">
        <f t="shared" si="107"/>
        <v>477991.65</v>
      </c>
      <c r="R259" s="44">
        <f t="shared" si="107"/>
        <v>242709.12</v>
      </c>
      <c r="S259" s="44">
        <f t="shared" si="107"/>
        <v>140663.54999999999</v>
      </c>
      <c r="T259" s="44">
        <f t="shared" si="107"/>
        <v>0</v>
      </c>
      <c r="U259" s="44">
        <f>U219</f>
        <v>648.00717799999995</v>
      </c>
      <c r="V259" s="44">
        <f>V219</f>
        <v>0</v>
      </c>
      <c r="W259" s="44">
        <f>ROUND(W219,2)</f>
        <v>0</v>
      </c>
      <c r="X259" s="44">
        <f>ROUND(X219,2)</f>
        <v>98464.49</v>
      </c>
      <c r="Y259" s="44">
        <f>ROUND(Y219,2)</f>
        <v>14066.36</v>
      </c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>
        <f t="shared" ref="AO259:BD259" si="108">ROUND(AO219,2)</f>
        <v>0</v>
      </c>
      <c r="AP259" s="44">
        <f t="shared" si="108"/>
        <v>0</v>
      </c>
      <c r="AQ259" s="44">
        <f t="shared" si="108"/>
        <v>0</v>
      </c>
      <c r="AR259" s="44">
        <f t="shared" si="108"/>
        <v>1682458.56</v>
      </c>
      <c r="AS259" s="44">
        <f t="shared" si="108"/>
        <v>0</v>
      </c>
      <c r="AT259" s="44">
        <f t="shared" si="108"/>
        <v>0</v>
      </c>
      <c r="AU259" s="44">
        <f t="shared" si="108"/>
        <v>1682458.56</v>
      </c>
      <c r="AV259" s="44">
        <f t="shared" si="108"/>
        <v>889980.22</v>
      </c>
      <c r="AW259" s="44">
        <f t="shared" si="108"/>
        <v>889980.22</v>
      </c>
      <c r="AX259" s="44">
        <f t="shared" si="108"/>
        <v>0</v>
      </c>
      <c r="AY259" s="44">
        <f t="shared" si="108"/>
        <v>889980.22</v>
      </c>
      <c r="AZ259" s="44">
        <f t="shared" si="108"/>
        <v>0</v>
      </c>
      <c r="BA259" s="44">
        <f t="shared" si="108"/>
        <v>0</v>
      </c>
      <c r="BB259" s="44">
        <f t="shared" si="108"/>
        <v>0</v>
      </c>
      <c r="BC259" s="44">
        <f t="shared" si="108"/>
        <v>0</v>
      </c>
      <c r="BD259" s="44">
        <f t="shared" si="108"/>
        <v>0</v>
      </c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  <c r="CL259" s="44"/>
      <c r="CM259" s="44"/>
      <c r="CN259" s="44"/>
      <c r="CO259" s="44"/>
      <c r="CP259" s="44"/>
      <c r="CQ259" s="44"/>
      <c r="CR259" s="44"/>
      <c r="CS259" s="44"/>
      <c r="CT259" s="44"/>
      <c r="CU259" s="44"/>
      <c r="CV259" s="44"/>
      <c r="CW259" s="44"/>
      <c r="CX259" s="44"/>
      <c r="CY259" s="44"/>
      <c r="CZ259" s="44"/>
      <c r="DA259" s="44"/>
      <c r="DB259" s="44"/>
      <c r="DC259" s="44"/>
      <c r="DD259" s="44"/>
      <c r="DE259" s="44"/>
      <c r="DF259" s="44"/>
      <c r="DG259" s="45"/>
      <c r="DH259" s="45"/>
      <c r="DI259" s="45"/>
      <c r="DJ259" s="45"/>
      <c r="DK259" s="45"/>
      <c r="DL259" s="45"/>
      <c r="DM259" s="45"/>
      <c r="DN259" s="45"/>
      <c r="DO259" s="45"/>
      <c r="DP259" s="45"/>
      <c r="DQ259" s="45"/>
      <c r="DR259" s="45"/>
      <c r="DS259" s="45"/>
      <c r="DT259" s="45"/>
      <c r="DU259" s="45"/>
      <c r="DV259" s="45"/>
      <c r="DW259" s="45"/>
      <c r="DX259" s="45"/>
      <c r="DY259" s="45"/>
      <c r="DZ259" s="45"/>
      <c r="EA259" s="45"/>
      <c r="EB259" s="45"/>
      <c r="EC259" s="45"/>
      <c r="ED259" s="45"/>
      <c r="EE259" s="45"/>
      <c r="EF259" s="45"/>
      <c r="EG259" s="45"/>
      <c r="EH259" s="45"/>
      <c r="EI259" s="45"/>
      <c r="EJ259" s="45"/>
      <c r="EK259" s="45"/>
      <c r="EL259" s="45"/>
      <c r="EM259" s="45"/>
      <c r="EN259" s="45"/>
      <c r="EO259" s="45"/>
      <c r="EP259" s="45"/>
      <c r="EQ259" s="45"/>
      <c r="ER259" s="45"/>
      <c r="ES259" s="45"/>
      <c r="ET259" s="45"/>
      <c r="EU259" s="45"/>
      <c r="EV259" s="45"/>
      <c r="EW259" s="45"/>
      <c r="EX259" s="45"/>
      <c r="EY259" s="45"/>
      <c r="EZ259" s="45"/>
      <c r="FA259" s="45"/>
      <c r="FB259" s="45"/>
      <c r="FC259" s="45"/>
      <c r="FD259" s="45"/>
      <c r="FE259" s="45"/>
      <c r="FF259" s="45"/>
      <c r="FG259" s="45"/>
      <c r="FH259" s="45"/>
      <c r="FI259" s="45"/>
      <c r="FJ259" s="45"/>
      <c r="FK259" s="45"/>
      <c r="FL259" s="45"/>
      <c r="FM259" s="45"/>
      <c r="FN259" s="45"/>
      <c r="FO259" s="45"/>
      <c r="FP259" s="45"/>
      <c r="FQ259" s="45"/>
      <c r="FR259" s="45"/>
      <c r="FS259" s="45"/>
      <c r="FT259" s="45"/>
      <c r="FU259" s="45"/>
      <c r="FV259" s="45"/>
      <c r="FW259" s="45"/>
      <c r="FX259" s="45"/>
      <c r="FY259" s="45"/>
      <c r="FZ259" s="45"/>
      <c r="GA259" s="45"/>
      <c r="GB259" s="45"/>
      <c r="GC259" s="45"/>
      <c r="GD259" s="45"/>
      <c r="GE259" s="45"/>
      <c r="GF259" s="45"/>
      <c r="GG259" s="45"/>
      <c r="GH259" s="45"/>
      <c r="GI259" s="45"/>
      <c r="GJ259" s="45"/>
      <c r="GK259" s="45"/>
      <c r="GL259" s="45"/>
      <c r="GM259" s="45"/>
      <c r="GN259" s="45"/>
      <c r="GO259" s="45"/>
      <c r="GP259" s="45"/>
      <c r="GQ259" s="45"/>
      <c r="GR259" s="45"/>
      <c r="GS259" s="45"/>
      <c r="GT259" s="45"/>
      <c r="GU259" s="45"/>
      <c r="GV259" s="45"/>
      <c r="GW259" s="45"/>
      <c r="GX259" s="45">
        <v>0</v>
      </c>
    </row>
    <row r="261" spans="1:206" ht="13" x14ac:dyDescent="0.3">
      <c r="A261" s="46">
        <v>50</v>
      </c>
      <c r="B261" s="46">
        <v>0</v>
      </c>
      <c r="C261" s="46">
        <v>0</v>
      </c>
      <c r="D261" s="46">
        <v>1</v>
      </c>
      <c r="E261" s="46">
        <v>201</v>
      </c>
      <c r="F261" s="46">
        <f>ROUND('Source (2)'!O259,O261)</f>
        <v>1508635.42</v>
      </c>
      <c r="G261" s="46" t="s">
        <v>214</v>
      </c>
      <c r="H261" s="46" t="s">
        <v>215</v>
      </c>
      <c r="I261" s="46"/>
      <c r="J261" s="46"/>
      <c r="K261" s="46">
        <v>201</v>
      </c>
      <c r="L261" s="46">
        <v>1</v>
      </c>
      <c r="M261" s="46">
        <v>3</v>
      </c>
      <c r="N261" s="46" t="s">
        <v>30</v>
      </c>
      <c r="O261" s="46">
        <v>2</v>
      </c>
      <c r="P261" s="46"/>
      <c r="Q261" s="46"/>
      <c r="R261" s="46"/>
      <c r="S261" s="46"/>
      <c r="T261" s="46"/>
      <c r="U261" s="46"/>
      <c r="V261" s="46"/>
      <c r="W261" s="46">
        <v>1555460.42</v>
      </c>
      <c r="X261" s="46">
        <v>1</v>
      </c>
      <c r="Y261" s="46">
        <v>1555460.42</v>
      </c>
      <c r="Z261" s="46"/>
      <c r="AA261" s="46"/>
      <c r="AB261" s="46"/>
    </row>
    <row r="262" spans="1:206" ht="13" x14ac:dyDescent="0.3">
      <c r="A262" s="46">
        <v>50</v>
      </c>
      <c r="B262" s="46">
        <v>0</v>
      </c>
      <c r="C262" s="46">
        <v>0</v>
      </c>
      <c r="D262" s="46">
        <v>1</v>
      </c>
      <c r="E262" s="46">
        <v>202</v>
      </c>
      <c r="F262" s="46">
        <f>ROUND('Source (2)'!P259,O262)</f>
        <v>889980.22</v>
      </c>
      <c r="G262" s="46" t="s">
        <v>216</v>
      </c>
      <c r="H262" s="46" t="s">
        <v>217</v>
      </c>
      <c r="I262" s="46"/>
      <c r="J262" s="46"/>
      <c r="K262" s="46">
        <v>202</v>
      </c>
      <c r="L262" s="46">
        <v>2</v>
      </c>
      <c r="M262" s="46">
        <v>3</v>
      </c>
      <c r="N262" s="46" t="s">
        <v>30</v>
      </c>
      <c r="O262" s="46">
        <v>2</v>
      </c>
      <c r="P262" s="46"/>
      <c r="Q262" s="46"/>
      <c r="R262" s="46"/>
      <c r="S262" s="46"/>
      <c r="T262" s="46"/>
      <c r="U262" s="46"/>
      <c r="V262" s="46"/>
      <c r="W262" s="46">
        <v>936805.22</v>
      </c>
      <c r="X262" s="46">
        <v>1</v>
      </c>
      <c r="Y262" s="46">
        <v>936805.22</v>
      </c>
      <c r="Z262" s="46"/>
      <c r="AA262" s="46"/>
      <c r="AB262" s="46"/>
    </row>
    <row r="263" spans="1:206" ht="13" x14ac:dyDescent="0.3">
      <c r="A263" s="46">
        <v>50</v>
      </c>
      <c r="B263" s="46">
        <v>0</v>
      </c>
      <c r="C263" s="46">
        <v>0</v>
      </c>
      <c r="D263" s="46">
        <v>1</v>
      </c>
      <c r="E263" s="46">
        <v>222</v>
      </c>
      <c r="F263" s="46">
        <f>ROUND('Source (2)'!AO259,O263)</f>
        <v>0</v>
      </c>
      <c r="G263" s="46" t="s">
        <v>218</v>
      </c>
      <c r="H263" s="46" t="s">
        <v>219</v>
      </c>
      <c r="I263" s="46"/>
      <c r="J263" s="46"/>
      <c r="K263" s="46">
        <v>222</v>
      </c>
      <c r="L263" s="46">
        <v>3</v>
      </c>
      <c r="M263" s="46">
        <v>3</v>
      </c>
      <c r="N263" s="46" t="s">
        <v>30</v>
      </c>
      <c r="O263" s="46">
        <v>2</v>
      </c>
      <c r="P263" s="46"/>
      <c r="Q263" s="46"/>
      <c r="R263" s="46"/>
      <c r="S263" s="46"/>
      <c r="T263" s="46"/>
      <c r="U263" s="46"/>
      <c r="V263" s="46"/>
      <c r="W263" s="46">
        <v>0</v>
      </c>
      <c r="X263" s="46">
        <v>1</v>
      </c>
      <c r="Y263" s="46">
        <v>0</v>
      </c>
      <c r="Z263" s="46"/>
      <c r="AA263" s="46"/>
      <c r="AB263" s="46"/>
    </row>
    <row r="264" spans="1:206" ht="13" x14ac:dyDescent="0.3">
      <c r="A264" s="46">
        <v>50</v>
      </c>
      <c r="B264" s="46">
        <v>0</v>
      </c>
      <c r="C264" s="46">
        <v>0</v>
      </c>
      <c r="D264" s="46">
        <v>1</v>
      </c>
      <c r="E264" s="46">
        <v>225</v>
      </c>
      <c r="F264" s="46">
        <f>ROUND('Source (2)'!AV259,O264)</f>
        <v>889980.22</v>
      </c>
      <c r="G264" s="46" t="s">
        <v>220</v>
      </c>
      <c r="H264" s="46" t="s">
        <v>221</v>
      </c>
      <c r="I264" s="46"/>
      <c r="J264" s="46"/>
      <c r="K264" s="46">
        <v>225</v>
      </c>
      <c r="L264" s="46">
        <v>4</v>
      </c>
      <c r="M264" s="46">
        <v>3</v>
      </c>
      <c r="N264" s="46" t="s">
        <v>30</v>
      </c>
      <c r="O264" s="46">
        <v>2</v>
      </c>
      <c r="P264" s="46"/>
      <c r="Q264" s="46"/>
      <c r="R264" s="46"/>
      <c r="S264" s="46"/>
      <c r="T264" s="46"/>
      <c r="U264" s="46"/>
      <c r="V264" s="46"/>
      <c r="W264" s="46">
        <v>936805.22</v>
      </c>
      <c r="X264" s="46">
        <v>1</v>
      </c>
      <c r="Y264" s="46">
        <v>936805.22</v>
      </c>
      <c r="Z264" s="46"/>
      <c r="AA264" s="46"/>
      <c r="AB264" s="46"/>
    </row>
    <row r="265" spans="1:206" ht="13" x14ac:dyDescent="0.3">
      <c r="A265" s="46">
        <v>50</v>
      </c>
      <c r="B265" s="46">
        <v>0</v>
      </c>
      <c r="C265" s="46">
        <v>0</v>
      </c>
      <c r="D265" s="46">
        <v>1</v>
      </c>
      <c r="E265" s="46">
        <v>226</v>
      </c>
      <c r="F265" s="46">
        <f>ROUND('Source (2)'!AW259,O265)</f>
        <v>889980.22</v>
      </c>
      <c r="G265" s="46" t="s">
        <v>222</v>
      </c>
      <c r="H265" s="46" t="s">
        <v>223</v>
      </c>
      <c r="I265" s="46"/>
      <c r="J265" s="46"/>
      <c r="K265" s="46">
        <v>226</v>
      </c>
      <c r="L265" s="46">
        <v>5</v>
      </c>
      <c r="M265" s="46">
        <v>3</v>
      </c>
      <c r="N265" s="46" t="s">
        <v>30</v>
      </c>
      <c r="O265" s="46">
        <v>2</v>
      </c>
      <c r="P265" s="46"/>
      <c r="Q265" s="46"/>
      <c r="R265" s="46"/>
      <c r="S265" s="46"/>
      <c r="T265" s="46"/>
      <c r="U265" s="46"/>
      <c r="V265" s="46"/>
      <c r="W265" s="46">
        <v>936805.22</v>
      </c>
      <c r="X265" s="46">
        <v>1</v>
      </c>
      <c r="Y265" s="46">
        <v>936805.22</v>
      </c>
      <c r="Z265" s="46"/>
      <c r="AA265" s="46"/>
      <c r="AB265" s="46"/>
    </row>
    <row r="266" spans="1:206" ht="13" x14ac:dyDescent="0.3">
      <c r="A266" s="46">
        <v>50</v>
      </c>
      <c r="B266" s="46">
        <v>0</v>
      </c>
      <c r="C266" s="46">
        <v>0</v>
      </c>
      <c r="D266" s="46">
        <v>1</v>
      </c>
      <c r="E266" s="46">
        <v>227</v>
      </c>
      <c r="F266" s="46">
        <f>ROUND('Source (2)'!AX259,O266)</f>
        <v>0</v>
      </c>
      <c r="G266" s="46" t="s">
        <v>224</v>
      </c>
      <c r="H266" s="46" t="s">
        <v>225</v>
      </c>
      <c r="I266" s="46"/>
      <c r="J266" s="46"/>
      <c r="K266" s="46">
        <v>227</v>
      </c>
      <c r="L266" s="46">
        <v>6</v>
      </c>
      <c r="M266" s="46">
        <v>3</v>
      </c>
      <c r="N266" s="46" t="s">
        <v>30</v>
      </c>
      <c r="O266" s="46">
        <v>2</v>
      </c>
      <c r="P266" s="46"/>
      <c r="Q266" s="46"/>
      <c r="R266" s="46"/>
      <c r="S266" s="46"/>
      <c r="T266" s="46"/>
      <c r="U266" s="46"/>
      <c r="V266" s="46"/>
      <c r="W266" s="46">
        <v>0</v>
      </c>
      <c r="X266" s="46">
        <v>1</v>
      </c>
      <c r="Y266" s="46">
        <v>0</v>
      </c>
      <c r="Z266" s="46"/>
      <c r="AA266" s="46"/>
      <c r="AB266" s="46"/>
    </row>
    <row r="267" spans="1:206" ht="13" x14ac:dyDescent="0.3">
      <c r="A267" s="46">
        <v>50</v>
      </c>
      <c r="B267" s="46">
        <v>0</v>
      </c>
      <c r="C267" s="46">
        <v>0</v>
      </c>
      <c r="D267" s="46">
        <v>1</v>
      </c>
      <c r="E267" s="46">
        <v>228</v>
      </c>
      <c r="F267" s="46">
        <f>ROUND('Source (2)'!AY259,O267)</f>
        <v>889980.22</v>
      </c>
      <c r="G267" s="46" t="s">
        <v>226</v>
      </c>
      <c r="H267" s="46" t="s">
        <v>227</v>
      </c>
      <c r="I267" s="46"/>
      <c r="J267" s="46"/>
      <c r="K267" s="46">
        <v>228</v>
      </c>
      <c r="L267" s="46">
        <v>7</v>
      </c>
      <c r="M267" s="46">
        <v>3</v>
      </c>
      <c r="N267" s="46" t="s">
        <v>30</v>
      </c>
      <c r="O267" s="46">
        <v>2</v>
      </c>
      <c r="P267" s="46"/>
      <c r="Q267" s="46"/>
      <c r="R267" s="46"/>
      <c r="S267" s="46"/>
      <c r="T267" s="46"/>
      <c r="U267" s="46"/>
      <c r="V267" s="46"/>
      <c r="W267" s="46">
        <v>936805.22</v>
      </c>
      <c r="X267" s="46">
        <v>1</v>
      </c>
      <c r="Y267" s="46">
        <v>936805.22</v>
      </c>
      <c r="Z267" s="46"/>
      <c r="AA267" s="46"/>
      <c r="AB267" s="46"/>
    </row>
    <row r="268" spans="1:206" ht="13" x14ac:dyDescent="0.3">
      <c r="A268" s="46">
        <v>50</v>
      </c>
      <c r="B268" s="46">
        <v>0</v>
      </c>
      <c r="C268" s="46">
        <v>0</v>
      </c>
      <c r="D268" s="46">
        <v>1</v>
      </c>
      <c r="E268" s="46">
        <v>216</v>
      </c>
      <c r="F268" s="46">
        <f>ROUND('Source (2)'!AP259,O268)</f>
        <v>0</v>
      </c>
      <c r="G268" s="46" t="s">
        <v>228</v>
      </c>
      <c r="H268" s="46" t="s">
        <v>229</v>
      </c>
      <c r="I268" s="46"/>
      <c r="J268" s="46"/>
      <c r="K268" s="46">
        <v>216</v>
      </c>
      <c r="L268" s="46">
        <v>8</v>
      </c>
      <c r="M268" s="46">
        <v>3</v>
      </c>
      <c r="N268" s="46" t="s">
        <v>30</v>
      </c>
      <c r="O268" s="46">
        <v>2</v>
      </c>
      <c r="P268" s="46"/>
      <c r="Q268" s="46"/>
      <c r="R268" s="46"/>
      <c r="S268" s="46"/>
      <c r="T268" s="46"/>
      <c r="U268" s="46"/>
      <c r="V268" s="46"/>
      <c r="W268" s="46">
        <v>0</v>
      </c>
      <c r="X268" s="46">
        <v>1</v>
      </c>
      <c r="Y268" s="46">
        <v>0</v>
      </c>
      <c r="Z268" s="46"/>
      <c r="AA268" s="46"/>
      <c r="AB268" s="46"/>
    </row>
    <row r="269" spans="1:206" ht="13" x14ac:dyDescent="0.3">
      <c r="A269" s="46">
        <v>50</v>
      </c>
      <c r="B269" s="46">
        <v>0</v>
      </c>
      <c r="C269" s="46">
        <v>0</v>
      </c>
      <c r="D269" s="46">
        <v>1</v>
      </c>
      <c r="E269" s="46">
        <v>223</v>
      </c>
      <c r="F269" s="46">
        <f>ROUND('Source (2)'!AQ259,O269)</f>
        <v>0</v>
      </c>
      <c r="G269" s="46" t="s">
        <v>230</v>
      </c>
      <c r="H269" s="46" t="s">
        <v>231</v>
      </c>
      <c r="I269" s="46"/>
      <c r="J269" s="46"/>
      <c r="K269" s="46">
        <v>223</v>
      </c>
      <c r="L269" s="46">
        <v>9</v>
      </c>
      <c r="M269" s="46">
        <v>3</v>
      </c>
      <c r="N269" s="46" t="s">
        <v>30</v>
      </c>
      <c r="O269" s="46">
        <v>2</v>
      </c>
      <c r="P269" s="46"/>
      <c r="Q269" s="46"/>
      <c r="R269" s="46"/>
      <c r="S269" s="46"/>
      <c r="T269" s="46"/>
      <c r="U269" s="46"/>
      <c r="V269" s="46"/>
      <c r="W269" s="46">
        <v>0</v>
      </c>
      <c r="X269" s="46">
        <v>1</v>
      </c>
      <c r="Y269" s="46">
        <v>0</v>
      </c>
      <c r="Z269" s="46"/>
      <c r="AA269" s="46"/>
      <c r="AB269" s="46"/>
    </row>
    <row r="270" spans="1:206" ht="13" x14ac:dyDescent="0.3">
      <c r="A270" s="46">
        <v>50</v>
      </c>
      <c r="B270" s="46">
        <v>0</v>
      </c>
      <c r="C270" s="46">
        <v>0</v>
      </c>
      <c r="D270" s="46">
        <v>1</v>
      </c>
      <c r="E270" s="46">
        <v>229</v>
      </c>
      <c r="F270" s="46">
        <f>ROUND('Source (2)'!AZ259,O270)</f>
        <v>0</v>
      </c>
      <c r="G270" s="46" t="s">
        <v>232</v>
      </c>
      <c r="H270" s="46" t="s">
        <v>233</v>
      </c>
      <c r="I270" s="46"/>
      <c r="J270" s="46"/>
      <c r="K270" s="46">
        <v>229</v>
      </c>
      <c r="L270" s="46">
        <v>10</v>
      </c>
      <c r="M270" s="46">
        <v>3</v>
      </c>
      <c r="N270" s="46" t="s">
        <v>30</v>
      </c>
      <c r="O270" s="46">
        <v>2</v>
      </c>
      <c r="P270" s="46"/>
      <c r="Q270" s="46"/>
      <c r="R270" s="46"/>
      <c r="S270" s="46"/>
      <c r="T270" s="46"/>
      <c r="U270" s="46"/>
      <c r="V270" s="46"/>
      <c r="W270" s="46">
        <v>0</v>
      </c>
      <c r="X270" s="46">
        <v>1</v>
      </c>
      <c r="Y270" s="46">
        <v>0</v>
      </c>
      <c r="Z270" s="46"/>
      <c r="AA270" s="46"/>
      <c r="AB270" s="46"/>
    </row>
    <row r="271" spans="1:206" ht="13" x14ac:dyDescent="0.3">
      <c r="A271" s="46">
        <v>50</v>
      </c>
      <c r="B271" s="46">
        <v>0</v>
      </c>
      <c r="C271" s="46">
        <v>0</v>
      </c>
      <c r="D271" s="46">
        <v>1</v>
      </c>
      <c r="E271" s="46">
        <v>203</v>
      </c>
      <c r="F271" s="46">
        <f>ROUND('Source (2)'!Q259,O271)</f>
        <v>477991.65</v>
      </c>
      <c r="G271" s="46" t="s">
        <v>234</v>
      </c>
      <c r="H271" s="46" t="s">
        <v>235</v>
      </c>
      <c r="I271" s="46"/>
      <c r="J271" s="46"/>
      <c r="K271" s="46">
        <v>203</v>
      </c>
      <c r="L271" s="46">
        <v>11</v>
      </c>
      <c r="M271" s="46">
        <v>3</v>
      </c>
      <c r="N271" s="46" t="s">
        <v>30</v>
      </c>
      <c r="O271" s="46">
        <v>2</v>
      </c>
      <c r="P271" s="46"/>
      <c r="Q271" s="46"/>
      <c r="R271" s="46"/>
      <c r="S271" s="46"/>
      <c r="T271" s="46"/>
      <c r="U271" s="46"/>
      <c r="V271" s="46"/>
      <c r="W271" s="46">
        <v>477991.65</v>
      </c>
      <c r="X271" s="46">
        <v>1</v>
      </c>
      <c r="Y271" s="46">
        <v>477991.65</v>
      </c>
      <c r="Z271" s="46"/>
      <c r="AA271" s="46"/>
      <c r="AB271" s="46"/>
    </row>
    <row r="272" spans="1:206" ht="13" x14ac:dyDescent="0.3">
      <c r="A272" s="46">
        <v>50</v>
      </c>
      <c r="B272" s="46">
        <v>0</v>
      </c>
      <c r="C272" s="46">
        <v>0</v>
      </c>
      <c r="D272" s="46">
        <v>1</v>
      </c>
      <c r="E272" s="46">
        <v>231</v>
      </c>
      <c r="F272" s="46">
        <f>ROUND('Source (2)'!BB259,O272)</f>
        <v>0</v>
      </c>
      <c r="G272" s="46" t="s">
        <v>236</v>
      </c>
      <c r="H272" s="46" t="s">
        <v>237</v>
      </c>
      <c r="I272" s="46"/>
      <c r="J272" s="46"/>
      <c r="K272" s="46">
        <v>231</v>
      </c>
      <c r="L272" s="46">
        <v>12</v>
      </c>
      <c r="M272" s="46">
        <v>3</v>
      </c>
      <c r="N272" s="46" t="s">
        <v>30</v>
      </c>
      <c r="O272" s="46">
        <v>2</v>
      </c>
      <c r="P272" s="46"/>
      <c r="Q272" s="46"/>
      <c r="R272" s="46"/>
      <c r="S272" s="46"/>
      <c r="T272" s="46"/>
      <c r="U272" s="46"/>
      <c r="V272" s="46"/>
      <c r="W272" s="46">
        <v>0</v>
      </c>
      <c r="X272" s="46">
        <v>1</v>
      </c>
      <c r="Y272" s="46">
        <v>0</v>
      </c>
      <c r="Z272" s="46"/>
      <c r="AA272" s="46"/>
      <c r="AB272" s="46"/>
    </row>
    <row r="273" spans="1:28" ht="13" x14ac:dyDescent="0.3">
      <c r="A273" s="46">
        <v>50</v>
      </c>
      <c r="B273" s="46">
        <v>0</v>
      </c>
      <c r="C273" s="46">
        <v>0</v>
      </c>
      <c r="D273" s="46">
        <v>1</v>
      </c>
      <c r="E273" s="46">
        <v>204</v>
      </c>
      <c r="F273" s="46">
        <f>ROUND('Source (2)'!R259,O273)</f>
        <v>242709.12</v>
      </c>
      <c r="G273" s="46" t="s">
        <v>238</v>
      </c>
      <c r="H273" s="46" t="s">
        <v>239</v>
      </c>
      <c r="I273" s="46"/>
      <c r="J273" s="46"/>
      <c r="K273" s="46">
        <v>204</v>
      </c>
      <c r="L273" s="46">
        <v>13</v>
      </c>
      <c r="M273" s="46">
        <v>3</v>
      </c>
      <c r="N273" s="46" t="s">
        <v>30</v>
      </c>
      <c r="O273" s="46">
        <v>2</v>
      </c>
      <c r="P273" s="46"/>
      <c r="Q273" s="46"/>
      <c r="R273" s="46"/>
      <c r="S273" s="46"/>
      <c r="T273" s="46"/>
      <c r="U273" s="46"/>
      <c r="V273" s="46"/>
      <c r="W273" s="46">
        <v>242709.12</v>
      </c>
      <c r="X273" s="46">
        <v>1</v>
      </c>
      <c r="Y273" s="46">
        <v>242709.12</v>
      </c>
      <c r="Z273" s="46"/>
      <c r="AA273" s="46"/>
      <c r="AB273" s="46"/>
    </row>
    <row r="274" spans="1:28" ht="13" x14ac:dyDescent="0.3">
      <c r="A274" s="46">
        <v>50</v>
      </c>
      <c r="B274" s="46">
        <v>0</v>
      </c>
      <c r="C274" s="46">
        <v>0</v>
      </c>
      <c r="D274" s="46">
        <v>1</v>
      </c>
      <c r="E274" s="46">
        <v>205</v>
      </c>
      <c r="F274" s="46">
        <f>ROUND('Source (2)'!S259,O274)</f>
        <v>140663.54999999999</v>
      </c>
      <c r="G274" s="46" t="s">
        <v>240</v>
      </c>
      <c r="H274" s="46" t="s">
        <v>241</v>
      </c>
      <c r="I274" s="46"/>
      <c r="J274" s="46"/>
      <c r="K274" s="46">
        <v>205</v>
      </c>
      <c r="L274" s="46">
        <v>14</v>
      </c>
      <c r="M274" s="46">
        <v>3</v>
      </c>
      <c r="N274" s="46" t="s">
        <v>30</v>
      </c>
      <c r="O274" s="46">
        <v>2</v>
      </c>
      <c r="P274" s="46"/>
      <c r="Q274" s="46"/>
      <c r="R274" s="46"/>
      <c r="S274" s="46"/>
      <c r="T274" s="46"/>
      <c r="U274" s="46"/>
      <c r="V274" s="46"/>
      <c r="W274" s="46">
        <v>140663.54999999999</v>
      </c>
      <c r="X274" s="46">
        <v>1</v>
      </c>
      <c r="Y274" s="46">
        <v>140663.54999999999</v>
      </c>
      <c r="Z274" s="46"/>
      <c r="AA274" s="46"/>
      <c r="AB274" s="46"/>
    </row>
    <row r="275" spans="1:28" ht="13" x14ac:dyDescent="0.3">
      <c r="A275" s="46">
        <v>50</v>
      </c>
      <c r="B275" s="46">
        <v>0</v>
      </c>
      <c r="C275" s="46">
        <v>0</v>
      </c>
      <c r="D275" s="46">
        <v>1</v>
      </c>
      <c r="E275" s="46">
        <v>232</v>
      </c>
      <c r="F275" s="46">
        <f>ROUND('Source (2)'!BC259,O275)</f>
        <v>0</v>
      </c>
      <c r="G275" s="46" t="s">
        <v>242</v>
      </c>
      <c r="H275" s="46" t="s">
        <v>243</v>
      </c>
      <c r="I275" s="46"/>
      <c r="J275" s="46"/>
      <c r="K275" s="46">
        <v>232</v>
      </c>
      <c r="L275" s="46">
        <v>15</v>
      </c>
      <c r="M275" s="46">
        <v>3</v>
      </c>
      <c r="N275" s="46" t="s">
        <v>30</v>
      </c>
      <c r="O275" s="46">
        <v>2</v>
      </c>
      <c r="P275" s="46"/>
      <c r="Q275" s="46"/>
      <c r="R275" s="46"/>
      <c r="S275" s="46"/>
      <c r="T275" s="46"/>
      <c r="U275" s="46"/>
      <c r="V275" s="46"/>
      <c r="W275" s="46">
        <v>0</v>
      </c>
      <c r="X275" s="46">
        <v>1</v>
      </c>
      <c r="Y275" s="46">
        <v>0</v>
      </c>
      <c r="Z275" s="46"/>
      <c r="AA275" s="46"/>
      <c r="AB275" s="46"/>
    </row>
    <row r="276" spans="1:28" ht="13" x14ac:dyDescent="0.3">
      <c r="A276" s="46">
        <v>50</v>
      </c>
      <c r="B276" s="46">
        <v>0</v>
      </c>
      <c r="C276" s="46">
        <v>0</v>
      </c>
      <c r="D276" s="46">
        <v>1</v>
      </c>
      <c r="E276" s="46">
        <v>214</v>
      </c>
      <c r="F276" s="46">
        <f>ROUND('Source (2)'!AS259,O276)</f>
        <v>0</v>
      </c>
      <c r="G276" s="46" t="s">
        <v>244</v>
      </c>
      <c r="H276" s="46" t="s">
        <v>245</v>
      </c>
      <c r="I276" s="46"/>
      <c r="J276" s="46"/>
      <c r="K276" s="46">
        <v>214</v>
      </c>
      <c r="L276" s="46">
        <v>16</v>
      </c>
      <c r="M276" s="46">
        <v>3</v>
      </c>
      <c r="N276" s="46" t="s">
        <v>30</v>
      </c>
      <c r="O276" s="46">
        <v>2</v>
      </c>
      <c r="P276" s="46"/>
      <c r="Q276" s="46"/>
      <c r="R276" s="46"/>
      <c r="S276" s="46"/>
      <c r="T276" s="46"/>
      <c r="U276" s="46"/>
      <c r="V276" s="46"/>
      <c r="W276" s="46">
        <v>0</v>
      </c>
      <c r="X276" s="46">
        <v>1</v>
      </c>
      <c r="Y276" s="46">
        <v>0</v>
      </c>
      <c r="Z276" s="46"/>
      <c r="AA276" s="46"/>
      <c r="AB276" s="46"/>
    </row>
    <row r="277" spans="1:28" ht="13" x14ac:dyDescent="0.3">
      <c r="A277" s="46">
        <v>50</v>
      </c>
      <c r="B277" s="46">
        <v>0</v>
      </c>
      <c r="C277" s="46">
        <v>0</v>
      </c>
      <c r="D277" s="46">
        <v>1</v>
      </c>
      <c r="E277" s="46">
        <v>215</v>
      </c>
      <c r="F277" s="46">
        <f>ROUND('Source (2)'!AT259,O277)</f>
        <v>0</v>
      </c>
      <c r="G277" s="46" t="s">
        <v>246</v>
      </c>
      <c r="H277" s="46" t="s">
        <v>247</v>
      </c>
      <c r="I277" s="46"/>
      <c r="J277" s="46"/>
      <c r="K277" s="46">
        <v>215</v>
      </c>
      <c r="L277" s="46">
        <v>17</v>
      </c>
      <c r="M277" s="46">
        <v>3</v>
      </c>
      <c r="N277" s="46" t="s">
        <v>30</v>
      </c>
      <c r="O277" s="46">
        <v>2</v>
      </c>
      <c r="P277" s="46"/>
      <c r="Q277" s="46"/>
      <c r="R277" s="46"/>
      <c r="S277" s="46"/>
      <c r="T277" s="46"/>
      <c r="U277" s="46"/>
      <c r="V277" s="46"/>
      <c r="W277" s="46">
        <v>0</v>
      </c>
      <c r="X277" s="46">
        <v>1</v>
      </c>
      <c r="Y277" s="46">
        <v>0</v>
      </c>
      <c r="Z277" s="46"/>
      <c r="AA277" s="46"/>
      <c r="AB277" s="46"/>
    </row>
    <row r="278" spans="1:28" ht="13" x14ac:dyDescent="0.3">
      <c r="A278" s="46">
        <v>50</v>
      </c>
      <c r="B278" s="46">
        <v>0</v>
      </c>
      <c r="C278" s="46">
        <v>0</v>
      </c>
      <c r="D278" s="46">
        <v>1</v>
      </c>
      <c r="E278" s="46">
        <v>217</v>
      </c>
      <c r="F278" s="46">
        <f>ROUND('Source (2)'!AU259,O278)</f>
        <v>1682458.56</v>
      </c>
      <c r="G278" s="46" t="s">
        <v>248</v>
      </c>
      <c r="H278" s="46" t="s">
        <v>249</v>
      </c>
      <c r="I278" s="46"/>
      <c r="J278" s="46"/>
      <c r="K278" s="46">
        <v>217</v>
      </c>
      <c r="L278" s="46">
        <v>18</v>
      </c>
      <c r="M278" s="46">
        <v>3</v>
      </c>
      <c r="N278" s="46" t="s">
        <v>30</v>
      </c>
      <c r="O278" s="46">
        <v>2</v>
      </c>
      <c r="P278" s="46"/>
      <c r="Q278" s="46"/>
      <c r="R278" s="46"/>
      <c r="S278" s="46"/>
      <c r="T278" s="46"/>
      <c r="U278" s="46"/>
      <c r="V278" s="46"/>
      <c r="W278" s="46">
        <v>1729283.56</v>
      </c>
      <c r="X278" s="46">
        <v>1</v>
      </c>
      <c r="Y278" s="46">
        <v>1729283.56</v>
      </c>
      <c r="Z278" s="46"/>
      <c r="AA278" s="46"/>
      <c r="AB278" s="46"/>
    </row>
    <row r="279" spans="1:28" ht="13" x14ac:dyDescent="0.3">
      <c r="A279" s="46">
        <v>50</v>
      </c>
      <c r="B279" s="46">
        <v>0</v>
      </c>
      <c r="C279" s="46">
        <v>0</v>
      </c>
      <c r="D279" s="46">
        <v>1</v>
      </c>
      <c r="E279" s="46">
        <v>230</v>
      </c>
      <c r="F279" s="46">
        <f>ROUND('Source (2)'!BA259,O279)</f>
        <v>0</v>
      </c>
      <c r="G279" s="46" t="s">
        <v>250</v>
      </c>
      <c r="H279" s="46" t="s">
        <v>251</v>
      </c>
      <c r="I279" s="46"/>
      <c r="J279" s="46"/>
      <c r="K279" s="46">
        <v>230</v>
      </c>
      <c r="L279" s="46">
        <v>19</v>
      </c>
      <c r="M279" s="46">
        <v>3</v>
      </c>
      <c r="N279" s="46" t="s">
        <v>30</v>
      </c>
      <c r="O279" s="46">
        <v>2</v>
      </c>
      <c r="P279" s="46"/>
      <c r="Q279" s="46"/>
      <c r="R279" s="46"/>
      <c r="S279" s="46"/>
      <c r="T279" s="46"/>
      <c r="U279" s="46"/>
      <c r="V279" s="46"/>
      <c r="W279" s="46">
        <v>0</v>
      </c>
      <c r="X279" s="46">
        <v>1</v>
      </c>
      <c r="Y279" s="46">
        <v>0</v>
      </c>
      <c r="Z279" s="46"/>
      <c r="AA279" s="46"/>
      <c r="AB279" s="46"/>
    </row>
    <row r="280" spans="1:28" ht="13" x14ac:dyDescent="0.3">
      <c r="A280" s="46">
        <v>50</v>
      </c>
      <c r="B280" s="46">
        <v>0</v>
      </c>
      <c r="C280" s="46">
        <v>0</v>
      </c>
      <c r="D280" s="46">
        <v>1</v>
      </c>
      <c r="E280" s="46">
        <v>206</v>
      </c>
      <c r="F280" s="46">
        <f>ROUND('Source (2)'!T259,O280)</f>
        <v>0</v>
      </c>
      <c r="G280" s="46" t="s">
        <v>252</v>
      </c>
      <c r="H280" s="46" t="s">
        <v>253</v>
      </c>
      <c r="I280" s="46"/>
      <c r="J280" s="46"/>
      <c r="K280" s="46">
        <v>206</v>
      </c>
      <c r="L280" s="46">
        <v>20</v>
      </c>
      <c r="M280" s="46">
        <v>3</v>
      </c>
      <c r="N280" s="46" t="s">
        <v>30</v>
      </c>
      <c r="O280" s="46">
        <v>2</v>
      </c>
      <c r="P280" s="46"/>
      <c r="Q280" s="46"/>
      <c r="R280" s="46"/>
      <c r="S280" s="46"/>
      <c r="T280" s="46"/>
      <c r="U280" s="46"/>
      <c r="V280" s="46"/>
      <c r="W280" s="46">
        <v>0</v>
      </c>
      <c r="X280" s="46">
        <v>1</v>
      </c>
      <c r="Y280" s="46">
        <v>0</v>
      </c>
      <c r="Z280" s="46"/>
      <c r="AA280" s="46"/>
      <c r="AB280" s="46"/>
    </row>
    <row r="281" spans="1:28" ht="13" x14ac:dyDescent="0.3">
      <c r="A281" s="46">
        <v>50</v>
      </c>
      <c r="B281" s="46">
        <v>0</v>
      </c>
      <c r="C281" s="46">
        <v>0</v>
      </c>
      <c r="D281" s="46">
        <v>1</v>
      </c>
      <c r="E281" s="46">
        <v>207</v>
      </c>
      <c r="F281" s="46">
        <f>'Source (2)'!U259</f>
        <v>648.00717799999995</v>
      </c>
      <c r="G281" s="46" t="s">
        <v>254</v>
      </c>
      <c r="H281" s="46" t="s">
        <v>255</v>
      </c>
      <c r="I281" s="46"/>
      <c r="J281" s="46"/>
      <c r="K281" s="46">
        <v>207</v>
      </c>
      <c r="L281" s="46">
        <v>21</v>
      </c>
      <c r="M281" s="46">
        <v>3</v>
      </c>
      <c r="N281" s="46" t="s">
        <v>30</v>
      </c>
      <c r="O281" s="46">
        <v>-1</v>
      </c>
      <c r="P281" s="46"/>
      <c r="Q281" s="46"/>
      <c r="R281" s="46"/>
      <c r="S281" s="46"/>
      <c r="T281" s="46"/>
      <c r="U281" s="46"/>
      <c r="V281" s="46"/>
      <c r="W281" s="46">
        <v>648.00717799999995</v>
      </c>
      <c r="X281" s="46">
        <v>1</v>
      </c>
      <c r="Y281" s="46">
        <v>648.00717799999995</v>
      </c>
      <c r="Z281" s="46"/>
      <c r="AA281" s="46"/>
      <c r="AB281" s="46"/>
    </row>
    <row r="282" spans="1:28" ht="13" x14ac:dyDescent="0.3">
      <c r="A282" s="46">
        <v>50</v>
      </c>
      <c r="B282" s="46">
        <v>0</v>
      </c>
      <c r="C282" s="46">
        <v>0</v>
      </c>
      <c r="D282" s="46">
        <v>1</v>
      </c>
      <c r="E282" s="46">
        <v>208</v>
      </c>
      <c r="F282" s="46">
        <f>'Source (2)'!V259</f>
        <v>0</v>
      </c>
      <c r="G282" s="46" t="s">
        <v>256</v>
      </c>
      <c r="H282" s="46" t="s">
        <v>257</v>
      </c>
      <c r="I282" s="46"/>
      <c r="J282" s="46"/>
      <c r="K282" s="46">
        <v>208</v>
      </c>
      <c r="L282" s="46">
        <v>22</v>
      </c>
      <c r="M282" s="46">
        <v>3</v>
      </c>
      <c r="N282" s="46" t="s">
        <v>30</v>
      </c>
      <c r="O282" s="46">
        <v>-1</v>
      </c>
      <c r="P282" s="46"/>
      <c r="Q282" s="46"/>
      <c r="R282" s="46"/>
      <c r="S282" s="46"/>
      <c r="T282" s="46"/>
      <c r="U282" s="46"/>
      <c r="V282" s="46"/>
      <c r="W282" s="46">
        <v>0</v>
      </c>
      <c r="X282" s="46">
        <v>1</v>
      </c>
      <c r="Y282" s="46">
        <v>0</v>
      </c>
      <c r="Z282" s="46"/>
      <c r="AA282" s="46"/>
      <c r="AB282" s="46"/>
    </row>
    <row r="283" spans="1:28" ht="13" x14ac:dyDescent="0.3">
      <c r="A283" s="46">
        <v>50</v>
      </c>
      <c r="B283" s="46">
        <v>0</v>
      </c>
      <c r="C283" s="46">
        <v>0</v>
      </c>
      <c r="D283" s="46">
        <v>1</v>
      </c>
      <c r="E283" s="46">
        <v>209</v>
      </c>
      <c r="F283" s="46">
        <f>ROUND('Source (2)'!W259,O283)</f>
        <v>0</v>
      </c>
      <c r="G283" s="46" t="s">
        <v>258</v>
      </c>
      <c r="H283" s="46" t="s">
        <v>259</v>
      </c>
      <c r="I283" s="46"/>
      <c r="J283" s="46"/>
      <c r="K283" s="46">
        <v>209</v>
      </c>
      <c r="L283" s="46">
        <v>23</v>
      </c>
      <c r="M283" s="46">
        <v>3</v>
      </c>
      <c r="N283" s="46" t="s">
        <v>30</v>
      </c>
      <c r="O283" s="46">
        <v>2</v>
      </c>
      <c r="P283" s="46"/>
      <c r="Q283" s="46"/>
      <c r="R283" s="46"/>
      <c r="S283" s="46"/>
      <c r="T283" s="46"/>
      <c r="U283" s="46"/>
      <c r="V283" s="46"/>
      <c r="W283" s="46">
        <v>0</v>
      </c>
      <c r="X283" s="46">
        <v>1</v>
      </c>
      <c r="Y283" s="46">
        <v>0</v>
      </c>
      <c r="Z283" s="46"/>
      <c r="AA283" s="46"/>
      <c r="AB283" s="46"/>
    </row>
    <row r="284" spans="1:28" ht="13" x14ac:dyDescent="0.3">
      <c r="A284" s="46">
        <v>50</v>
      </c>
      <c r="B284" s="46">
        <v>0</v>
      </c>
      <c r="C284" s="46">
        <v>0</v>
      </c>
      <c r="D284" s="46">
        <v>1</v>
      </c>
      <c r="E284" s="46">
        <v>233</v>
      </c>
      <c r="F284" s="46">
        <f>ROUND('Source (2)'!BD259,O284)</f>
        <v>0</v>
      </c>
      <c r="G284" s="46" t="s">
        <v>260</v>
      </c>
      <c r="H284" s="46" t="s">
        <v>261</v>
      </c>
      <c r="I284" s="46"/>
      <c r="J284" s="46"/>
      <c r="K284" s="46">
        <v>233</v>
      </c>
      <c r="L284" s="46">
        <v>24</v>
      </c>
      <c r="M284" s="46">
        <v>3</v>
      </c>
      <c r="N284" s="46" t="s">
        <v>30</v>
      </c>
      <c r="O284" s="46">
        <v>2</v>
      </c>
      <c r="P284" s="46"/>
      <c r="Q284" s="46"/>
      <c r="R284" s="46"/>
      <c r="S284" s="46"/>
      <c r="T284" s="46"/>
      <c r="U284" s="46"/>
      <c r="V284" s="46"/>
      <c r="W284" s="46">
        <v>0</v>
      </c>
      <c r="X284" s="46">
        <v>1</v>
      </c>
      <c r="Y284" s="46">
        <v>0</v>
      </c>
      <c r="Z284" s="46"/>
      <c r="AA284" s="46"/>
      <c r="AB284" s="46"/>
    </row>
    <row r="285" spans="1:28" ht="13" x14ac:dyDescent="0.3">
      <c r="A285" s="46">
        <v>50</v>
      </c>
      <c r="B285" s="46">
        <v>0</v>
      </c>
      <c r="C285" s="46">
        <v>0</v>
      </c>
      <c r="D285" s="46">
        <v>1</v>
      </c>
      <c r="E285" s="46">
        <v>210</v>
      </c>
      <c r="F285" s="46">
        <f>ROUND('Source (2)'!X259,O285)</f>
        <v>98464.49</v>
      </c>
      <c r="G285" s="46" t="s">
        <v>262</v>
      </c>
      <c r="H285" s="46" t="s">
        <v>263</v>
      </c>
      <c r="I285" s="46"/>
      <c r="J285" s="46"/>
      <c r="K285" s="46">
        <v>210</v>
      </c>
      <c r="L285" s="46">
        <v>25</v>
      </c>
      <c r="M285" s="46">
        <v>3</v>
      </c>
      <c r="N285" s="46" t="s">
        <v>30</v>
      </c>
      <c r="O285" s="46">
        <v>2</v>
      </c>
      <c r="P285" s="46"/>
      <c r="Q285" s="46"/>
      <c r="R285" s="46"/>
      <c r="S285" s="46"/>
      <c r="T285" s="46"/>
      <c r="U285" s="46"/>
      <c r="V285" s="46"/>
      <c r="W285" s="46">
        <v>98464.49</v>
      </c>
      <c r="X285" s="46">
        <v>1</v>
      </c>
      <c r="Y285" s="46">
        <v>98464.49</v>
      </c>
      <c r="Z285" s="46"/>
      <c r="AA285" s="46"/>
      <c r="AB285" s="46"/>
    </row>
    <row r="286" spans="1:28" ht="13" x14ac:dyDescent="0.3">
      <c r="A286" s="46">
        <v>50</v>
      </c>
      <c r="B286" s="46">
        <v>0</v>
      </c>
      <c r="C286" s="46">
        <v>0</v>
      </c>
      <c r="D286" s="46">
        <v>1</v>
      </c>
      <c r="E286" s="46">
        <v>211</v>
      </c>
      <c r="F286" s="46">
        <f>ROUND('Source (2)'!Y259,O286)</f>
        <v>14066.36</v>
      </c>
      <c r="G286" s="46" t="s">
        <v>264</v>
      </c>
      <c r="H286" s="46" t="s">
        <v>265</v>
      </c>
      <c r="I286" s="46"/>
      <c r="J286" s="46"/>
      <c r="K286" s="46">
        <v>211</v>
      </c>
      <c r="L286" s="46">
        <v>26</v>
      </c>
      <c r="M286" s="46">
        <v>3</v>
      </c>
      <c r="N286" s="46" t="s">
        <v>30</v>
      </c>
      <c r="O286" s="46">
        <v>2</v>
      </c>
      <c r="P286" s="46"/>
      <c r="Q286" s="46"/>
      <c r="R286" s="46"/>
      <c r="S286" s="46"/>
      <c r="T286" s="46"/>
      <c r="U286" s="46"/>
      <c r="V286" s="46"/>
      <c r="W286" s="46">
        <v>14066.36</v>
      </c>
      <c r="X286" s="46">
        <v>1</v>
      </c>
      <c r="Y286" s="46">
        <v>14066.36</v>
      </c>
      <c r="Z286" s="46"/>
      <c r="AA286" s="46"/>
      <c r="AB286" s="46"/>
    </row>
    <row r="287" spans="1:28" ht="13" x14ac:dyDescent="0.3">
      <c r="A287" s="46">
        <v>50</v>
      </c>
      <c r="B287" s="46">
        <v>0</v>
      </c>
      <c r="C287" s="46">
        <v>0</v>
      </c>
      <c r="D287" s="46">
        <v>1</v>
      </c>
      <c r="E287" s="46">
        <v>224</v>
      </c>
      <c r="F287" s="46">
        <f>ROUND('Source (2)'!AR259,O287)</f>
        <v>1682458.56</v>
      </c>
      <c r="G287" s="46" t="s">
        <v>266</v>
      </c>
      <c r="H287" s="46" t="s">
        <v>267</v>
      </c>
      <c r="I287" s="46"/>
      <c r="J287" s="46"/>
      <c r="K287" s="46">
        <v>224</v>
      </c>
      <c r="L287" s="46">
        <v>27</v>
      </c>
      <c r="M287" s="46">
        <v>3</v>
      </c>
      <c r="N287" s="46" t="s">
        <v>30</v>
      </c>
      <c r="O287" s="46">
        <v>2</v>
      </c>
      <c r="P287" s="46"/>
      <c r="Q287" s="46"/>
      <c r="R287" s="46"/>
      <c r="S287" s="46"/>
      <c r="T287" s="46"/>
      <c r="U287" s="46"/>
      <c r="V287" s="46"/>
      <c r="W287" s="46">
        <v>1729283.56</v>
      </c>
      <c r="X287" s="46">
        <v>1</v>
      </c>
      <c r="Y287" s="46">
        <v>1729283.56</v>
      </c>
      <c r="Z287" s="46"/>
      <c r="AA287" s="46"/>
      <c r="AB287" s="46"/>
    </row>
    <row r="288" spans="1:28" ht="13" x14ac:dyDescent="0.3">
      <c r="A288" s="46">
        <v>50</v>
      </c>
      <c r="B288" s="46">
        <v>1</v>
      </c>
      <c r="C288" s="46">
        <v>0</v>
      </c>
      <c r="D288" s="46">
        <v>2</v>
      </c>
      <c r="E288" s="46">
        <v>0</v>
      </c>
      <c r="F288" s="46">
        <f>ROUND(F287,O288)</f>
        <v>1682458.56</v>
      </c>
      <c r="G288" s="46" t="s">
        <v>268</v>
      </c>
      <c r="H288" s="46" t="s">
        <v>269</v>
      </c>
      <c r="I288" s="46"/>
      <c r="J288" s="46"/>
      <c r="K288" s="46">
        <v>212</v>
      </c>
      <c r="L288" s="46">
        <v>28</v>
      </c>
      <c r="M288" s="46">
        <v>0</v>
      </c>
      <c r="N288" s="46" t="s">
        <v>30</v>
      </c>
      <c r="O288" s="46">
        <v>2</v>
      </c>
      <c r="P288" s="46"/>
      <c r="Q288" s="46"/>
      <c r="R288" s="46"/>
      <c r="S288" s="46"/>
      <c r="T288" s="46"/>
      <c r="U288" s="46"/>
      <c r="V288" s="46"/>
      <c r="W288" s="46">
        <v>1729283.56</v>
      </c>
      <c r="X288" s="46">
        <v>1</v>
      </c>
      <c r="Y288" s="46">
        <v>1729283.56</v>
      </c>
      <c r="Z288" s="46"/>
      <c r="AA288" s="46"/>
      <c r="AB288" s="46"/>
    </row>
    <row r="289" spans="1:28" ht="13" x14ac:dyDescent="0.3">
      <c r="A289" s="46">
        <v>50</v>
      </c>
      <c r="B289" s="46">
        <v>1</v>
      </c>
      <c r="C289" s="46">
        <v>0</v>
      </c>
      <c r="D289" s="46">
        <v>2</v>
      </c>
      <c r="E289" s="46">
        <v>0</v>
      </c>
      <c r="F289" s="46">
        <f>ROUND(F287-F274-F273,O289)</f>
        <v>1299085.8899999999</v>
      </c>
      <c r="G289" s="46" t="s">
        <v>270</v>
      </c>
      <c r="H289" s="46" t="s">
        <v>271</v>
      </c>
      <c r="I289" s="46"/>
      <c r="J289" s="46"/>
      <c r="K289" s="46">
        <v>212</v>
      </c>
      <c r="L289" s="46">
        <v>29</v>
      </c>
      <c r="M289" s="46">
        <v>0</v>
      </c>
      <c r="N289" s="46" t="s">
        <v>30</v>
      </c>
      <c r="O289" s="46">
        <v>2</v>
      </c>
      <c r="P289" s="46"/>
      <c r="Q289" s="46"/>
      <c r="R289" s="46"/>
      <c r="S289" s="46"/>
      <c r="T289" s="46"/>
      <c r="U289" s="46"/>
      <c r="V289" s="46"/>
      <c r="W289" s="46">
        <v>1345910.89</v>
      </c>
      <c r="X289" s="46">
        <v>1</v>
      </c>
      <c r="Y289" s="46">
        <v>1345910.89</v>
      </c>
      <c r="Z289" s="46"/>
      <c r="AA289" s="46"/>
      <c r="AB289" s="46"/>
    </row>
    <row r="290" spans="1:28" ht="13" x14ac:dyDescent="0.3">
      <c r="A290" s="46">
        <v>50</v>
      </c>
      <c r="B290" s="46">
        <v>1</v>
      </c>
      <c r="C290" s="46">
        <v>0</v>
      </c>
      <c r="D290" s="46">
        <v>2</v>
      </c>
      <c r="E290" s="46">
        <v>0</v>
      </c>
      <c r="F290" s="46">
        <f>ROUND(F286,O290)</f>
        <v>14066.36</v>
      </c>
      <c r="G290" s="46" t="s">
        <v>25</v>
      </c>
      <c r="H290" s="46" t="s">
        <v>25</v>
      </c>
      <c r="I290" s="46"/>
      <c r="J290" s="46"/>
      <c r="K290" s="46">
        <v>212</v>
      </c>
      <c r="L290" s="46">
        <v>30</v>
      </c>
      <c r="M290" s="46">
        <v>0</v>
      </c>
      <c r="N290" s="46" t="s">
        <v>30</v>
      </c>
      <c r="O290" s="46">
        <v>2</v>
      </c>
      <c r="P290" s="46"/>
      <c r="Q290" s="46"/>
      <c r="R290" s="46"/>
      <c r="S290" s="46"/>
      <c r="T290" s="46"/>
      <c r="U290" s="46"/>
      <c r="V290" s="46"/>
      <c r="W290" s="46">
        <v>14066.36</v>
      </c>
      <c r="X290" s="46">
        <v>1</v>
      </c>
      <c r="Y290" s="46">
        <v>14066.36</v>
      </c>
      <c r="Z290" s="46"/>
      <c r="AA290" s="46"/>
      <c r="AB290" s="46"/>
    </row>
    <row r="291" spans="1:28" ht="13" x14ac:dyDescent="0.3">
      <c r="A291" s="46">
        <v>50</v>
      </c>
      <c r="B291" s="46">
        <v>1</v>
      </c>
      <c r="C291" s="46">
        <v>0</v>
      </c>
      <c r="D291" s="46">
        <v>2</v>
      </c>
      <c r="E291" s="46">
        <v>0</v>
      </c>
      <c r="F291" s="46">
        <f>ROUND(F296*0.3,O291)</f>
        <v>72812.740000000005</v>
      </c>
      <c r="G291" s="46" t="s">
        <v>272</v>
      </c>
      <c r="H291" s="46" t="s">
        <v>272</v>
      </c>
      <c r="I291" s="46"/>
      <c r="J291" s="46"/>
      <c r="K291" s="46">
        <v>212</v>
      </c>
      <c r="L291" s="46">
        <v>31</v>
      </c>
      <c r="M291" s="46">
        <v>0</v>
      </c>
      <c r="N291" s="46" t="s">
        <v>30</v>
      </c>
      <c r="O291" s="46">
        <v>2</v>
      </c>
      <c r="P291" s="46"/>
      <c r="Q291" s="46"/>
      <c r="R291" s="46"/>
      <c r="S291" s="46"/>
      <c r="T291" s="46"/>
      <c r="U291" s="46"/>
      <c r="V291" s="46"/>
      <c r="W291" s="46">
        <v>72812.740000000005</v>
      </c>
      <c r="X291" s="46">
        <v>1</v>
      </c>
      <c r="Y291" s="46">
        <v>72812.740000000005</v>
      </c>
      <c r="Z291" s="46"/>
      <c r="AA291" s="46"/>
      <c r="AB291" s="46"/>
    </row>
    <row r="292" spans="1:28" ht="13" x14ac:dyDescent="0.3">
      <c r="A292" s="46">
        <v>50</v>
      </c>
      <c r="B292" s="46">
        <v>1</v>
      </c>
      <c r="C292" s="46">
        <v>0</v>
      </c>
      <c r="D292" s="46">
        <v>2</v>
      </c>
      <c r="E292" s="46">
        <v>0</v>
      </c>
      <c r="F292" s="46">
        <f>ROUND(F289-F290-F291,O292)</f>
        <v>1212206.79</v>
      </c>
      <c r="G292" s="46" t="s">
        <v>273</v>
      </c>
      <c r="H292" s="46" t="s">
        <v>274</v>
      </c>
      <c r="I292" s="46"/>
      <c r="J292" s="46"/>
      <c r="K292" s="46">
        <v>212</v>
      </c>
      <c r="L292" s="46">
        <v>32</v>
      </c>
      <c r="M292" s="46">
        <v>0</v>
      </c>
      <c r="N292" s="46" t="s">
        <v>30</v>
      </c>
      <c r="O292" s="46">
        <v>2</v>
      </c>
      <c r="P292" s="46"/>
      <c r="Q292" s="46"/>
      <c r="R292" s="46"/>
      <c r="S292" s="46"/>
      <c r="T292" s="46"/>
      <c r="U292" s="46"/>
      <c r="V292" s="46"/>
      <c r="W292" s="46">
        <v>1259031.79</v>
      </c>
      <c r="X292" s="46">
        <v>1</v>
      </c>
      <c r="Y292" s="46">
        <v>1259031.79</v>
      </c>
      <c r="Z292" s="46"/>
      <c r="AA292" s="46"/>
      <c r="AB292" s="46"/>
    </row>
    <row r="293" spans="1:28" ht="13" x14ac:dyDescent="0.3">
      <c r="A293" s="46">
        <v>50</v>
      </c>
      <c r="B293" s="46">
        <v>1</v>
      </c>
      <c r="C293" s="46">
        <v>0</v>
      </c>
      <c r="D293" s="46">
        <v>2</v>
      </c>
      <c r="E293" s="46">
        <v>0</v>
      </c>
      <c r="F293" s="46">
        <f>ROUND(F292*0.2,O293)</f>
        <v>242441.36</v>
      </c>
      <c r="G293" s="46" t="s">
        <v>42</v>
      </c>
      <c r="H293" s="46" t="s">
        <v>42</v>
      </c>
      <c r="I293" s="46"/>
      <c r="J293" s="46"/>
      <c r="K293" s="46">
        <v>212</v>
      </c>
      <c r="L293" s="46">
        <v>33</v>
      </c>
      <c r="M293" s="46">
        <v>0</v>
      </c>
      <c r="N293" s="46" t="s">
        <v>30</v>
      </c>
      <c r="O293" s="46">
        <v>2</v>
      </c>
      <c r="P293" s="46"/>
      <c r="Q293" s="46"/>
      <c r="R293" s="46"/>
      <c r="S293" s="46"/>
      <c r="T293" s="46"/>
      <c r="U293" s="46"/>
      <c r="V293" s="46"/>
      <c r="W293" s="46">
        <v>251806.36</v>
      </c>
      <c r="X293" s="46">
        <v>1</v>
      </c>
      <c r="Y293" s="46">
        <v>251806.36</v>
      </c>
      <c r="Z293" s="46"/>
      <c r="AA293" s="46"/>
      <c r="AB293" s="46"/>
    </row>
    <row r="294" spans="1:28" ht="13" x14ac:dyDescent="0.3">
      <c r="A294" s="46">
        <v>50</v>
      </c>
      <c r="B294" s="46">
        <v>1</v>
      </c>
      <c r="C294" s="46">
        <v>0</v>
      </c>
      <c r="D294" s="46">
        <v>2</v>
      </c>
      <c r="E294" s="46">
        <v>0</v>
      </c>
      <c r="F294" s="46">
        <f>ROUND(F292+F293,O294)</f>
        <v>1454648.15</v>
      </c>
      <c r="G294" s="46" t="s">
        <v>43</v>
      </c>
      <c r="H294" s="46" t="s">
        <v>275</v>
      </c>
      <c r="I294" s="46"/>
      <c r="J294" s="46"/>
      <c r="K294" s="46">
        <v>212</v>
      </c>
      <c r="L294" s="46">
        <v>34</v>
      </c>
      <c r="M294" s="46">
        <v>0</v>
      </c>
      <c r="N294" s="46" t="s">
        <v>30</v>
      </c>
      <c r="O294" s="46">
        <v>2</v>
      </c>
      <c r="P294" s="46"/>
      <c r="Q294" s="46"/>
      <c r="R294" s="46"/>
      <c r="S294" s="46"/>
      <c r="T294" s="46"/>
      <c r="U294" s="46"/>
      <c r="V294" s="46"/>
      <c r="W294" s="46">
        <v>1510838.15</v>
      </c>
      <c r="X294" s="46">
        <v>1</v>
      </c>
      <c r="Y294" s="46">
        <v>1510838.15</v>
      </c>
      <c r="Z294" s="46"/>
      <c r="AA294" s="46"/>
      <c r="AB294" s="46"/>
    </row>
    <row r="295" spans="1:28" ht="13" x14ac:dyDescent="0.3">
      <c r="A295" s="46">
        <v>50</v>
      </c>
      <c r="B295" s="46">
        <v>1</v>
      </c>
      <c r="C295" s="46">
        <v>0</v>
      </c>
      <c r="D295" s="46">
        <v>2</v>
      </c>
      <c r="E295" s="46">
        <v>0</v>
      </c>
      <c r="F295" s="46">
        <f>ROUND(F274,O295)</f>
        <v>140663.54999999999</v>
      </c>
      <c r="G295" s="46" t="s">
        <v>276</v>
      </c>
      <c r="H295" s="46" t="s">
        <v>277</v>
      </c>
      <c r="I295" s="46"/>
      <c r="J295" s="46"/>
      <c r="K295" s="46">
        <v>212</v>
      </c>
      <c r="L295" s="46">
        <v>35</v>
      </c>
      <c r="M295" s="46">
        <v>0</v>
      </c>
      <c r="N295" s="46" t="s">
        <v>30</v>
      </c>
      <c r="O295" s="46">
        <v>2</v>
      </c>
      <c r="P295" s="46"/>
      <c r="Q295" s="46"/>
      <c r="R295" s="46"/>
      <c r="S295" s="46"/>
      <c r="T295" s="46"/>
      <c r="U295" s="46"/>
      <c r="V295" s="46"/>
      <c r="W295" s="46">
        <v>140663.54999999999</v>
      </c>
      <c r="X295" s="46">
        <v>1</v>
      </c>
      <c r="Y295" s="46">
        <v>140663.54999999999</v>
      </c>
      <c r="Z295" s="46"/>
      <c r="AA295" s="46"/>
      <c r="AB295" s="46"/>
    </row>
    <row r="296" spans="1:28" ht="13" x14ac:dyDescent="0.3">
      <c r="A296" s="46">
        <v>50</v>
      </c>
      <c r="B296" s="46">
        <v>1</v>
      </c>
      <c r="C296" s="46">
        <v>0</v>
      </c>
      <c r="D296" s="46">
        <v>2</v>
      </c>
      <c r="E296" s="46">
        <v>0</v>
      </c>
      <c r="F296" s="46">
        <f>ROUND(F273,O296)</f>
        <v>242709.12</v>
      </c>
      <c r="G296" s="46" t="s">
        <v>278</v>
      </c>
      <c r="H296" s="46" t="s">
        <v>279</v>
      </c>
      <c r="I296" s="46"/>
      <c r="J296" s="46"/>
      <c r="K296" s="46">
        <v>212</v>
      </c>
      <c r="L296" s="46">
        <v>36</v>
      </c>
      <c r="M296" s="46">
        <v>0</v>
      </c>
      <c r="N296" s="46" t="s">
        <v>30</v>
      </c>
      <c r="O296" s="46">
        <v>2</v>
      </c>
      <c r="P296" s="46"/>
      <c r="Q296" s="46"/>
      <c r="R296" s="46"/>
      <c r="S296" s="46"/>
      <c r="T296" s="46"/>
      <c r="U296" s="46"/>
      <c r="V296" s="46"/>
      <c r="W296" s="46">
        <v>242709.12</v>
      </c>
      <c r="X296" s="46">
        <v>1</v>
      </c>
      <c r="Y296" s="46">
        <v>242709.12</v>
      </c>
      <c r="Z296" s="46"/>
      <c r="AA296" s="46"/>
      <c r="AB296" s="46"/>
    </row>
    <row r="297" spans="1:28" ht="13" x14ac:dyDescent="0.3">
      <c r="A297" s="46">
        <v>50</v>
      </c>
      <c r="B297" s="46">
        <v>1</v>
      </c>
      <c r="C297" s="46">
        <v>0</v>
      </c>
      <c r="D297" s="46">
        <v>2</v>
      </c>
      <c r="E297" s="46">
        <v>0</v>
      </c>
      <c r="F297" s="46">
        <f>ROUND(F294+F295+F296,O297)</f>
        <v>1838020.82</v>
      </c>
      <c r="G297" s="46" t="s">
        <v>266</v>
      </c>
      <c r="H297" s="46" t="s">
        <v>280</v>
      </c>
      <c r="I297" s="46"/>
      <c r="J297" s="46"/>
      <c r="K297" s="46">
        <v>212</v>
      </c>
      <c r="L297" s="46">
        <v>37</v>
      </c>
      <c r="M297" s="46">
        <v>0</v>
      </c>
      <c r="N297" s="46" t="s">
        <v>30</v>
      </c>
      <c r="O297" s="46">
        <v>2</v>
      </c>
      <c r="P297" s="46"/>
      <c r="Q297" s="46"/>
      <c r="R297" s="46"/>
      <c r="S297" s="46"/>
      <c r="T297" s="46"/>
      <c r="U297" s="46"/>
      <c r="V297" s="46"/>
      <c r="W297" s="46">
        <v>1894210.82</v>
      </c>
      <c r="X297" s="46">
        <v>1</v>
      </c>
      <c r="Y297" s="46">
        <v>1894210.82</v>
      </c>
      <c r="Z297" s="46"/>
      <c r="AA297" s="46"/>
      <c r="AB297" s="46"/>
    </row>
    <row r="300" spans="1:28" x14ac:dyDescent="0.25">
      <c r="A300" s="2">
        <v>-1</v>
      </c>
    </row>
    <row r="302" spans="1:28" ht="13" x14ac:dyDescent="0.3">
      <c r="A302" s="45">
        <v>75</v>
      </c>
      <c r="B302" s="45" t="s">
        <v>357</v>
      </c>
      <c r="C302" s="45">
        <v>2021</v>
      </c>
      <c r="D302" s="45">
        <v>0</v>
      </c>
      <c r="E302" s="45">
        <v>10</v>
      </c>
      <c r="F302" s="45">
        <v>0</v>
      </c>
      <c r="G302" s="45">
        <v>0</v>
      </c>
      <c r="H302" s="45">
        <v>1</v>
      </c>
      <c r="I302" s="45">
        <v>0</v>
      </c>
      <c r="J302" s="45">
        <v>1</v>
      </c>
      <c r="K302" s="45">
        <v>78</v>
      </c>
      <c r="L302" s="45">
        <v>30</v>
      </c>
      <c r="M302" s="45">
        <v>0</v>
      </c>
      <c r="N302" s="45">
        <v>52262273</v>
      </c>
      <c r="O302" s="45">
        <v>1</v>
      </c>
    </row>
    <row r="306" spans="1:5" x14ac:dyDescent="0.25">
      <c r="A306" s="2">
        <v>65</v>
      </c>
      <c r="C306" s="2">
        <v>1</v>
      </c>
      <c r="D306" s="2">
        <v>0</v>
      </c>
      <c r="E306" s="2">
        <v>245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52470-795D-4F53-AF63-0791BEAEF8EA}">
  <dimension ref="A1:EC61"/>
  <sheetViews>
    <sheetView workbookViewId="0">
      <selection activeCell="I192" sqref="I192"/>
    </sheetView>
  </sheetViews>
  <sheetFormatPr defaultColWidth="9.1796875" defaultRowHeight="12.5" x14ac:dyDescent="0.25"/>
  <cols>
    <col min="1" max="256" width="9.1796875" style="2" customWidth="1"/>
    <col min="257" max="16384" width="9.1796875" style="2"/>
  </cols>
  <sheetData>
    <row r="1" spans="1:133" x14ac:dyDescent="0.25">
      <c r="A1" s="2">
        <v>0</v>
      </c>
      <c r="B1" s="2" t="s">
        <v>162</v>
      </c>
      <c r="D1" s="2" t="s">
        <v>358</v>
      </c>
      <c r="F1" s="2">
        <v>0</v>
      </c>
      <c r="G1" s="2">
        <v>0</v>
      </c>
      <c r="H1" s="2">
        <v>0</v>
      </c>
      <c r="I1" s="2" t="s">
        <v>164</v>
      </c>
      <c r="J1" s="2" t="s">
        <v>30</v>
      </c>
      <c r="K1" s="2">
        <v>1</v>
      </c>
      <c r="L1" s="2">
        <v>53533</v>
      </c>
      <c r="M1" s="2">
        <v>10</v>
      </c>
      <c r="N1" s="2">
        <v>11</v>
      </c>
      <c r="O1" s="2">
        <v>5</v>
      </c>
      <c r="P1" s="2">
        <v>1</v>
      </c>
      <c r="Q1" s="2">
        <v>0</v>
      </c>
    </row>
    <row r="12" spans="1:133" ht="13" x14ac:dyDescent="0.3">
      <c r="A12" s="43">
        <v>1</v>
      </c>
      <c r="B12" s="43">
        <v>61</v>
      </c>
      <c r="C12" s="43">
        <v>0</v>
      </c>
      <c r="D12" s="43"/>
      <c r="E12" s="43">
        <v>0</v>
      </c>
      <c r="F12" s="43" t="s">
        <v>165</v>
      </c>
      <c r="G12" s="43" t="s">
        <v>397</v>
      </c>
      <c r="H12" s="43" t="s">
        <v>30</v>
      </c>
      <c r="I12" s="43">
        <v>0</v>
      </c>
      <c r="J12" s="43" t="s">
        <v>30</v>
      </c>
      <c r="K12" s="43">
        <v>0</v>
      </c>
      <c r="L12" s="43">
        <v>0</v>
      </c>
      <c r="M12" s="43">
        <v>2</v>
      </c>
      <c r="N12" s="43"/>
      <c r="O12" s="43">
        <v>0</v>
      </c>
      <c r="P12" s="43">
        <v>0</v>
      </c>
      <c r="Q12" s="43">
        <v>0</v>
      </c>
      <c r="R12" s="43">
        <v>108</v>
      </c>
      <c r="S12" s="43"/>
      <c r="T12" s="43">
        <v>1</v>
      </c>
      <c r="U12" s="43" t="s">
        <v>30</v>
      </c>
      <c r="V12" s="43">
        <v>0</v>
      </c>
      <c r="W12" s="43" t="s">
        <v>30</v>
      </c>
      <c r="X12" s="43" t="s">
        <v>30</v>
      </c>
      <c r="Y12" s="43" t="s">
        <v>30</v>
      </c>
      <c r="Z12" s="43" t="s">
        <v>30</v>
      </c>
      <c r="AA12" s="43" t="s">
        <v>30</v>
      </c>
      <c r="AB12" s="43" t="s">
        <v>30</v>
      </c>
      <c r="AC12" s="43" t="s">
        <v>30</v>
      </c>
      <c r="AD12" s="43" t="s">
        <v>30</v>
      </c>
      <c r="AE12" s="43" t="s">
        <v>30</v>
      </c>
      <c r="AF12" s="43" t="s">
        <v>30</v>
      </c>
      <c r="AG12" s="43" t="s">
        <v>30</v>
      </c>
      <c r="AH12" s="43" t="s">
        <v>30</v>
      </c>
      <c r="AI12" s="43" t="s">
        <v>30</v>
      </c>
      <c r="AJ12" s="43" t="s">
        <v>30</v>
      </c>
      <c r="AK12" s="43"/>
      <c r="AL12" s="43" t="s">
        <v>30</v>
      </c>
      <c r="AM12" s="43" t="s">
        <v>30</v>
      </c>
      <c r="AN12" s="43" t="s">
        <v>30</v>
      </c>
      <c r="AO12" s="43"/>
      <c r="AP12" s="43" t="s">
        <v>30</v>
      </c>
      <c r="AQ12" s="43" t="s">
        <v>30</v>
      </c>
      <c r="AR12" s="43" t="s">
        <v>30</v>
      </c>
      <c r="AS12" s="43"/>
      <c r="AT12" s="43"/>
      <c r="AU12" s="43"/>
      <c r="AV12" s="43"/>
      <c r="AW12" s="43"/>
      <c r="AX12" s="43" t="s">
        <v>30</v>
      </c>
      <c r="AY12" s="43" t="s">
        <v>30</v>
      </c>
      <c r="AZ12" s="43" t="s">
        <v>30</v>
      </c>
      <c r="BA12" s="43"/>
      <c r="BB12" s="43">
        <v>0</v>
      </c>
      <c r="BC12" s="43"/>
      <c r="BD12" s="43"/>
      <c r="BE12" s="43"/>
      <c r="BF12" s="43"/>
      <c r="BG12" s="43"/>
      <c r="BH12" s="43" t="s">
        <v>167</v>
      </c>
      <c r="BI12" s="43" t="s">
        <v>168</v>
      </c>
      <c r="BJ12" s="43">
        <v>1</v>
      </c>
      <c r="BK12" s="43">
        <v>1</v>
      </c>
      <c r="BL12" s="43">
        <v>0</v>
      </c>
      <c r="BM12" s="43">
        <v>0</v>
      </c>
      <c r="BN12" s="43">
        <v>1</v>
      </c>
      <c r="BO12" s="43">
        <v>0</v>
      </c>
      <c r="BP12" s="43">
        <v>6</v>
      </c>
      <c r="BQ12" s="43">
        <v>2</v>
      </c>
      <c r="BR12" s="43">
        <v>1</v>
      </c>
      <c r="BS12" s="43">
        <v>1</v>
      </c>
      <c r="BT12" s="43">
        <v>0</v>
      </c>
      <c r="BU12" s="43">
        <v>0</v>
      </c>
      <c r="BV12" s="43">
        <v>0</v>
      </c>
      <c r="BW12" s="43">
        <v>0</v>
      </c>
      <c r="BX12" s="43">
        <v>0</v>
      </c>
      <c r="BY12" s="43" t="s">
        <v>169</v>
      </c>
      <c r="BZ12" s="43" t="s">
        <v>170</v>
      </c>
      <c r="CA12" s="43" t="s">
        <v>171</v>
      </c>
      <c r="CB12" s="43" t="s">
        <v>171</v>
      </c>
      <c r="CC12" s="43" t="s">
        <v>171</v>
      </c>
      <c r="CD12" s="43" t="s">
        <v>171</v>
      </c>
      <c r="CE12" s="43" t="s">
        <v>172</v>
      </c>
      <c r="CF12" s="43">
        <v>0</v>
      </c>
      <c r="CG12" s="43">
        <v>0</v>
      </c>
      <c r="CH12" s="43">
        <v>8</v>
      </c>
      <c r="CI12" s="43" t="s">
        <v>30</v>
      </c>
      <c r="CJ12" s="43" t="s">
        <v>30</v>
      </c>
      <c r="CK12" s="43">
        <v>0</v>
      </c>
      <c r="CL12" s="43"/>
      <c r="CM12" s="43"/>
      <c r="CN12" s="43"/>
      <c r="CO12" s="43"/>
      <c r="CP12" s="43"/>
      <c r="CQ12" s="43"/>
      <c r="CR12" s="43"/>
      <c r="CS12" s="43"/>
      <c r="CT12" s="43"/>
      <c r="CU12" s="43"/>
      <c r="CV12" s="43"/>
      <c r="CW12" s="43"/>
      <c r="CX12" s="43"/>
      <c r="CY12" s="43"/>
      <c r="CZ12" s="43"/>
      <c r="DA12" s="43"/>
      <c r="DB12" s="43"/>
      <c r="DC12" s="43"/>
      <c r="DD12" s="43"/>
      <c r="DE12" s="43"/>
      <c r="DF12" s="43"/>
      <c r="DG12" s="43"/>
      <c r="DH12" s="43"/>
      <c r="DI12" s="43"/>
      <c r="DJ12" s="43"/>
      <c r="DK12" s="43"/>
      <c r="DL12" s="43"/>
      <c r="DM12" s="43"/>
      <c r="DN12" s="43"/>
      <c r="DO12" s="43"/>
      <c r="DP12" s="43"/>
      <c r="DQ12" s="43"/>
      <c r="DR12" s="43"/>
      <c r="DS12" s="43"/>
      <c r="DT12" s="43"/>
      <c r="DU12" s="43"/>
      <c r="DV12" s="43"/>
      <c r="DW12" s="43"/>
      <c r="DX12" s="43"/>
      <c r="DY12" s="43"/>
      <c r="DZ12" s="43"/>
      <c r="EA12" s="43"/>
      <c r="EB12" s="43"/>
      <c r="EC12" s="43">
        <v>0</v>
      </c>
    </row>
    <row r="14" spans="1:133" ht="13" x14ac:dyDescent="0.3">
      <c r="A14" s="43">
        <v>22</v>
      </c>
      <c r="B14" s="43">
        <v>1</v>
      </c>
      <c r="C14" s="43">
        <v>0</v>
      </c>
      <c r="D14" s="43">
        <v>52262273</v>
      </c>
      <c r="E14" s="43">
        <v>0</v>
      </c>
      <c r="F14" s="43">
        <v>2</v>
      </c>
      <c r="G14" s="43">
        <v>1</v>
      </c>
      <c r="H14" s="43"/>
      <c r="I14" s="43"/>
      <c r="J14" s="43"/>
      <c r="K14" s="43"/>
      <c r="L14" s="43"/>
      <c r="M14" s="43"/>
      <c r="N14" s="43"/>
      <c r="O14" s="43"/>
    </row>
    <row r="16" spans="1:133" x14ac:dyDescent="0.25">
      <c r="A16" s="47">
        <v>3</v>
      </c>
      <c r="B16" s="47">
        <v>0</v>
      </c>
      <c r="C16" s="47" t="s">
        <v>173</v>
      </c>
      <c r="D16" s="47" t="s">
        <v>173</v>
      </c>
      <c r="E16" s="48">
        <f>ROUND(('Source (2)'!F236)/1000,2)</f>
        <v>0</v>
      </c>
      <c r="F16" s="48">
        <f>ROUND(('Source (2)'!F237)/1000,2)</f>
        <v>0</v>
      </c>
      <c r="G16" s="48">
        <f>ROUND(('Source (2)'!F228)/1000,2)</f>
        <v>0</v>
      </c>
      <c r="H16" s="48">
        <f>ROUND(('Source (2)'!F238)/1000+('Source (2)'!F239)/1000,2)</f>
        <v>1682.46</v>
      </c>
      <c r="I16" s="48">
        <f>E16+F16+G16+H16</f>
        <v>1682.46</v>
      </c>
      <c r="J16" s="48">
        <f>ROUND(('Source (2)'!F234+'Source (2)'!F233)/1000,2)</f>
        <v>383.37</v>
      </c>
      <c r="AI16" s="47">
        <v>0</v>
      </c>
      <c r="AJ16" s="47">
        <v>0</v>
      </c>
      <c r="AK16" s="47" t="s">
        <v>30</v>
      </c>
      <c r="AL16" s="47" t="s">
        <v>30</v>
      </c>
      <c r="AM16" s="47" t="s">
        <v>30</v>
      </c>
      <c r="AN16" s="47">
        <v>0</v>
      </c>
      <c r="AO16" s="47" t="s">
        <v>30</v>
      </c>
      <c r="AP16" s="47" t="s">
        <v>30</v>
      </c>
      <c r="AT16" s="48">
        <v>1555460.42</v>
      </c>
      <c r="AU16" s="48">
        <v>936805.22</v>
      </c>
      <c r="AV16" s="48">
        <v>0</v>
      </c>
      <c r="AW16" s="48">
        <v>0</v>
      </c>
      <c r="AX16" s="48">
        <v>0</v>
      </c>
      <c r="AY16" s="48">
        <v>477991.65</v>
      </c>
      <c r="AZ16" s="48">
        <v>242709.12</v>
      </c>
      <c r="BA16" s="48">
        <v>140663.54999999999</v>
      </c>
      <c r="BB16" s="48">
        <v>0</v>
      </c>
      <c r="BC16" s="48">
        <v>0</v>
      </c>
      <c r="BD16" s="48">
        <v>1729283.56</v>
      </c>
      <c r="BE16" s="48">
        <v>0</v>
      </c>
      <c r="BF16" s="48">
        <v>648.00717799999995</v>
      </c>
      <c r="BG16" s="48">
        <v>0</v>
      </c>
      <c r="BH16" s="48">
        <v>0</v>
      </c>
      <c r="BI16" s="48">
        <v>98464.49</v>
      </c>
      <c r="BJ16" s="48">
        <v>14066.36</v>
      </c>
      <c r="BK16" s="48">
        <v>1729283.56</v>
      </c>
    </row>
    <row r="18" spans="1:19" ht="13" x14ac:dyDescent="0.3">
      <c r="A18" s="2">
        <v>51</v>
      </c>
      <c r="E18" s="49">
        <f>SUMIF(A16:A17,3,E16:E17)</f>
        <v>0</v>
      </c>
      <c r="F18" s="49">
        <f>SUMIF(A16:A17,3,F16:F17)</f>
        <v>0</v>
      </c>
      <c r="G18" s="49">
        <f>SUMIF(A16:A17,3,G16:G17)</f>
        <v>0</v>
      </c>
      <c r="H18" s="49">
        <f>SUMIF(A16:A17,3,H16:H17)</f>
        <v>1682.46</v>
      </c>
      <c r="I18" s="49">
        <f>SUMIF(A16:A17,3,I16:I17)</f>
        <v>1682.46</v>
      </c>
      <c r="J18" s="49">
        <f>SUMIF(A16:A17,3,J16:J17)</f>
        <v>383.37</v>
      </c>
      <c r="K18" s="49"/>
      <c r="L18" s="49"/>
      <c r="M18" s="49"/>
      <c r="N18" s="49"/>
      <c r="O18" s="49"/>
      <c r="P18" s="49"/>
      <c r="Q18" s="49"/>
      <c r="R18" s="49"/>
      <c r="S18" s="49"/>
    </row>
    <row r="20" spans="1:19" ht="13" x14ac:dyDescent="0.3">
      <c r="A20" s="46">
        <v>50</v>
      </c>
      <c r="B20" s="46">
        <v>0</v>
      </c>
      <c r="C20" s="46">
        <v>0</v>
      </c>
      <c r="D20" s="46">
        <v>1</v>
      </c>
      <c r="E20" s="46">
        <v>201</v>
      </c>
      <c r="F20" s="46">
        <v>1555460.42</v>
      </c>
      <c r="G20" s="46" t="s">
        <v>214</v>
      </c>
      <c r="H20" s="46" t="s">
        <v>215</v>
      </c>
      <c r="I20" s="46"/>
      <c r="J20" s="46"/>
      <c r="K20" s="46">
        <v>201</v>
      </c>
      <c r="L20" s="46">
        <v>1</v>
      </c>
      <c r="M20" s="46">
        <v>3</v>
      </c>
      <c r="N20" s="46" t="s">
        <v>30</v>
      </c>
      <c r="O20" s="46">
        <v>2</v>
      </c>
      <c r="P20" s="46"/>
    </row>
    <row r="21" spans="1:19" ht="13" x14ac:dyDescent="0.3">
      <c r="A21" s="46">
        <v>50</v>
      </c>
      <c r="B21" s="46">
        <v>0</v>
      </c>
      <c r="C21" s="46">
        <v>0</v>
      </c>
      <c r="D21" s="46">
        <v>1</v>
      </c>
      <c r="E21" s="46">
        <v>202</v>
      </c>
      <c r="F21" s="46">
        <v>936805.22</v>
      </c>
      <c r="G21" s="46" t="s">
        <v>216</v>
      </c>
      <c r="H21" s="46" t="s">
        <v>217</v>
      </c>
      <c r="I21" s="46"/>
      <c r="J21" s="46"/>
      <c r="K21" s="46">
        <v>202</v>
      </c>
      <c r="L21" s="46">
        <v>2</v>
      </c>
      <c r="M21" s="46">
        <v>3</v>
      </c>
      <c r="N21" s="46" t="s">
        <v>30</v>
      </c>
      <c r="O21" s="46">
        <v>2</v>
      </c>
      <c r="P21" s="46"/>
    </row>
    <row r="22" spans="1:19" ht="13" x14ac:dyDescent="0.3">
      <c r="A22" s="46">
        <v>50</v>
      </c>
      <c r="B22" s="46">
        <v>0</v>
      </c>
      <c r="C22" s="46">
        <v>0</v>
      </c>
      <c r="D22" s="46">
        <v>1</v>
      </c>
      <c r="E22" s="46">
        <v>222</v>
      </c>
      <c r="F22" s="46">
        <v>0</v>
      </c>
      <c r="G22" s="46" t="s">
        <v>218</v>
      </c>
      <c r="H22" s="46" t="s">
        <v>219</v>
      </c>
      <c r="I22" s="46"/>
      <c r="J22" s="46"/>
      <c r="K22" s="46">
        <v>222</v>
      </c>
      <c r="L22" s="46">
        <v>3</v>
      </c>
      <c r="M22" s="46">
        <v>3</v>
      </c>
      <c r="N22" s="46" t="s">
        <v>30</v>
      </c>
      <c r="O22" s="46">
        <v>2</v>
      </c>
      <c r="P22" s="46"/>
    </row>
    <row r="23" spans="1:19" ht="13" x14ac:dyDescent="0.3">
      <c r="A23" s="46">
        <v>50</v>
      </c>
      <c r="B23" s="46">
        <v>0</v>
      </c>
      <c r="C23" s="46">
        <v>0</v>
      </c>
      <c r="D23" s="46">
        <v>1</v>
      </c>
      <c r="E23" s="46">
        <v>225</v>
      </c>
      <c r="F23" s="46">
        <v>936805.22</v>
      </c>
      <c r="G23" s="46" t="s">
        <v>220</v>
      </c>
      <c r="H23" s="46" t="s">
        <v>221</v>
      </c>
      <c r="I23" s="46"/>
      <c r="J23" s="46"/>
      <c r="K23" s="46">
        <v>225</v>
      </c>
      <c r="L23" s="46">
        <v>4</v>
      </c>
      <c r="M23" s="46">
        <v>3</v>
      </c>
      <c r="N23" s="46" t="s">
        <v>30</v>
      </c>
      <c r="O23" s="46">
        <v>2</v>
      </c>
      <c r="P23" s="46"/>
    </row>
    <row r="24" spans="1:19" ht="13" x14ac:dyDescent="0.3">
      <c r="A24" s="46">
        <v>50</v>
      </c>
      <c r="B24" s="46">
        <v>0</v>
      </c>
      <c r="C24" s="46">
        <v>0</v>
      </c>
      <c r="D24" s="46">
        <v>1</v>
      </c>
      <c r="E24" s="46">
        <v>226</v>
      </c>
      <c r="F24" s="46">
        <v>936805.22</v>
      </c>
      <c r="G24" s="46" t="s">
        <v>222</v>
      </c>
      <c r="H24" s="46" t="s">
        <v>223</v>
      </c>
      <c r="I24" s="46"/>
      <c r="J24" s="46"/>
      <c r="K24" s="46">
        <v>226</v>
      </c>
      <c r="L24" s="46">
        <v>5</v>
      </c>
      <c r="M24" s="46">
        <v>3</v>
      </c>
      <c r="N24" s="46" t="s">
        <v>30</v>
      </c>
      <c r="O24" s="46">
        <v>2</v>
      </c>
      <c r="P24" s="46"/>
    </row>
    <row r="25" spans="1:19" ht="13" x14ac:dyDescent="0.3">
      <c r="A25" s="46">
        <v>50</v>
      </c>
      <c r="B25" s="46">
        <v>0</v>
      </c>
      <c r="C25" s="46">
        <v>0</v>
      </c>
      <c r="D25" s="46">
        <v>1</v>
      </c>
      <c r="E25" s="46">
        <v>227</v>
      </c>
      <c r="F25" s="46">
        <v>0</v>
      </c>
      <c r="G25" s="46" t="s">
        <v>224</v>
      </c>
      <c r="H25" s="46" t="s">
        <v>225</v>
      </c>
      <c r="I25" s="46"/>
      <c r="J25" s="46"/>
      <c r="K25" s="46">
        <v>227</v>
      </c>
      <c r="L25" s="46">
        <v>6</v>
      </c>
      <c r="M25" s="46">
        <v>3</v>
      </c>
      <c r="N25" s="46" t="s">
        <v>30</v>
      </c>
      <c r="O25" s="46">
        <v>2</v>
      </c>
      <c r="P25" s="46"/>
    </row>
    <row r="26" spans="1:19" ht="13" x14ac:dyDescent="0.3">
      <c r="A26" s="46">
        <v>50</v>
      </c>
      <c r="B26" s="46">
        <v>0</v>
      </c>
      <c r="C26" s="46">
        <v>0</v>
      </c>
      <c r="D26" s="46">
        <v>1</v>
      </c>
      <c r="E26" s="46">
        <v>228</v>
      </c>
      <c r="F26" s="46">
        <v>936805.22</v>
      </c>
      <c r="G26" s="46" t="s">
        <v>226</v>
      </c>
      <c r="H26" s="46" t="s">
        <v>227</v>
      </c>
      <c r="I26" s="46"/>
      <c r="J26" s="46"/>
      <c r="K26" s="46">
        <v>228</v>
      </c>
      <c r="L26" s="46">
        <v>7</v>
      </c>
      <c r="M26" s="46">
        <v>3</v>
      </c>
      <c r="N26" s="46" t="s">
        <v>30</v>
      </c>
      <c r="O26" s="46">
        <v>2</v>
      </c>
      <c r="P26" s="46"/>
    </row>
    <row r="27" spans="1:19" ht="13" x14ac:dyDescent="0.3">
      <c r="A27" s="46">
        <v>50</v>
      </c>
      <c r="B27" s="46">
        <v>0</v>
      </c>
      <c r="C27" s="46">
        <v>0</v>
      </c>
      <c r="D27" s="46">
        <v>1</v>
      </c>
      <c r="E27" s="46">
        <v>216</v>
      </c>
      <c r="F27" s="46">
        <v>0</v>
      </c>
      <c r="G27" s="46" t="s">
        <v>228</v>
      </c>
      <c r="H27" s="46" t="s">
        <v>229</v>
      </c>
      <c r="I27" s="46"/>
      <c r="J27" s="46"/>
      <c r="K27" s="46">
        <v>216</v>
      </c>
      <c r="L27" s="46">
        <v>8</v>
      </c>
      <c r="M27" s="46">
        <v>3</v>
      </c>
      <c r="N27" s="46" t="s">
        <v>30</v>
      </c>
      <c r="O27" s="46">
        <v>2</v>
      </c>
      <c r="P27" s="46"/>
    </row>
    <row r="28" spans="1:19" ht="13" x14ac:dyDescent="0.3">
      <c r="A28" s="46">
        <v>50</v>
      </c>
      <c r="B28" s="46">
        <v>0</v>
      </c>
      <c r="C28" s="46">
        <v>0</v>
      </c>
      <c r="D28" s="46">
        <v>1</v>
      </c>
      <c r="E28" s="46">
        <v>223</v>
      </c>
      <c r="F28" s="46">
        <v>0</v>
      </c>
      <c r="G28" s="46" t="s">
        <v>230</v>
      </c>
      <c r="H28" s="46" t="s">
        <v>231</v>
      </c>
      <c r="I28" s="46"/>
      <c r="J28" s="46"/>
      <c r="K28" s="46">
        <v>223</v>
      </c>
      <c r="L28" s="46">
        <v>9</v>
      </c>
      <c r="M28" s="46">
        <v>3</v>
      </c>
      <c r="N28" s="46" t="s">
        <v>30</v>
      </c>
      <c r="O28" s="46">
        <v>2</v>
      </c>
      <c r="P28" s="46"/>
    </row>
    <row r="29" spans="1:19" ht="13" x14ac:dyDescent="0.3">
      <c r="A29" s="46">
        <v>50</v>
      </c>
      <c r="B29" s="46">
        <v>0</v>
      </c>
      <c r="C29" s="46">
        <v>0</v>
      </c>
      <c r="D29" s="46">
        <v>1</v>
      </c>
      <c r="E29" s="46">
        <v>229</v>
      </c>
      <c r="F29" s="46">
        <v>0</v>
      </c>
      <c r="G29" s="46" t="s">
        <v>232</v>
      </c>
      <c r="H29" s="46" t="s">
        <v>233</v>
      </c>
      <c r="I29" s="46"/>
      <c r="J29" s="46"/>
      <c r="K29" s="46">
        <v>229</v>
      </c>
      <c r="L29" s="46">
        <v>10</v>
      </c>
      <c r="M29" s="46">
        <v>3</v>
      </c>
      <c r="N29" s="46" t="s">
        <v>30</v>
      </c>
      <c r="O29" s="46">
        <v>2</v>
      </c>
      <c r="P29" s="46"/>
    </row>
    <row r="30" spans="1:19" ht="13" x14ac:dyDescent="0.3">
      <c r="A30" s="46">
        <v>50</v>
      </c>
      <c r="B30" s="46">
        <v>0</v>
      </c>
      <c r="C30" s="46">
        <v>0</v>
      </c>
      <c r="D30" s="46">
        <v>1</v>
      </c>
      <c r="E30" s="46">
        <v>203</v>
      </c>
      <c r="F30" s="46">
        <v>477991.65</v>
      </c>
      <c r="G30" s="46" t="s">
        <v>234</v>
      </c>
      <c r="H30" s="46" t="s">
        <v>235</v>
      </c>
      <c r="I30" s="46"/>
      <c r="J30" s="46"/>
      <c r="K30" s="46">
        <v>203</v>
      </c>
      <c r="L30" s="46">
        <v>11</v>
      </c>
      <c r="M30" s="46">
        <v>3</v>
      </c>
      <c r="N30" s="46" t="s">
        <v>30</v>
      </c>
      <c r="O30" s="46">
        <v>2</v>
      </c>
      <c r="P30" s="46"/>
    </row>
    <row r="31" spans="1:19" ht="13" x14ac:dyDescent="0.3">
      <c r="A31" s="46">
        <v>50</v>
      </c>
      <c r="B31" s="46">
        <v>0</v>
      </c>
      <c r="C31" s="46">
        <v>0</v>
      </c>
      <c r="D31" s="46">
        <v>1</v>
      </c>
      <c r="E31" s="46">
        <v>231</v>
      </c>
      <c r="F31" s="46">
        <v>0</v>
      </c>
      <c r="G31" s="46" t="s">
        <v>236</v>
      </c>
      <c r="H31" s="46" t="s">
        <v>237</v>
      </c>
      <c r="I31" s="46"/>
      <c r="J31" s="46"/>
      <c r="K31" s="46">
        <v>231</v>
      </c>
      <c r="L31" s="46">
        <v>12</v>
      </c>
      <c r="M31" s="46">
        <v>3</v>
      </c>
      <c r="N31" s="46" t="s">
        <v>30</v>
      </c>
      <c r="O31" s="46">
        <v>2</v>
      </c>
      <c r="P31" s="46"/>
    </row>
    <row r="32" spans="1:19" ht="13" x14ac:dyDescent="0.3">
      <c r="A32" s="46">
        <v>50</v>
      </c>
      <c r="B32" s="46">
        <v>0</v>
      </c>
      <c r="C32" s="46">
        <v>0</v>
      </c>
      <c r="D32" s="46">
        <v>1</v>
      </c>
      <c r="E32" s="46">
        <v>204</v>
      </c>
      <c r="F32" s="46">
        <v>242709.12</v>
      </c>
      <c r="G32" s="46" t="s">
        <v>238</v>
      </c>
      <c r="H32" s="46" t="s">
        <v>239</v>
      </c>
      <c r="I32" s="46"/>
      <c r="J32" s="46"/>
      <c r="K32" s="46">
        <v>204</v>
      </c>
      <c r="L32" s="46">
        <v>13</v>
      </c>
      <c r="M32" s="46">
        <v>3</v>
      </c>
      <c r="N32" s="46" t="s">
        <v>30</v>
      </c>
      <c r="O32" s="46">
        <v>2</v>
      </c>
      <c r="P32" s="46"/>
    </row>
    <row r="33" spans="1:16" ht="13" x14ac:dyDescent="0.3">
      <c r="A33" s="46">
        <v>50</v>
      </c>
      <c r="B33" s="46">
        <v>0</v>
      </c>
      <c r="C33" s="46">
        <v>0</v>
      </c>
      <c r="D33" s="46">
        <v>1</v>
      </c>
      <c r="E33" s="46">
        <v>205</v>
      </c>
      <c r="F33" s="46">
        <v>140663.54999999999</v>
      </c>
      <c r="G33" s="46" t="s">
        <v>240</v>
      </c>
      <c r="H33" s="46" t="s">
        <v>241</v>
      </c>
      <c r="I33" s="46"/>
      <c r="J33" s="46"/>
      <c r="K33" s="46">
        <v>205</v>
      </c>
      <c r="L33" s="46">
        <v>14</v>
      </c>
      <c r="M33" s="46">
        <v>3</v>
      </c>
      <c r="N33" s="46" t="s">
        <v>30</v>
      </c>
      <c r="O33" s="46">
        <v>2</v>
      </c>
      <c r="P33" s="46"/>
    </row>
    <row r="34" spans="1:16" ht="13" x14ac:dyDescent="0.3">
      <c r="A34" s="46">
        <v>50</v>
      </c>
      <c r="B34" s="46">
        <v>0</v>
      </c>
      <c r="C34" s="46">
        <v>0</v>
      </c>
      <c r="D34" s="46">
        <v>1</v>
      </c>
      <c r="E34" s="46">
        <v>232</v>
      </c>
      <c r="F34" s="46">
        <v>0</v>
      </c>
      <c r="G34" s="46" t="s">
        <v>242</v>
      </c>
      <c r="H34" s="46" t="s">
        <v>243</v>
      </c>
      <c r="I34" s="46"/>
      <c r="J34" s="46"/>
      <c r="K34" s="46">
        <v>232</v>
      </c>
      <c r="L34" s="46">
        <v>15</v>
      </c>
      <c r="M34" s="46">
        <v>3</v>
      </c>
      <c r="N34" s="46" t="s">
        <v>30</v>
      </c>
      <c r="O34" s="46">
        <v>2</v>
      </c>
      <c r="P34" s="46"/>
    </row>
    <row r="35" spans="1:16" ht="13" x14ac:dyDescent="0.3">
      <c r="A35" s="46">
        <v>50</v>
      </c>
      <c r="B35" s="46">
        <v>0</v>
      </c>
      <c r="C35" s="46">
        <v>0</v>
      </c>
      <c r="D35" s="46">
        <v>1</v>
      </c>
      <c r="E35" s="46">
        <v>214</v>
      </c>
      <c r="F35" s="46">
        <v>0</v>
      </c>
      <c r="G35" s="46" t="s">
        <v>244</v>
      </c>
      <c r="H35" s="46" t="s">
        <v>245</v>
      </c>
      <c r="I35" s="46"/>
      <c r="J35" s="46"/>
      <c r="K35" s="46">
        <v>214</v>
      </c>
      <c r="L35" s="46">
        <v>16</v>
      </c>
      <c r="M35" s="46">
        <v>3</v>
      </c>
      <c r="N35" s="46" t="s">
        <v>30</v>
      </c>
      <c r="O35" s="46">
        <v>2</v>
      </c>
      <c r="P35" s="46"/>
    </row>
    <row r="36" spans="1:16" ht="13" x14ac:dyDescent="0.3">
      <c r="A36" s="46">
        <v>50</v>
      </c>
      <c r="B36" s="46">
        <v>0</v>
      </c>
      <c r="C36" s="46">
        <v>0</v>
      </c>
      <c r="D36" s="46">
        <v>1</v>
      </c>
      <c r="E36" s="46">
        <v>215</v>
      </c>
      <c r="F36" s="46">
        <v>0</v>
      </c>
      <c r="G36" s="46" t="s">
        <v>246</v>
      </c>
      <c r="H36" s="46" t="s">
        <v>247</v>
      </c>
      <c r="I36" s="46"/>
      <c r="J36" s="46"/>
      <c r="K36" s="46">
        <v>215</v>
      </c>
      <c r="L36" s="46">
        <v>17</v>
      </c>
      <c r="M36" s="46">
        <v>3</v>
      </c>
      <c r="N36" s="46" t="s">
        <v>30</v>
      </c>
      <c r="O36" s="46">
        <v>2</v>
      </c>
      <c r="P36" s="46"/>
    </row>
    <row r="37" spans="1:16" ht="13" x14ac:dyDescent="0.3">
      <c r="A37" s="46">
        <v>50</v>
      </c>
      <c r="B37" s="46">
        <v>0</v>
      </c>
      <c r="C37" s="46">
        <v>0</v>
      </c>
      <c r="D37" s="46">
        <v>1</v>
      </c>
      <c r="E37" s="46">
        <v>217</v>
      </c>
      <c r="F37" s="46">
        <v>1729283.56</v>
      </c>
      <c r="G37" s="46" t="s">
        <v>248</v>
      </c>
      <c r="H37" s="46" t="s">
        <v>249</v>
      </c>
      <c r="I37" s="46"/>
      <c r="J37" s="46"/>
      <c r="K37" s="46">
        <v>217</v>
      </c>
      <c r="L37" s="46">
        <v>18</v>
      </c>
      <c r="M37" s="46">
        <v>3</v>
      </c>
      <c r="N37" s="46" t="s">
        <v>30</v>
      </c>
      <c r="O37" s="46">
        <v>2</v>
      </c>
      <c r="P37" s="46"/>
    </row>
    <row r="38" spans="1:16" ht="13" x14ac:dyDescent="0.3">
      <c r="A38" s="46">
        <v>50</v>
      </c>
      <c r="B38" s="46">
        <v>0</v>
      </c>
      <c r="C38" s="46">
        <v>0</v>
      </c>
      <c r="D38" s="46">
        <v>1</v>
      </c>
      <c r="E38" s="46">
        <v>230</v>
      </c>
      <c r="F38" s="46">
        <v>0</v>
      </c>
      <c r="G38" s="46" t="s">
        <v>250</v>
      </c>
      <c r="H38" s="46" t="s">
        <v>251</v>
      </c>
      <c r="I38" s="46"/>
      <c r="J38" s="46"/>
      <c r="K38" s="46">
        <v>230</v>
      </c>
      <c r="L38" s="46">
        <v>19</v>
      </c>
      <c r="M38" s="46">
        <v>3</v>
      </c>
      <c r="N38" s="46" t="s">
        <v>30</v>
      </c>
      <c r="O38" s="46">
        <v>2</v>
      </c>
      <c r="P38" s="46"/>
    </row>
    <row r="39" spans="1:16" ht="13" x14ac:dyDescent="0.3">
      <c r="A39" s="46">
        <v>50</v>
      </c>
      <c r="B39" s="46">
        <v>0</v>
      </c>
      <c r="C39" s="46">
        <v>0</v>
      </c>
      <c r="D39" s="46">
        <v>1</v>
      </c>
      <c r="E39" s="46">
        <v>206</v>
      </c>
      <c r="F39" s="46">
        <v>0</v>
      </c>
      <c r="G39" s="46" t="s">
        <v>252</v>
      </c>
      <c r="H39" s="46" t="s">
        <v>253</v>
      </c>
      <c r="I39" s="46"/>
      <c r="J39" s="46"/>
      <c r="K39" s="46">
        <v>206</v>
      </c>
      <c r="L39" s="46">
        <v>20</v>
      </c>
      <c r="M39" s="46">
        <v>3</v>
      </c>
      <c r="N39" s="46" t="s">
        <v>30</v>
      </c>
      <c r="O39" s="46">
        <v>2</v>
      </c>
      <c r="P39" s="46"/>
    </row>
    <row r="40" spans="1:16" ht="13" x14ac:dyDescent="0.3">
      <c r="A40" s="46">
        <v>50</v>
      </c>
      <c r="B40" s="46">
        <v>0</v>
      </c>
      <c r="C40" s="46">
        <v>0</v>
      </c>
      <c r="D40" s="46">
        <v>1</v>
      </c>
      <c r="E40" s="46">
        <v>207</v>
      </c>
      <c r="F40" s="46">
        <v>648.00717799999995</v>
      </c>
      <c r="G40" s="46" t="s">
        <v>254</v>
      </c>
      <c r="H40" s="46" t="s">
        <v>255</v>
      </c>
      <c r="I40" s="46"/>
      <c r="J40" s="46"/>
      <c r="K40" s="46">
        <v>207</v>
      </c>
      <c r="L40" s="46">
        <v>21</v>
      </c>
      <c r="M40" s="46">
        <v>3</v>
      </c>
      <c r="N40" s="46" t="s">
        <v>30</v>
      </c>
      <c r="O40" s="46">
        <v>-1</v>
      </c>
      <c r="P40" s="46"/>
    </row>
    <row r="41" spans="1:16" ht="13" x14ac:dyDescent="0.3">
      <c r="A41" s="46">
        <v>50</v>
      </c>
      <c r="B41" s="46">
        <v>0</v>
      </c>
      <c r="C41" s="46">
        <v>0</v>
      </c>
      <c r="D41" s="46">
        <v>1</v>
      </c>
      <c r="E41" s="46">
        <v>208</v>
      </c>
      <c r="F41" s="46">
        <v>0</v>
      </c>
      <c r="G41" s="46" t="s">
        <v>256</v>
      </c>
      <c r="H41" s="46" t="s">
        <v>257</v>
      </c>
      <c r="I41" s="46"/>
      <c r="J41" s="46"/>
      <c r="K41" s="46">
        <v>208</v>
      </c>
      <c r="L41" s="46">
        <v>22</v>
      </c>
      <c r="M41" s="46">
        <v>3</v>
      </c>
      <c r="N41" s="46" t="s">
        <v>30</v>
      </c>
      <c r="O41" s="46">
        <v>-1</v>
      </c>
      <c r="P41" s="46"/>
    </row>
    <row r="42" spans="1:16" ht="13" x14ac:dyDescent="0.3">
      <c r="A42" s="46">
        <v>50</v>
      </c>
      <c r="B42" s="46">
        <v>0</v>
      </c>
      <c r="C42" s="46">
        <v>0</v>
      </c>
      <c r="D42" s="46">
        <v>1</v>
      </c>
      <c r="E42" s="46">
        <v>209</v>
      </c>
      <c r="F42" s="46">
        <v>0</v>
      </c>
      <c r="G42" s="46" t="s">
        <v>258</v>
      </c>
      <c r="H42" s="46" t="s">
        <v>259</v>
      </c>
      <c r="I42" s="46"/>
      <c r="J42" s="46"/>
      <c r="K42" s="46">
        <v>209</v>
      </c>
      <c r="L42" s="46">
        <v>23</v>
      </c>
      <c r="M42" s="46">
        <v>3</v>
      </c>
      <c r="N42" s="46" t="s">
        <v>30</v>
      </c>
      <c r="O42" s="46">
        <v>2</v>
      </c>
      <c r="P42" s="46"/>
    </row>
    <row r="43" spans="1:16" ht="13" x14ac:dyDescent="0.3">
      <c r="A43" s="46">
        <v>50</v>
      </c>
      <c r="B43" s="46">
        <v>0</v>
      </c>
      <c r="C43" s="46">
        <v>0</v>
      </c>
      <c r="D43" s="46">
        <v>1</v>
      </c>
      <c r="E43" s="46">
        <v>233</v>
      </c>
      <c r="F43" s="46">
        <v>0</v>
      </c>
      <c r="G43" s="46" t="s">
        <v>260</v>
      </c>
      <c r="H43" s="46" t="s">
        <v>261</v>
      </c>
      <c r="I43" s="46"/>
      <c r="J43" s="46"/>
      <c r="K43" s="46">
        <v>233</v>
      </c>
      <c r="L43" s="46">
        <v>24</v>
      </c>
      <c r="M43" s="46">
        <v>3</v>
      </c>
      <c r="N43" s="46" t="s">
        <v>30</v>
      </c>
      <c r="O43" s="46">
        <v>2</v>
      </c>
      <c r="P43" s="46"/>
    </row>
    <row r="44" spans="1:16" ht="13" x14ac:dyDescent="0.3">
      <c r="A44" s="46">
        <v>50</v>
      </c>
      <c r="B44" s="46">
        <v>0</v>
      </c>
      <c r="C44" s="46">
        <v>0</v>
      </c>
      <c r="D44" s="46">
        <v>1</v>
      </c>
      <c r="E44" s="46">
        <v>210</v>
      </c>
      <c r="F44" s="46">
        <v>98464.49</v>
      </c>
      <c r="G44" s="46" t="s">
        <v>262</v>
      </c>
      <c r="H44" s="46" t="s">
        <v>263</v>
      </c>
      <c r="I44" s="46"/>
      <c r="J44" s="46"/>
      <c r="K44" s="46">
        <v>210</v>
      </c>
      <c r="L44" s="46">
        <v>25</v>
      </c>
      <c r="M44" s="46">
        <v>3</v>
      </c>
      <c r="N44" s="46" t="s">
        <v>30</v>
      </c>
      <c r="O44" s="46">
        <v>2</v>
      </c>
      <c r="P44" s="46"/>
    </row>
    <row r="45" spans="1:16" ht="13" x14ac:dyDescent="0.3">
      <c r="A45" s="46">
        <v>50</v>
      </c>
      <c r="B45" s="46">
        <v>0</v>
      </c>
      <c r="C45" s="46">
        <v>0</v>
      </c>
      <c r="D45" s="46">
        <v>1</v>
      </c>
      <c r="E45" s="46">
        <v>211</v>
      </c>
      <c r="F45" s="46">
        <v>14066.36</v>
      </c>
      <c r="G45" s="46" t="s">
        <v>264</v>
      </c>
      <c r="H45" s="46" t="s">
        <v>265</v>
      </c>
      <c r="I45" s="46"/>
      <c r="J45" s="46"/>
      <c r="K45" s="46">
        <v>211</v>
      </c>
      <c r="L45" s="46">
        <v>26</v>
      </c>
      <c r="M45" s="46">
        <v>3</v>
      </c>
      <c r="N45" s="46" t="s">
        <v>30</v>
      </c>
      <c r="O45" s="46">
        <v>2</v>
      </c>
      <c r="P45" s="46"/>
    </row>
    <row r="46" spans="1:16" ht="13" x14ac:dyDescent="0.3">
      <c r="A46" s="46">
        <v>50</v>
      </c>
      <c r="B46" s="46">
        <v>0</v>
      </c>
      <c r="C46" s="46">
        <v>0</v>
      </c>
      <c r="D46" s="46">
        <v>1</v>
      </c>
      <c r="E46" s="46">
        <v>224</v>
      </c>
      <c r="F46" s="46">
        <v>1729283.56</v>
      </c>
      <c r="G46" s="46" t="s">
        <v>266</v>
      </c>
      <c r="H46" s="46" t="s">
        <v>267</v>
      </c>
      <c r="I46" s="46"/>
      <c r="J46" s="46"/>
      <c r="K46" s="46">
        <v>224</v>
      </c>
      <c r="L46" s="46">
        <v>27</v>
      </c>
      <c r="M46" s="46">
        <v>3</v>
      </c>
      <c r="N46" s="46" t="s">
        <v>30</v>
      </c>
      <c r="O46" s="46">
        <v>2</v>
      </c>
      <c r="P46" s="46"/>
    </row>
    <row r="47" spans="1:16" ht="13" x14ac:dyDescent="0.3">
      <c r="A47" s="46">
        <v>50</v>
      </c>
      <c r="B47" s="46">
        <v>1</v>
      </c>
      <c r="C47" s="46">
        <v>0</v>
      </c>
      <c r="D47" s="46">
        <v>2</v>
      </c>
      <c r="E47" s="46">
        <v>0</v>
      </c>
      <c r="F47" s="46">
        <v>1729283.56</v>
      </c>
      <c r="G47" s="46" t="s">
        <v>268</v>
      </c>
      <c r="H47" s="46" t="s">
        <v>269</v>
      </c>
      <c r="I47" s="46"/>
      <c r="J47" s="46"/>
      <c r="K47" s="46">
        <v>212</v>
      </c>
      <c r="L47" s="46">
        <v>28</v>
      </c>
      <c r="M47" s="46">
        <v>0</v>
      </c>
      <c r="N47" s="46" t="s">
        <v>30</v>
      </c>
      <c r="O47" s="46">
        <v>2</v>
      </c>
      <c r="P47" s="46"/>
    </row>
    <row r="48" spans="1:16" ht="13" x14ac:dyDescent="0.3">
      <c r="A48" s="46">
        <v>50</v>
      </c>
      <c r="B48" s="46">
        <v>1</v>
      </c>
      <c r="C48" s="46">
        <v>0</v>
      </c>
      <c r="D48" s="46">
        <v>2</v>
      </c>
      <c r="E48" s="46">
        <v>0</v>
      </c>
      <c r="F48" s="46">
        <v>1345910.89</v>
      </c>
      <c r="G48" s="46" t="s">
        <v>270</v>
      </c>
      <c r="H48" s="46" t="s">
        <v>271</v>
      </c>
      <c r="I48" s="46"/>
      <c r="J48" s="46"/>
      <c r="K48" s="46">
        <v>212</v>
      </c>
      <c r="L48" s="46">
        <v>29</v>
      </c>
      <c r="M48" s="46">
        <v>0</v>
      </c>
      <c r="N48" s="46" t="s">
        <v>30</v>
      </c>
      <c r="O48" s="46">
        <v>2</v>
      </c>
      <c r="P48" s="46"/>
    </row>
    <row r="49" spans="1:16" ht="13" x14ac:dyDescent="0.3">
      <c r="A49" s="46">
        <v>50</v>
      </c>
      <c r="B49" s="46">
        <v>1</v>
      </c>
      <c r="C49" s="46">
        <v>0</v>
      </c>
      <c r="D49" s="46">
        <v>2</v>
      </c>
      <c r="E49" s="46">
        <v>0</v>
      </c>
      <c r="F49" s="46">
        <v>14066.36</v>
      </c>
      <c r="G49" s="46" t="s">
        <v>25</v>
      </c>
      <c r="H49" s="46" t="s">
        <v>25</v>
      </c>
      <c r="I49" s="46"/>
      <c r="J49" s="46"/>
      <c r="K49" s="46">
        <v>212</v>
      </c>
      <c r="L49" s="46">
        <v>30</v>
      </c>
      <c r="M49" s="46">
        <v>0</v>
      </c>
      <c r="N49" s="46" t="s">
        <v>30</v>
      </c>
      <c r="O49" s="46">
        <v>2</v>
      </c>
      <c r="P49" s="46"/>
    </row>
    <row r="50" spans="1:16" ht="13" x14ac:dyDescent="0.3">
      <c r="A50" s="46">
        <v>50</v>
      </c>
      <c r="B50" s="46">
        <v>1</v>
      </c>
      <c r="C50" s="46">
        <v>0</v>
      </c>
      <c r="D50" s="46">
        <v>2</v>
      </c>
      <c r="E50" s="46">
        <v>0</v>
      </c>
      <c r="F50" s="46">
        <v>72812.740000000005</v>
      </c>
      <c r="G50" s="46" t="s">
        <v>272</v>
      </c>
      <c r="H50" s="46" t="s">
        <v>272</v>
      </c>
      <c r="I50" s="46"/>
      <c r="J50" s="46"/>
      <c r="K50" s="46">
        <v>212</v>
      </c>
      <c r="L50" s="46">
        <v>31</v>
      </c>
      <c r="M50" s="46">
        <v>0</v>
      </c>
      <c r="N50" s="46" t="s">
        <v>30</v>
      </c>
      <c r="O50" s="46">
        <v>2</v>
      </c>
      <c r="P50" s="46"/>
    </row>
    <row r="51" spans="1:16" ht="13" x14ac:dyDescent="0.3">
      <c r="A51" s="46">
        <v>50</v>
      </c>
      <c r="B51" s="46">
        <v>1</v>
      </c>
      <c r="C51" s="46">
        <v>0</v>
      </c>
      <c r="D51" s="46">
        <v>2</v>
      </c>
      <c r="E51" s="46">
        <v>0</v>
      </c>
      <c r="F51" s="46">
        <v>1259031.79</v>
      </c>
      <c r="G51" s="46" t="s">
        <v>273</v>
      </c>
      <c r="H51" s="46" t="s">
        <v>274</v>
      </c>
      <c r="I51" s="46"/>
      <c r="J51" s="46"/>
      <c r="K51" s="46">
        <v>212</v>
      </c>
      <c r="L51" s="46">
        <v>32</v>
      </c>
      <c r="M51" s="46">
        <v>0</v>
      </c>
      <c r="N51" s="46" t="s">
        <v>30</v>
      </c>
      <c r="O51" s="46">
        <v>2</v>
      </c>
      <c r="P51" s="46"/>
    </row>
    <row r="52" spans="1:16" ht="13" x14ac:dyDescent="0.3">
      <c r="A52" s="46">
        <v>50</v>
      </c>
      <c r="B52" s="46">
        <v>1</v>
      </c>
      <c r="C52" s="46">
        <v>0</v>
      </c>
      <c r="D52" s="46">
        <v>2</v>
      </c>
      <c r="E52" s="46">
        <v>0</v>
      </c>
      <c r="F52" s="46">
        <v>251806.36</v>
      </c>
      <c r="G52" s="46" t="s">
        <v>42</v>
      </c>
      <c r="H52" s="46" t="s">
        <v>42</v>
      </c>
      <c r="I52" s="46"/>
      <c r="J52" s="46"/>
      <c r="K52" s="46">
        <v>212</v>
      </c>
      <c r="L52" s="46">
        <v>33</v>
      </c>
      <c r="M52" s="46">
        <v>0</v>
      </c>
      <c r="N52" s="46" t="s">
        <v>30</v>
      </c>
      <c r="O52" s="46">
        <v>2</v>
      </c>
      <c r="P52" s="46"/>
    </row>
    <row r="53" spans="1:16" ht="13" x14ac:dyDescent="0.3">
      <c r="A53" s="46">
        <v>50</v>
      </c>
      <c r="B53" s="46">
        <v>1</v>
      </c>
      <c r="C53" s="46">
        <v>0</v>
      </c>
      <c r="D53" s="46">
        <v>2</v>
      </c>
      <c r="E53" s="46">
        <v>0</v>
      </c>
      <c r="F53" s="46">
        <v>1510838.15</v>
      </c>
      <c r="G53" s="46" t="s">
        <v>43</v>
      </c>
      <c r="H53" s="46" t="s">
        <v>275</v>
      </c>
      <c r="I53" s="46"/>
      <c r="J53" s="46"/>
      <c r="K53" s="46">
        <v>212</v>
      </c>
      <c r="L53" s="46">
        <v>34</v>
      </c>
      <c r="M53" s="46">
        <v>0</v>
      </c>
      <c r="N53" s="46" t="s">
        <v>30</v>
      </c>
      <c r="O53" s="46">
        <v>2</v>
      </c>
      <c r="P53" s="46"/>
    </row>
    <row r="54" spans="1:16" ht="13" x14ac:dyDescent="0.3">
      <c r="A54" s="46">
        <v>50</v>
      </c>
      <c r="B54" s="46">
        <v>1</v>
      </c>
      <c r="C54" s="46">
        <v>0</v>
      </c>
      <c r="D54" s="46">
        <v>2</v>
      </c>
      <c r="E54" s="46">
        <v>0</v>
      </c>
      <c r="F54" s="46">
        <v>140663.54999999999</v>
      </c>
      <c r="G54" s="46" t="s">
        <v>276</v>
      </c>
      <c r="H54" s="46" t="s">
        <v>277</v>
      </c>
      <c r="I54" s="46"/>
      <c r="J54" s="46"/>
      <c r="K54" s="46">
        <v>212</v>
      </c>
      <c r="L54" s="46">
        <v>35</v>
      </c>
      <c r="M54" s="46">
        <v>0</v>
      </c>
      <c r="N54" s="46" t="s">
        <v>30</v>
      </c>
      <c r="O54" s="46">
        <v>2</v>
      </c>
      <c r="P54" s="46"/>
    </row>
    <row r="55" spans="1:16" ht="13" x14ac:dyDescent="0.3">
      <c r="A55" s="46">
        <v>50</v>
      </c>
      <c r="B55" s="46">
        <v>1</v>
      </c>
      <c r="C55" s="46">
        <v>0</v>
      </c>
      <c r="D55" s="46">
        <v>2</v>
      </c>
      <c r="E55" s="46">
        <v>0</v>
      </c>
      <c r="F55" s="46">
        <v>242709.12</v>
      </c>
      <c r="G55" s="46" t="s">
        <v>278</v>
      </c>
      <c r="H55" s="46" t="s">
        <v>279</v>
      </c>
      <c r="I55" s="46"/>
      <c r="J55" s="46"/>
      <c r="K55" s="46">
        <v>212</v>
      </c>
      <c r="L55" s="46">
        <v>36</v>
      </c>
      <c r="M55" s="46">
        <v>0</v>
      </c>
      <c r="N55" s="46" t="s">
        <v>30</v>
      </c>
      <c r="O55" s="46">
        <v>2</v>
      </c>
      <c r="P55" s="46"/>
    </row>
    <row r="56" spans="1:16" ht="13" x14ac:dyDescent="0.3">
      <c r="A56" s="46">
        <v>50</v>
      </c>
      <c r="B56" s="46">
        <v>1</v>
      </c>
      <c r="C56" s="46">
        <v>0</v>
      </c>
      <c r="D56" s="46">
        <v>2</v>
      </c>
      <c r="E56" s="46">
        <v>0</v>
      </c>
      <c r="F56" s="46">
        <v>1894210.82</v>
      </c>
      <c r="G56" s="46" t="s">
        <v>266</v>
      </c>
      <c r="H56" s="46" t="s">
        <v>280</v>
      </c>
      <c r="I56" s="46"/>
      <c r="J56" s="46"/>
      <c r="K56" s="46">
        <v>212</v>
      </c>
      <c r="L56" s="46">
        <v>37</v>
      </c>
      <c r="M56" s="46">
        <v>0</v>
      </c>
      <c r="N56" s="46" t="s">
        <v>30</v>
      </c>
      <c r="O56" s="46">
        <v>2</v>
      </c>
      <c r="P56" s="46"/>
    </row>
    <row r="58" spans="1:16" x14ac:dyDescent="0.25">
      <c r="A58" s="2">
        <v>-1</v>
      </c>
    </row>
    <row r="61" spans="1:16" ht="13" x14ac:dyDescent="0.3">
      <c r="A61" s="45">
        <v>75</v>
      </c>
      <c r="B61" s="45" t="s">
        <v>357</v>
      </c>
      <c r="C61" s="45">
        <v>2021</v>
      </c>
      <c r="D61" s="45">
        <v>0</v>
      </c>
      <c r="E61" s="45">
        <v>10</v>
      </c>
      <c r="F61" s="45">
        <v>0</v>
      </c>
      <c r="G61" s="45">
        <v>0</v>
      </c>
      <c r="H61" s="45">
        <v>1</v>
      </c>
      <c r="I61" s="45">
        <v>0</v>
      </c>
      <c r="J61" s="45">
        <v>1</v>
      </c>
      <c r="K61" s="45">
        <v>78</v>
      </c>
      <c r="L61" s="45">
        <v>30</v>
      </c>
      <c r="M61" s="45">
        <v>0</v>
      </c>
      <c r="N61" s="45">
        <v>52262273</v>
      </c>
      <c r="O61" s="45">
        <v>1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1B15-E2FC-4F89-909E-A6BA98F75F89}">
  <dimension ref="A1:DC62"/>
  <sheetViews>
    <sheetView workbookViewId="0">
      <selection activeCell="I192" sqref="I192"/>
    </sheetView>
  </sheetViews>
  <sheetFormatPr defaultColWidth="9.1796875" defaultRowHeight="12.5" x14ac:dyDescent="0.25"/>
  <cols>
    <col min="1" max="256" width="9.1796875" style="2" customWidth="1"/>
    <col min="257" max="16384" width="9.1796875" style="2"/>
  </cols>
  <sheetData>
    <row r="1" spans="1:107" x14ac:dyDescent="0.25">
      <c r="A1" s="2">
        <f>ROW('Source (2)'!A28)</f>
        <v>28</v>
      </c>
      <c r="B1" s="2">
        <v>52262273</v>
      </c>
      <c r="C1" s="2">
        <v>52262508</v>
      </c>
      <c r="D1" s="2">
        <v>49677488</v>
      </c>
      <c r="E1" s="2">
        <v>29</v>
      </c>
      <c r="F1" s="2">
        <v>1</v>
      </c>
      <c r="G1" s="2">
        <v>29</v>
      </c>
      <c r="H1" s="2">
        <v>1</v>
      </c>
      <c r="I1" s="2" t="s">
        <v>359</v>
      </c>
      <c r="J1" s="2" t="s">
        <v>30</v>
      </c>
      <c r="K1" s="2" t="s">
        <v>360</v>
      </c>
      <c r="L1" s="2">
        <v>1191</v>
      </c>
      <c r="N1" s="2">
        <v>1013</v>
      </c>
      <c r="O1" s="2" t="s">
        <v>361</v>
      </c>
      <c r="P1" s="2" t="s">
        <v>361</v>
      </c>
      <c r="Q1" s="2">
        <v>1</v>
      </c>
      <c r="W1" s="2">
        <v>0</v>
      </c>
      <c r="X1" s="2">
        <v>476480486</v>
      </c>
      <c r="Y1" s="2">
        <v>0.79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1</v>
      </c>
      <c r="AJ1" s="2">
        <v>1</v>
      </c>
      <c r="AK1" s="2">
        <v>1</v>
      </c>
      <c r="AL1" s="2">
        <v>1</v>
      </c>
      <c r="AN1" s="2">
        <v>0</v>
      </c>
      <c r="AO1" s="2">
        <v>1</v>
      </c>
      <c r="AP1" s="2">
        <v>0</v>
      </c>
      <c r="AQ1" s="2">
        <v>0</v>
      </c>
      <c r="AR1" s="2">
        <v>0</v>
      </c>
      <c r="AS1" s="2" t="s">
        <v>30</v>
      </c>
      <c r="AT1" s="2">
        <v>0.79</v>
      </c>
      <c r="AU1" s="2" t="s">
        <v>30</v>
      </c>
      <c r="AV1" s="2">
        <v>1</v>
      </c>
      <c r="AW1" s="2">
        <v>2</v>
      </c>
      <c r="AX1" s="2">
        <v>52262517</v>
      </c>
      <c r="AY1" s="2">
        <v>1</v>
      </c>
      <c r="AZ1" s="2">
        <v>0</v>
      </c>
      <c r="BA1" s="2">
        <v>1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  <c r="BJ1" s="2">
        <v>0</v>
      </c>
      <c r="BK1" s="2">
        <v>0</v>
      </c>
      <c r="BL1" s="2">
        <v>0</v>
      </c>
      <c r="BM1" s="2">
        <v>0</v>
      </c>
      <c r="BN1" s="2">
        <v>0</v>
      </c>
      <c r="BO1" s="2">
        <v>0</v>
      </c>
      <c r="BP1" s="2">
        <v>0</v>
      </c>
      <c r="BQ1" s="2">
        <v>0</v>
      </c>
      <c r="BR1" s="2">
        <v>0</v>
      </c>
      <c r="BS1" s="2">
        <v>0</v>
      </c>
      <c r="BT1" s="2">
        <v>0</v>
      </c>
      <c r="BU1" s="2">
        <v>0</v>
      </c>
      <c r="BV1" s="2">
        <v>0</v>
      </c>
      <c r="BW1" s="2">
        <v>0</v>
      </c>
      <c r="CX1" s="2">
        <f>Y1*'Source (2)'!I28</f>
        <v>10.2226</v>
      </c>
      <c r="CY1" s="2">
        <f>AD1</f>
        <v>0</v>
      </c>
      <c r="CZ1" s="2">
        <f>AH1</f>
        <v>0</v>
      </c>
      <c r="DA1" s="2">
        <f>AL1</f>
        <v>1</v>
      </c>
      <c r="DB1" s="2">
        <f t="shared" ref="DB1:DB25" si="0">ROUND(ROUND(AT1*CZ1,2),6)</f>
        <v>0</v>
      </c>
      <c r="DC1" s="2">
        <f t="shared" ref="DC1:DC25" si="1">ROUND(ROUND(AT1*AG1,2),6)</f>
        <v>0</v>
      </c>
    </row>
    <row r="2" spans="1:107" x14ac:dyDescent="0.25">
      <c r="A2" s="2">
        <f>ROW('Source (2)'!A28)</f>
        <v>28</v>
      </c>
      <c r="B2" s="2">
        <v>52262273</v>
      </c>
      <c r="C2" s="2">
        <v>52262508</v>
      </c>
      <c r="D2" s="2">
        <v>49678760</v>
      </c>
      <c r="E2" s="2">
        <v>1</v>
      </c>
      <c r="F2" s="2">
        <v>1</v>
      </c>
      <c r="G2" s="2">
        <v>29</v>
      </c>
      <c r="H2" s="2">
        <v>2</v>
      </c>
      <c r="I2" s="2" t="s">
        <v>80</v>
      </c>
      <c r="J2" s="2" t="s">
        <v>362</v>
      </c>
      <c r="K2" s="2" t="s">
        <v>81</v>
      </c>
      <c r="L2" s="2">
        <v>1368</v>
      </c>
      <c r="N2" s="2">
        <v>1011</v>
      </c>
      <c r="O2" s="2" t="s">
        <v>82</v>
      </c>
      <c r="P2" s="2" t="s">
        <v>82</v>
      </c>
      <c r="Q2" s="2">
        <v>1</v>
      </c>
      <c r="W2" s="2">
        <v>0</v>
      </c>
      <c r="X2" s="2">
        <v>-619466489</v>
      </c>
      <c r="Y2" s="2">
        <v>0.13</v>
      </c>
      <c r="AA2" s="2">
        <v>0</v>
      </c>
      <c r="AB2" s="2">
        <v>1208.6099999999999</v>
      </c>
      <c r="AC2" s="2">
        <v>484.58</v>
      </c>
      <c r="AD2" s="2">
        <v>0</v>
      </c>
      <c r="AE2" s="2">
        <v>0</v>
      </c>
      <c r="AF2" s="2">
        <v>1208.6099999999999</v>
      </c>
      <c r="AG2" s="2">
        <v>484.58</v>
      </c>
      <c r="AH2" s="2">
        <v>0</v>
      </c>
      <c r="AI2" s="2">
        <v>1</v>
      </c>
      <c r="AJ2" s="2">
        <v>1</v>
      </c>
      <c r="AK2" s="2">
        <v>1</v>
      </c>
      <c r="AL2" s="2">
        <v>1</v>
      </c>
      <c r="AN2" s="2">
        <v>0</v>
      </c>
      <c r="AO2" s="2">
        <v>1</v>
      </c>
      <c r="AP2" s="2">
        <v>0</v>
      </c>
      <c r="AQ2" s="2">
        <v>0</v>
      </c>
      <c r="AR2" s="2">
        <v>0</v>
      </c>
      <c r="AS2" s="2" t="s">
        <v>30</v>
      </c>
      <c r="AT2" s="2">
        <v>0.13</v>
      </c>
      <c r="AU2" s="2" t="s">
        <v>30</v>
      </c>
      <c r="AV2" s="2">
        <v>0</v>
      </c>
      <c r="AW2" s="2">
        <v>2</v>
      </c>
      <c r="AX2" s="2">
        <v>52262519</v>
      </c>
      <c r="AY2" s="2">
        <v>1</v>
      </c>
      <c r="AZ2" s="2">
        <v>0</v>
      </c>
      <c r="BA2" s="2">
        <v>2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CX2" s="2">
        <f>Y2*'Source (2)'!I28</f>
        <v>1.6821999999999999</v>
      </c>
      <c r="CY2" s="2">
        <f>AB2</f>
        <v>1208.6099999999999</v>
      </c>
      <c r="CZ2" s="2">
        <f>AF2</f>
        <v>1208.6099999999999</v>
      </c>
      <c r="DA2" s="2">
        <f>AJ2</f>
        <v>1</v>
      </c>
      <c r="DB2" s="2">
        <f t="shared" si="0"/>
        <v>157.12</v>
      </c>
      <c r="DC2" s="2">
        <f t="shared" si="1"/>
        <v>63</v>
      </c>
    </row>
    <row r="3" spans="1:107" x14ac:dyDescent="0.25">
      <c r="A3" s="2">
        <f>ROW('Source (2)'!A28)</f>
        <v>28</v>
      </c>
      <c r="B3" s="2">
        <v>52262273</v>
      </c>
      <c r="C3" s="2">
        <v>52262508</v>
      </c>
      <c r="D3" s="2">
        <v>49678446</v>
      </c>
      <c r="E3" s="2">
        <v>1</v>
      </c>
      <c r="F3" s="2">
        <v>1</v>
      </c>
      <c r="G3" s="2">
        <v>29</v>
      </c>
      <c r="H3" s="2">
        <v>2</v>
      </c>
      <c r="I3" s="2" t="s">
        <v>83</v>
      </c>
      <c r="J3" s="2" t="s">
        <v>363</v>
      </c>
      <c r="K3" s="2" t="s">
        <v>84</v>
      </c>
      <c r="L3" s="2">
        <v>1368</v>
      </c>
      <c r="N3" s="2">
        <v>1011</v>
      </c>
      <c r="O3" s="2" t="s">
        <v>82</v>
      </c>
      <c r="P3" s="2" t="s">
        <v>82</v>
      </c>
      <c r="Q3" s="2">
        <v>1</v>
      </c>
      <c r="W3" s="2">
        <v>0</v>
      </c>
      <c r="X3" s="2">
        <v>1628374589</v>
      </c>
      <c r="Y3" s="2">
        <v>0.13</v>
      </c>
      <c r="AA3" s="2">
        <v>0</v>
      </c>
      <c r="AB3" s="2">
        <v>987.45</v>
      </c>
      <c r="AC3" s="2">
        <v>437.55</v>
      </c>
      <c r="AD3" s="2">
        <v>0</v>
      </c>
      <c r="AE3" s="2">
        <v>0</v>
      </c>
      <c r="AF3" s="2">
        <v>987.45</v>
      </c>
      <c r="AG3" s="2">
        <v>437.55</v>
      </c>
      <c r="AH3" s="2">
        <v>0</v>
      </c>
      <c r="AI3" s="2">
        <v>1</v>
      </c>
      <c r="AJ3" s="2">
        <v>1</v>
      </c>
      <c r="AK3" s="2">
        <v>1</v>
      </c>
      <c r="AL3" s="2">
        <v>1</v>
      </c>
      <c r="AN3" s="2">
        <v>0</v>
      </c>
      <c r="AO3" s="2">
        <v>1</v>
      </c>
      <c r="AP3" s="2">
        <v>0</v>
      </c>
      <c r="AQ3" s="2">
        <v>0</v>
      </c>
      <c r="AR3" s="2">
        <v>0</v>
      </c>
      <c r="AS3" s="2" t="s">
        <v>30</v>
      </c>
      <c r="AT3" s="2">
        <v>0.13</v>
      </c>
      <c r="AU3" s="2" t="s">
        <v>30</v>
      </c>
      <c r="AV3" s="2">
        <v>0</v>
      </c>
      <c r="AW3" s="2">
        <v>2</v>
      </c>
      <c r="AX3" s="2">
        <v>52262518</v>
      </c>
      <c r="AY3" s="2">
        <v>1</v>
      </c>
      <c r="AZ3" s="2">
        <v>0</v>
      </c>
      <c r="BA3" s="2">
        <v>3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CX3" s="2">
        <f>Y3*'Source (2)'!I28</f>
        <v>1.6821999999999999</v>
      </c>
      <c r="CY3" s="2">
        <f>AB3</f>
        <v>987.45</v>
      </c>
      <c r="CZ3" s="2">
        <f>AF3</f>
        <v>987.45</v>
      </c>
      <c r="DA3" s="2">
        <f>AJ3</f>
        <v>1</v>
      </c>
      <c r="DB3" s="2">
        <f t="shared" si="0"/>
        <v>128.37</v>
      </c>
      <c r="DC3" s="2">
        <f t="shared" si="1"/>
        <v>56.88</v>
      </c>
    </row>
    <row r="4" spans="1:107" x14ac:dyDescent="0.25">
      <c r="A4" s="2">
        <f>ROW('Source (2)'!A28)</f>
        <v>28</v>
      </c>
      <c r="B4" s="2">
        <v>52262273</v>
      </c>
      <c r="C4" s="2">
        <v>52262508</v>
      </c>
      <c r="D4" s="2">
        <v>49679291</v>
      </c>
      <c r="E4" s="2">
        <v>1</v>
      </c>
      <c r="F4" s="2">
        <v>1</v>
      </c>
      <c r="G4" s="2">
        <v>29</v>
      </c>
      <c r="H4" s="2">
        <v>2</v>
      </c>
      <c r="I4" s="2" t="s">
        <v>91</v>
      </c>
      <c r="J4" s="2" t="s">
        <v>364</v>
      </c>
      <c r="K4" s="2" t="s">
        <v>92</v>
      </c>
      <c r="L4" s="2">
        <v>1368</v>
      </c>
      <c r="N4" s="2">
        <v>1011</v>
      </c>
      <c r="O4" s="2" t="s">
        <v>82</v>
      </c>
      <c r="P4" s="2" t="s">
        <v>82</v>
      </c>
      <c r="Q4" s="2">
        <v>1</v>
      </c>
      <c r="W4" s="2">
        <v>0</v>
      </c>
      <c r="X4" s="2">
        <v>-417828855</v>
      </c>
      <c r="Y4" s="2">
        <v>0.26</v>
      </c>
      <c r="AA4" s="2">
        <v>0</v>
      </c>
      <c r="AB4" s="2">
        <v>6.02</v>
      </c>
      <c r="AC4" s="2">
        <v>0.02</v>
      </c>
      <c r="AD4" s="2">
        <v>0</v>
      </c>
      <c r="AE4" s="2">
        <v>0</v>
      </c>
      <c r="AF4" s="2">
        <v>6.02</v>
      </c>
      <c r="AG4" s="2">
        <v>0.02</v>
      </c>
      <c r="AH4" s="2">
        <v>0</v>
      </c>
      <c r="AI4" s="2">
        <v>1</v>
      </c>
      <c r="AJ4" s="2">
        <v>1</v>
      </c>
      <c r="AK4" s="2">
        <v>1</v>
      </c>
      <c r="AL4" s="2">
        <v>1</v>
      </c>
      <c r="AN4" s="2">
        <v>0</v>
      </c>
      <c r="AO4" s="2">
        <v>1</v>
      </c>
      <c r="AP4" s="2">
        <v>0</v>
      </c>
      <c r="AQ4" s="2">
        <v>0</v>
      </c>
      <c r="AR4" s="2">
        <v>0</v>
      </c>
      <c r="AS4" s="2" t="s">
        <v>30</v>
      </c>
      <c r="AT4" s="2">
        <v>0.26</v>
      </c>
      <c r="AU4" s="2" t="s">
        <v>30</v>
      </c>
      <c r="AV4" s="2">
        <v>0</v>
      </c>
      <c r="AW4" s="2">
        <v>2</v>
      </c>
      <c r="AX4" s="2">
        <v>52262520</v>
      </c>
      <c r="AY4" s="2">
        <v>1</v>
      </c>
      <c r="AZ4" s="2">
        <v>0</v>
      </c>
      <c r="BA4" s="2">
        <v>4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CX4" s="2">
        <f>Y4*'Source (2)'!I28</f>
        <v>3.3643999999999998</v>
      </c>
      <c r="CY4" s="2">
        <f>AB4</f>
        <v>6.02</v>
      </c>
      <c r="CZ4" s="2">
        <f>AF4</f>
        <v>6.02</v>
      </c>
      <c r="DA4" s="2">
        <f>AJ4</f>
        <v>1</v>
      </c>
      <c r="DB4" s="2">
        <f t="shared" si="0"/>
        <v>1.57</v>
      </c>
      <c r="DC4" s="2">
        <f t="shared" si="1"/>
        <v>0.01</v>
      </c>
    </row>
    <row r="5" spans="1:107" x14ac:dyDescent="0.25">
      <c r="A5" s="2">
        <f>ROW('Source (2)'!A28)</f>
        <v>28</v>
      </c>
      <c r="B5" s="2">
        <v>52262273</v>
      </c>
      <c r="C5" s="2">
        <v>52262508</v>
      </c>
      <c r="D5" s="2">
        <v>49678662</v>
      </c>
      <c r="E5" s="2">
        <v>1</v>
      </c>
      <c r="F5" s="2">
        <v>1</v>
      </c>
      <c r="G5" s="2">
        <v>29</v>
      </c>
      <c r="H5" s="2">
        <v>2</v>
      </c>
      <c r="I5" s="2" t="s">
        <v>93</v>
      </c>
      <c r="J5" s="2" t="s">
        <v>365</v>
      </c>
      <c r="K5" s="2" t="s">
        <v>94</v>
      </c>
      <c r="L5" s="2">
        <v>1368</v>
      </c>
      <c r="N5" s="2">
        <v>1011</v>
      </c>
      <c r="O5" s="2" t="s">
        <v>82</v>
      </c>
      <c r="P5" s="2" t="s">
        <v>82</v>
      </c>
      <c r="Q5" s="2">
        <v>1</v>
      </c>
      <c r="W5" s="2">
        <v>0</v>
      </c>
      <c r="X5" s="2">
        <v>988317905</v>
      </c>
      <c r="Y5" s="2">
        <v>0.25</v>
      </c>
      <c r="AA5" s="2">
        <v>0</v>
      </c>
      <c r="AB5" s="2">
        <v>7834.05</v>
      </c>
      <c r="AC5" s="2">
        <v>1037.76</v>
      </c>
      <c r="AD5" s="2">
        <v>0</v>
      </c>
      <c r="AE5" s="2">
        <v>0</v>
      </c>
      <c r="AF5" s="2">
        <v>7834.05</v>
      </c>
      <c r="AG5" s="2">
        <v>1037.76</v>
      </c>
      <c r="AH5" s="2">
        <v>0</v>
      </c>
      <c r="AI5" s="2">
        <v>1</v>
      </c>
      <c r="AJ5" s="2">
        <v>1</v>
      </c>
      <c r="AK5" s="2">
        <v>1</v>
      </c>
      <c r="AL5" s="2">
        <v>1</v>
      </c>
      <c r="AN5" s="2">
        <v>0</v>
      </c>
      <c r="AO5" s="2">
        <v>1</v>
      </c>
      <c r="AP5" s="2">
        <v>0</v>
      </c>
      <c r="AQ5" s="2">
        <v>0</v>
      </c>
      <c r="AR5" s="2">
        <v>0</v>
      </c>
      <c r="AS5" s="2" t="s">
        <v>30</v>
      </c>
      <c r="AT5" s="2">
        <v>0.25</v>
      </c>
      <c r="AU5" s="2" t="s">
        <v>30</v>
      </c>
      <c r="AV5" s="2">
        <v>0</v>
      </c>
      <c r="AW5" s="2">
        <v>2</v>
      </c>
      <c r="AX5" s="2">
        <v>52262521</v>
      </c>
      <c r="AY5" s="2">
        <v>1</v>
      </c>
      <c r="AZ5" s="2">
        <v>0</v>
      </c>
      <c r="BA5" s="2">
        <v>5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CX5" s="2">
        <f>Y5*'Source (2)'!I28</f>
        <v>3.2349999999999999</v>
      </c>
      <c r="CY5" s="2">
        <f>AB5</f>
        <v>7834.05</v>
      </c>
      <c r="CZ5" s="2">
        <f>AF5</f>
        <v>7834.05</v>
      </c>
      <c r="DA5" s="2">
        <f>AJ5</f>
        <v>1</v>
      </c>
      <c r="DB5" s="2">
        <f t="shared" si="0"/>
        <v>1958.51</v>
      </c>
      <c r="DC5" s="2">
        <f t="shared" si="1"/>
        <v>259.44</v>
      </c>
    </row>
    <row r="6" spans="1:107" x14ac:dyDescent="0.25">
      <c r="A6" s="2">
        <f>ROW('Source (2)'!A28)</f>
        <v>28</v>
      </c>
      <c r="B6" s="2">
        <v>52262273</v>
      </c>
      <c r="C6" s="2">
        <v>52262508</v>
      </c>
      <c r="D6" s="2">
        <v>49678657</v>
      </c>
      <c r="E6" s="2">
        <v>1</v>
      </c>
      <c r="F6" s="2">
        <v>1</v>
      </c>
      <c r="G6" s="2">
        <v>29</v>
      </c>
      <c r="H6" s="2">
        <v>2</v>
      </c>
      <c r="I6" s="2" t="s">
        <v>103</v>
      </c>
      <c r="J6" s="2" t="s">
        <v>366</v>
      </c>
      <c r="K6" s="2" t="s">
        <v>104</v>
      </c>
      <c r="L6" s="2">
        <v>1368</v>
      </c>
      <c r="N6" s="2">
        <v>1011</v>
      </c>
      <c r="O6" s="2" t="s">
        <v>82</v>
      </c>
      <c r="P6" s="2" t="s">
        <v>82</v>
      </c>
      <c r="Q6" s="2">
        <v>1</v>
      </c>
      <c r="W6" s="2">
        <v>0</v>
      </c>
      <c r="X6" s="2">
        <v>-198119259</v>
      </c>
      <c r="Y6" s="2">
        <v>0.25</v>
      </c>
      <c r="AA6" s="2">
        <v>0</v>
      </c>
      <c r="AB6" s="2">
        <v>1383.17</v>
      </c>
      <c r="AC6" s="2">
        <v>522.72</v>
      </c>
      <c r="AD6" s="2">
        <v>0</v>
      </c>
      <c r="AE6" s="2">
        <v>0</v>
      </c>
      <c r="AF6" s="2">
        <v>1383.17</v>
      </c>
      <c r="AG6" s="2">
        <v>522.72</v>
      </c>
      <c r="AH6" s="2">
        <v>0</v>
      </c>
      <c r="AI6" s="2">
        <v>1</v>
      </c>
      <c r="AJ6" s="2">
        <v>1</v>
      </c>
      <c r="AK6" s="2">
        <v>1</v>
      </c>
      <c r="AL6" s="2">
        <v>1</v>
      </c>
      <c r="AN6" s="2">
        <v>0</v>
      </c>
      <c r="AO6" s="2">
        <v>1</v>
      </c>
      <c r="AP6" s="2">
        <v>0</v>
      </c>
      <c r="AQ6" s="2">
        <v>0</v>
      </c>
      <c r="AR6" s="2">
        <v>0</v>
      </c>
      <c r="AS6" s="2" t="s">
        <v>30</v>
      </c>
      <c r="AT6" s="2">
        <v>0.25</v>
      </c>
      <c r="AU6" s="2" t="s">
        <v>30</v>
      </c>
      <c r="AV6" s="2">
        <v>0</v>
      </c>
      <c r="AW6" s="2">
        <v>2</v>
      </c>
      <c r="AX6" s="2">
        <v>52262522</v>
      </c>
      <c r="AY6" s="2">
        <v>1</v>
      </c>
      <c r="AZ6" s="2">
        <v>0</v>
      </c>
      <c r="BA6" s="2">
        <v>6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CX6" s="2">
        <f>Y6*'Source (2)'!I28</f>
        <v>3.2349999999999999</v>
      </c>
      <c r="CY6" s="2">
        <f>AB6</f>
        <v>1383.17</v>
      </c>
      <c r="CZ6" s="2">
        <f>AF6</f>
        <v>1383.17</v>
      </c>
      <c r="DA6" s="2">
        <f>AJ6</f>
        <v>1</v>
      </c>
      <c r="DB6" s="2">
        <f t="shared" si="0"/>
        <v>345.79</v>
      </c>
      <c r="DC6" s="2">
        <f t="shared" si="1"/>
        <v>130.68</v>
      </c>
    </row>
    <row r="7" spans="1:107" x14ac:dyDescent="0.25">
      <c r="A7" s="2">
        <f>ROW('Source (2)'!A28)</f>
        <v>28</v>
      </c>
      <c r="B7" s="2">
        <v>52262273</v>
      </c>
      <c r="C7" s="2">
        <v>52262508</v>
      </c>
      <c r="D7" s="2">
        <v>49681352</v>
      </c>
      <c r="E7" s="2">
        <v>1</v>
      </c>
      <c r="F7" s="2">
        <v>1</v>
      </c>
      <c r="G7" s="2">
        <v>29</v>
      </c>
      <c r="H7" s="2">
        <v>3</v>
      </c>
      <c r="I7" s="2" t="s">
        <v>111</v>
      </c>
      <c r="J7" s="2" t="s">
        <v>367</v>
      </c>
      <c r="K7" s="2" t="s">
        <v>112</v>
      </c>
      <c r="L7" s="2">
        <v>1339</v>
      </c>
      <c r="N7" s="2">
        <v>1007</v>
      </c>
      <c r="O7" s="2" t="s">
        <v>62</v>
      </c>
      <c r="P7" s="2" t="s">
        <v>62</v>
      </c>
      <c r="Q7" s="2">
        <v>1</v>
      </c>
      <c r="W7" s="2">
        <v>0</v>
      </c>
      <c r="X7" s="2">
        <v>1995837903</v>
      </c>
      <c r="Y7" s="2">
        <v>0.26700000000000002</v>
      </c>
      <c r="AA7" s="2">
        <v>36.31</v>
      </c>
      <c r="AB7" s="2">
        <v>0</v>
      </c>
      <c r="AC7" s="2">
        <v>0</v>
      </c>
      <c r="AD7" s="2">
        <v>0</v>
      </c>
      <c r="AE7" s="2">
        <v>36.31</v>
      </c>
      <c r="AF7" s="2">
        <v>0</v>
      </c>
      <c r="AG7" s="2">
        <v>0</v>
      </c>
      <c r="AH7" s="2">
        <v>0</v>
      </c>
      <c r="AI7" s="2">
        <v>1</v>
      </c>
      <c r="AJ7" s="2">
        <v>1</v>
      </c>
      <c r="AK7" s="2">
        <v>1</v>
      </c>
      <c r="AL7" s="2">
        <v>1</v>
      </c>
      <c r="AN7" s="2">
        <v>0</v>
      </c>
      <c r="AO7" s="2">
        <v>1</v>
      </c>
      <c r="AP7" s="2">
        <v>0</v>
      </c>
      <c r="AQ7" s="2">
        <v>0</v>
      </c>
      <c r="AR7" s="2">
        <v>0</v>
      </c>
      <c r="AS7" s="2" t="s">
        <v>30</v>
      </c>
      <c r="AT7" s="2">
        <v>0.26700000000000002</v>
      </c>
      <c r="AU7" s="2" t="s">
        <v>30</v>
      </c>
      <c r="AV7" s="2">
        <v>0</v>
      </c>
      <c r="AW7" s="2">
        <v>2</v>
      </c>
      <c r="AX7" s="2">
        <v>52262523</v>
      </c>
      <c r="AY7" s="2">
        <v>1</v>
      </c>
      <c r="AZ7" s="2">
        <v>0</v>
      </c>
      <c r="BA7" s="2">
        <v>7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CX7" s="2">
        <f>Y7*'Source (2)'!I28</f>
        <v>3.4549799999999999</v>
      </c>
      <c r="CY7" s="2">
        <f>AA7</f>
        <v>36.31</v>
      </c>
      <c r="CZ7" s="2">
        <f>AE7</f>
        <v>36.31</v>
      </c>
      <c r="DA7" s="2">
        <f>AI7</f>
        <v>1</v>
      </c>
      <c r="DB7" s="2">
        <f t="shared" si="0"/>
        <v>9.69</v>
      </c>
      <c r="DC7" s="2">
        <f t="shared" si="1"/>
        <v>0</v>
      </c>
    </row>
    <row r="8" spans="1:107" x14ac:dyDescent="0.25">
      <c r="A8" s="2">
        <f>ROW('Source (2)'!A28)</f>
        <v>28</v>
      </c>
      <c r="B8" s="2">
        <v>52262273</v>
      </c>
      <c r="C8" s="2">
        <v>52262508</v>
      </c>
      <c r="D8" s="2">
        <v>49682077</v>
      </c>
      <c r="E8" s="2">
        <v>1</v>
      </c>
      <c r="F8" s="2">
        <v>1</v>
      </c>
      <c r="G8" s="2">
        <v>29</v>
      </c>
      <c r="H8" s="2">
        <v>3</v>
      </c>
      <c r="I8" s="2" t="s">
        <v>113</v>
      </c>
      <c r="J8" s="2" t="s">
        <v>368</v>
      </c>
      <c r="K8" s="2" t="s">
        <v>114</v>
      </c>
      <c r="L8" s="2">
        <v>1354</v>
      </c>
      <c r="N8" s="2">
        <v>1010</v>
      </c>
      <c r="O8" s="2" t="s">
        <v>67</v>
      </c>
      <c r="P8" s="2" t="s">
        <v>67</v>
      </c>
      <c r="Q8" s="2">
        <v>1</v>
      </c>
      <c r="W8" s="2">
        <v>0</v>
      </c>
      <c r="X8" s="2">
        <v>2039534259</v>
      </c>
      <c r="Y8" s="2">
        <v>2.5</v>
      </c>
      <c r="AA8" s="2">
        <v>256.22000000000003</v>
      </c>
      <c r="AB8" s="2">
        <v>0</v>
      </c>
      <c r="AC8" s="2">
        <v>0</v>
      </c>
      <c r="AD8" s="2">
        <v>0</v>
      </c>
      <c r="AE8" s="2">
        <v>256.22000000000003</v>
      </c>
      <c r="AF8" s="2">
        <v>0</v>
      </c>
      <c r="AG8" s="2">
        <v>0</v>
      </c>
      <c r="AH8" s="2">
        <v>0</v>
      </c>
      <c r="AI8" s="2">
        <v>1</v>
      </c>
      <c r="AJ8" s="2">
        <v>1</v>
      </c>
      <c r="AK8" s="2">
        <v>1</v>
      </c>
      <c r="AL8" s="2">
        <v>1</v>
      </c>
      <c r="AN8" s="2">
        <v>0</v>
      </c>
      <c r="AO8" s="2">
        <v>1</v>
      </c>
      <c r="AP8" s="2">
        <v>0</v>
      </c>
      <c r="AQ8" s="2">
        <v>0</v>
      </c>
      <c r="AR8" s="2">
        <v>0</v>
      </c>
      <c r="AS8" s="2" t="s">
        <v>30</v>
      </c>
      <c r="AT8" s="2">
        <v>2.5</v>
      </c>
      <c r="AU8" s="2" t="s">
        <v>30</v>
      </c>
      <c r="AV8" s="2">
        <v>0</v>
      </c>
      <c r="AW8" s="2">
        <v>2</v>
      </c>
      <c r="AX8" s="2">
        <v>52262524</v>
      </c>
      <c r="AY8" s="2">
        <v>1</v>
      </c>
      <c r="AZ8" s="2">
        <v>0</v>
      </c>
      <c r="BA8" s="2">
        <v>8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CX8" s="2">
        <f>Y8*'Source (2)'!I28</f>
        <v>32.35</v>
      </c>
      <c r="CY8" s="2">
        <f>AA8</f>
        <v>256.22000000000003</v>
      </c>
      <c r="CZ8" s="2">
        <f>AE8</f>
        <v>256.22000000000003</v>
      </c>
      <c r="DA8" s="2">
        <f>AI8</f>
        <v>1</v>
      </c>
      <c r="DB8" s="2">
        <f t="shared" si="0"/>
        <v>640.54999999999995</v>
      </c>
      <c r="DC8" s="2">
        <f t="shared" si="1"/>
        <v>0</v>
      </c>
    </row>
    <row r="9" spans="1:107" x14ac:dyDescent="0.25">
      <c r="A9" s="2">
        <f>ROW('Source (2)'!A29)</f>
        <v>29</v>
      </c>
      <c r="B9" s="2">
        <v>52262273</v>
      </c>
      <c r="C9" s="2">
        <v>52262525</v>
      </c>
      <c r="D9" s="2">
        <v>49677488</v>
      </c>
      <c r="E9" s="2">
        <v>29</v>
      </c>
      <c r="F9" s="2">
        <v>1</v>
      </c>
      <c r="G9" s="2">
        <v>29</v>
      </c>
      <c r="H9" s="2">
        <v>1</v>
      </c>
      <c r="I9" s="2" t="s">
        <v>359</v>
      </c>
      <c r="J9" s="2" t="s">
        <v>30</v>
      </c>
      <c r="K9" s="2" t="s">
        <v>360</v>
      </c>
      <c r="L9" s="2">
        <v>1191</v>
      </c>
      <c r="N9" s="2">
        <v>1013</v>
      </c>
      <c r="O9" s="2" t="s">
        <v>361</v>
      </c>
      <c r="P9" s="2" t="s">
        <v>361</v>
      </c>
      <c r="Q9" s="2">
        <v>1</v>
      </c>
      <c r="W9" s="2">
        <v>0</v>
      </c>
      <c r="X9" s="2">
        <v>476480486</v>
      </c>
      <c r="Y9" s="2">
        <v>0.04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1</v>
      </c>
      <c r="AJ9" s="2">
        <v>1</v>
      </c>
      <c r="AK9" s="2">
        <v>1</v>
      </c>
      <c r="AL9" s="2">
        <v>1</v>
      </c>
      <c r="AN9" s="2">
        <v>0</v>
      </c>
      <c r="AO9" s="2">
        <v>1</v>
      </c>
      <c r="AP9" s="2">
        <v>0</v>
      </c>
      <c r="AQ9" s="2">
        <v>0</v>
      </c>
      <c r="AR9" s="2">
        <v>0</v>
      </c>
      <c r="AS9" s="2" t="s">
        <v>30</v>
      </c>
      <c r="AT9" s="2">
        <v>0.04</v>
      </c>
      <c r="AU9" s="2" t="s">
        <v>30</v>
      </c>
      <c r="AV9" s="2">
        <v>1</v>
      </c>
      <c r="AW9" s="2">
        <v>2</v>
      </c>
      <c r="AX9" s="2">
        <v>52262531</v>
      </c>
      <c r="AY9" s="2">
        <v>1</v>
      </c>
      <c r="AZ9" s="2">
        <v>0</v>
      </c>
      <c r="BA9" s="2">
        <v>9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CX9" s="2">
        <f>Y9*'Source (2)'!I29</f>
        <v>-0.51759999999999995</v>
      </c>
      <c r="CY9" s="2">
        <f>AD9</f>
        <v>0</v>
      </c>
      <c r="CZ9" s="2">
        <f>AH9</f>
        <v>0</v>
      </c>
      <c r="DA9" s="2">
        <f>AL9</f>
        <v>1</v>
      </c>
      <c r="DB9" s="2">
        <f t="shared" si="0"/>
        <v>0</v>
      </c>
      <c r="DC9" s="2">
        <f t="shared" si="1"/>
        <v>0</v>
      </c>
    </row>
    <row r="10" spans="1:107" x14ac:dyDescent="0.25">
      <c r="A10" s="2">
        <f>ROW('Source (2)'!A29)</f>
        <v>29</v>
      </c>
      <c r="B10" s="2">
        <v>52262273</v>
      </c>
      <c r="C10" s="2">
        <v>52262525</v>
      </c>
      <c r="D10" s="2">
        <v>49678662</v>
      </c>
      <c r="E10" s="2">
        <v>1</v>
      </c>
      <c r="F10" s="2">
        <v>1</v>
      </c>
      <c r="G10" s="2">
        <v>29</v>
      </c>
      <c r="H10" s="2">
        <v>2</v>
      </c>
      <c r="I10" s="2" t="s">
        <v>93</v>
      </c>
      <c r="J10" s="2" t="s">
        <v>365</v>
      </c>
      <c r="K10" s="2" t="s">
        <v>94</v>
      </c>
      <c r="L10" s="2">
        <v>1368</v>
      </c>
      <c r="N10" s="2">
        <v>1011</v>
      </c>
      <c r="O10" s="2" t="s">
        <v>82</v>
      </c>
      <c r="P10" s="2" t="s">
        <v>82</v>
      </c>
      <c r="Q10" s="2">
        <v>1</v>
      </c>
      <c r="W10" s="2">
        <v>0</v>
      </c>
      <c r="X10" s="2">
        <v>988317905</v>
      </c>
      <c r="Y10" s="2">
        <v>0.04</v>
      </c>
      <c r="AA10" s="2">
        <v>0</v>
      </c>
      <c r="AB10" s="2">
        <v>7834.05</v>
      </c>
      <c r="AC10" s="2">
        <v>1037.76</v>
      </c>
      <c r="AD10" s="2">
        <v>0</v>
      </c>
      <c r="AE10" s="2">
        <v>0</v>
      </c>
      <c r="AF10" s="2">
        <v>7834.05</v>
      </c>
      <c r="AG10" s="2">
        <v>1037.76</v>
      </c>
      <c r="AH10" s="2">
        <v>0</v>
      </c>
      <c r="AI10" s="2">
        <v>1</v>
      </c>
      <c r="AJ10" s="2">
        <v>1</v>
      </c>
      <c r="AK10" s="2">
        <v>1</v>
      </c>
      <c r="AL10" s="2">
        <v>1</v>
      </c>
      <c r="AN10" s="2">
        <v>0</v>
      </c>
      <c r="AO10" s="2">
        <v>1</v>
      </c>
      <c r="AP10" s="2">
        <v>0</v>
      </c>
      <c r="AQ10" s="2">
        <v>0</v>
      </c>
      <c r="AR10" s="2">
        <v>0</v>
      </c>
      <c r="AS10" s="2" t="s">
        <v>30</v>
      </c>
      <c r="AT10" s="2">
        <v>0.04</v>
      </c>
      <c r="AU10" s="2" t="s">
        <v>30</v>
      </c>
      <c r="AV10" s="2">
        <v>0</v>
      </c>
      <c r="AW10" s="2">
        <v>2</v>
      </c>
      <c r="AX10" s="2">
        <v>52262532</v>
      </c>
      <c r="AY10" s="2">
        <v>1</v>
      </c>
      <c r="AZ10" s="2">
        <v>0</v>
      </c>
      <c r="BA10" s="2">
        <v>10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CX10" s="2">
        <f>Y10*'Source (2)'!I29</f>
        <v>-0.51759999999999995</v>
      </c>
      <c r="CY10" s="2">
        <f>AB10</f>
        <v>7834.05</v>
      </c>
      <c r="CZ10" s="2">
        <f>AF10</f>
        <v>7834.05</v>
      </c>
      <c r="DA10" s="2">
        <f>AJ10</f>
        <v>1</v>
      </c>
      <c r="DB10" s="2">
        <f t="shared" si="0"/>
        <v>313.36</v>
      </c>
      <c r="DC10" s="2">
        <f t="shared" si="1"/>
        <v>41.51</v>
      </c>
    </row>
    <row r="11" spans="1:107" x14ac:dyDescent="0.25">
      <c r="A11" s="2">
        <f>ROW('Source (2)'!A29)</f>
        <v>29</v>
      </c>
      <c r="B11" s="2">
        <v>52262273</v>
      </c>
      <c r="C11" s="2">
        <v>52262525</v>
      </c>
      <c r="D11" s="2">
        <v>49678657</v>
      </c>
      <c r="E11" s="2">
        <v>1</v>
      </c>
      <c r="F11" s="2">
        <v>1</v>
      </c>
      <c r="G11" s="2">
        <v>29</v>
      </c>
      <c r="H11" s="2">
        <v>2</v>
      </c>
      <c r="I11" s="2" t="s">
        <v>103</v>
      </c>
      <c r="J11" s="2" t="s">
        <v>366</v>
      </c>
      <c r="K11" s="2" t="s">
        <v>104</v>
      </c>
      <c r="L11" s="2">
        <v>1368</v>
      </c>
      <c r="N11" s="2">
        <v>1011</v>
      </c>
      <c r="O11" s="2" t="s">
        <v>82</v>
      </c>
      <c r="P11" s="2" t="s">
        <v>82</v>
      </c>
      <c r="Q11" s="2">
        <v>1</v>
      </c>
      <c r="W11" s="2">
        <v>0</v>
      </c>
      <c r="X11" s="2">
        <v>-198119259</v>
      </c>
      <c r="Y11" s="2">
        <v>0.04</v>
      </c>
      <c r="AA11" s="2">
        <v>0</v>
      </c>
      <c r="AB11" s="2">
        <v>1383.17</v>
      </c>
      <c r="AC11" s="2">
        <v>522.72</v>
      </c>
      <c r="AD11" s="2">
        <v>0</v>
      </c>
      <c r="AE11" s="2">
        <v>0</v>
      </c>
      <c r="AF11" s="2">
        <v>1383.17</v>
      </c>
      <c r="AG11" s="2">
        <v>522.72</v>
      </c>
      <c r="AH11" s="2">
        <v>0</v>
      </c>
      <c r="AI11" s="2">
        <v>1</v>
      </c>
      <c r="AJ11" s="2">
        <v>1</v>
      </c>
      <c r="AK11" s="2">
        <v>1</v>
      </c>
      <c r="AL11" s="2">
        <v>1</v>
      </c>
      <c r="AN11" s="2">
        <v>0</v>
      </c>
      <c r="AO11" s="2">
        <v>1</v>
      </c>
      <c r="AP11" s="2">
        <v>0</v>
      </c>
      <c r="AQ11" s="2">
        <v>0</v>
      </c>
      <c r="AR11" s="2">
        <v>0</v>
      </c>
      <c r="AS11" s="2" t="s">
        <v>30</v>
      </c>
      <c r="AT11" s="2">
        <v>0.04</v>
      </c>
      <c r="AU11" s="2" t="s">
        <v>30</v>
      </c>
      <c r="AV11" s="2">
        <v>0</v>
      </c>
      <c r="AW11" s="2">
        <v>2</v>
      </c>
      <c r="AX11" s="2">
        <v>52262533</v>
      </c>
      <c r="AY11" s="2">
        <v>1</v>
      </c>
      <c r="AZ11" s="2">
        <v>0</v>
      </c>
      <c r="BA11" s="2">
        <v>11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CX11" s="2">
        <f>Y11*'Source (2)'!I29</f>
        <v>-0.51759999999999995</v>
      </c>
      <c r="CY11" s="2">
        <f>AB11</f>
        <v>1383.17</v>
      </c>
      <c r="CZ11" s="2">
        <f>AF11</f>
        <v>1383.17</v>
      </c>
      <c r="DA11" s="2">
        <f>AJ11</f>
        <v>1</v>
      </c>
      <c r="DB11" s="2">
        <f t="shared" si="0"/>
        <v>55.33</v>
      </c>
      <c r="DC11" s="2">
        <f t="shared" si="1"/>
        <v>20.91</v>
      </c>
    </row>
    <row r="12" spans="1:107" x14ac:dyDescent="0.25">
      <c r="A12" s="2">
        <f>ROW('Source (2)'!A29)</f>
        <v>29</v>
      </c>
      <c r="B12" s="2">
        <v>52262273</v>
      </c>
      <c r="C12" s="2">
        <v>52262525</v>
      </c>
      <c r="D12" s="2">
        <v>49681352</v>
      </c>
      <c r="E12" s="2">
        <v>1</v>
      </c>
      <c r="F12" s="2">
        <v>1</v>
      </c>
      <c r="G12" s="2">
        <v>29</v>
      </c>
      <c r="H12" s="2">
        <v>3</v>
      </c>
      <c r="I12" s="2" t="s">
        <v>111</v>
      </c>
      <c r="J12" s="2" t="s">
        <v>367</v>
      </c>
      <c r="K12" s="2" t="s">
        <v>112</v>
      </c>
      <c r="L12" s="2">
        <v>1339</v>
      </c>
      <c r="N12" s="2">
        <v>1007</v>
      </c>
      <c r="O12" s="2" t="s">
        <v>62</v>
      </c>
      <c r="P12" s="2" t="s">
        <v>62</v>
      </c>
      <c r="Q12" s="2">
        <v>1</v>
      </c>
      <c r="W12" s="2">
        <v>0</v>
      </c>
      <c r="X12" s="2">
        <v>1995837903</v>
      </c>
      <c r="Y12" s="2">
        <v>4.4999999999999998E-2</v>
      </c>
      <c r="AA12" s="2">
        <v>36.31</v>
      </c>
      <c r="AB12" s="2">
        <v>0</v>
      </c>
      <c r="AC12" s="2">
        <v>0</v>
      </c>
      <c r="AD12" s="2">
        <v>0</v>
      </c>
      <c r="AE12" s="2">
        <v>36.31</v>
      </c>
      <c r="AF12" s="2">
        <v>0</v>
      </c>
      <c r="AG12" s="2">
        <v>0</v>
      </c>
      <c r="AH12" s="2">
        <v>0</v>
      </c>
      <c r="AI12" s="2">
        <v>1</v>
      </c>
      <c r="AJ12" s="2">
        <v>1</v>
      </c>
      <c r="AK12" s="2">
        <v>1</v>
      </c>
      <c r="AL12" s="2">
        <v>1</v>
      </c>
      <c r="AN12" s="2">
        <v>0</v>
      </c>
      <c r="AO12" s="2">
        <v>1</v>
      </c>
      <c r="AP12" s="2">
        <v>0</v>
      </c>
      <c r="AQ12" s="2">
        <v>0</v>
      </c>
      <c r="AR12" s="2">
        <v>0</v>
      </c>
      <c r="AS12" s="2" t="s">
        <v>30</v>
      </c>
      <c r="AT12" s="2">
        <v>4.4999999999999998E-2</v>
      </c>
      <c r="AU12" s="2" t="s">
        <v>30</v>
      </c>
      <c r="AV12" s="2">
        <v>0</v>
      </c>
      <c r="AW12" s="2">
        <v>2</v>
      </c>
      <c r="AX12" s="2">
        <v>52262534</v>
      </c>
      <c r="AY12" s="2">
        <v>1</v>
      </c>
      <c r="AZ12" s="2">
        <v>0</v>
      </c>
      <c r="BA12" s="2">
        <v>12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CX12" s="2">
        <f>Y12*'Source (2)'!I29</f>
        <v>-0.58230000000000004</v>
      </c>
      <c r="CY12" s="2">
        <f>AA12</f>
        <v>36.31</v>
      </c>
      <c r="CZ12" s="2">
        <f>AE12</f>
        <v>36.31</v>
      </c>
      <c r="DA12" s="2">
        <f>AI12</f>
        <v>1</v>
      </c>
      <c r="DB12" s="2">
        <f t="shared" si="0"/>
        <v>1.63</v>
      </c>
      <c r="DC12" s="2">
        <f t="shared" si="1"/>
        <v>0</v>
      </c>
    </row>
    <row r="13" spans="1:107" x14ac:dyDescent="0.25">
      <c r="A13" s="2">
        <f>ROW('Source (2)'!A29)</f>
        <v>29</v>
      </c>
      <c r="B13" s="2">
        <v>52262273</v>
      </c>
      <c r="C13" s="2">
        <v>52262525</v>
      </c>
      <c r="D13" s="2">
        <v>49682077</v>
      </c>
      <c r="E13" s="2">
        <v>1</v>
      </c>
      <c r="F13" s="2">
        <v>1</v>
      </c>
      <c r="G13" s="2">
        <v>29</v>
      </c>
      <c r="H13" s="2">
        <v>3</v>
      </c>
      <c r="I13" s="2" t="s">
        <v>113</v>
      </c>
      <c r="J13" s="2" t="s">
        <v>368</v>
      </c>
      <c r="K13" s="2" t="s">
        <v>114</v>
      </c>
      <c r="L13" s="2">
        <v>1354</v>
      </c>
      <c r="N13" s="2">
        <v>1010</v>
      </c>
      <c r="O13" s="2" t="s">
        <v>67</v>
      </c>
      <c r="P13" s="2" t="s">
        <v>67</v>
      </c>
      <c r="Q13" s="2">
        <v>1</v>
      </c>
      <c r="W13" s="2">
        <v>0</v>
      </c>
      <c r="X13" s="2">
        <v>2039534259</v>
      </c>
      <c r="Y13" s="2">
        <v>0.41</v>
      </c>
      <c r="AA13" s="2">
        <v>256.22000000000003</v>
      </c>
      <c r="AB13" s="2">
        <v>0</v>
      </c>
      <c r="AC13" s="2">
        <v>0</v>
      </c>
      <c r="AD13" s="2">
        <v>0</v>
      </c>
      <c r="AE13" s="2">
        <v>256.22000000000003</v>
      </c>
      <c r="AF13" s="2">
        <v>0</v>
      </c>
      <c r="AG13" s="2">
        <v>0</v>
      </c>
      <c r="AH13" s="2">
        <v>0</v>
      </c>
      <c r="AI13" s="2">
        <v>1</v>
      </c>
      <c r="AJ13" s="2">
        <v>1</v>
      </c>
      <c r="AK13" s="2">
        <v>1</v>
      </c>
      <c r="AL13" s="2">
        <v>1</v>
      </c>
      <c r="AN13" s="2">
        <v>0</v>
      </c>
      <c r="AO13" s="2">
        <v>1</v>
      </c>
      <c r="AP13" s="2">
        <v>0</v>
      </c>
      <c r="AQ13" s="2">
        <v>0</v>
      </c>
      <c r="AR13" s="2">
        <v>0</v>
      </c>
      <c r="AS13" s="2" t="s">
        <v>30</v>
      </c>
      <c r="AT13" s="2">
        <v>0.41</v>
      </c>
      <c r="AU13" s="2" t="s">
        <v>30</v>
      </c>
      <c r="AV13" s="2">
        <v>0</v>
      </c>
      <c r="AW13" s="2">
        <v>2</v>
      </c>
      <c r="AX13" s="2">
        <v>52262535</v>
      </c>
      <c r="AY13" s="2">
        <v>1</v>
      </c>
      <c r="AZ13" s="2">
        <v>0</v>
      </c>
      <c r="BA13" s="2">
        <v>13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CX13" s="2">
        <f>Y13*'Source (2)'!I29</f>
        <v>-5.3053999999999997</v>
      </c>
      <c r="CY13" s="2">
        <f>AA13</f>
        <v>256.22000000000003</v>
      </c>
      <c r="CZ13" s="2">
        <f>AE13</f>
        <v>256.22000000000003</v>
      </c>
      <c r="DA13" s="2">
        <f>AI13</f>
        <v>1</v>
      </c>
      <c r="DB13" s="2">
        <f t="shared" si="0"/>
        <v>105.05</v>
      </c>
      <c r="DC13" s="2">
        <f t="shared" si="1"/>
        <v>0</v>
      </c>
    </row>
    <row r="14" spans="1:107" x14ac:dyDescent="0.25">
      <c r="A14" s="2">
        <f>ROW('Source (2)'!A30)</f>
        <v>30</v>
      </c>
      <c r="B14" s="2">
        <v>52262273</v>
      </c>
      <c r="C14" s="2">
        <v>52262536</v>
      </c>
      <c r="D14" s="2">
        <v>49677488</v>
      </c>
      <c r="E14" s="2">
        <v>29</v>
      </c>
      <c r="F14" s="2">
        <v>1</v>
      </c>
      <c r="G14" s="2">
        <v>29</v>
      </c>
      <c r="H14" s="2">
        <v>1</v>
      </c>
      <c r="I14" s="2" t="s">
        <v>359</v>
      </c>
      <c r="J14" s="2" t="s">
        <v>30</v>
      </c>
      <c r="K14" s="2" t="s">
        <v>360</v>
      </c>
      <c r="L14" s="2">
        <v>1191</v>
      </c>
      <c r="N14" s="2">
        <v>1013</v>
      </c>
      <c r="O14" s="2" t="s">
        <v>361</v>
      </c>
      <c r="P14" s="2" t="s">
        <v>361</v>
      </c>
      <c r="Q14" s="2">
        <v>1</v>
      </c>
      <c r="W14" s="2">
        <v>0</v>
      </c>
      <c r="X14" s="2">
        <v>476480486</v>
      </c>
      <c r="Y14" s="2">
        <v>87.29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1</v>
      </c>
      <c r="AJ14" s="2">
        <v>1</v>
      </c>
      <c r="AK14" s="2">
        <v>1</v>
      </c>
      <c r="AL14" s="2">
        <v>1</v>
      </c>
      <c r="AN14" s="2">
        <v>0</v>
      </c>
      <c r="AO14" s="2">
        <v>1</v>
      </c>
      <c r="AP14" s="2">
        <v>0</v>
      </c>
      <c r="AQ14" s="2">
        <v>0</v>
      </c>
      <c r="AR14" s="2">
        <v>0</v>
      </c>
      <c r="AS14" s="2" t="s">
        <v>30</v>
      </c>
      <c r="AT14" s="2">
        <v>87.29</v>
      </c>
      <c r="AU14" s="2" t="s">
        <v>30</v>
      </c>
      <c r="AV14" s="2">
        <v>1</v>
      </c>
      <c r="AW14" s="2">
        <v>2</v>
      </c>
      <c r="AX14" s="2">
        <v>52262547</v>
      </c>
      <c r="AY14" s="2">
        <v>1</v>
      </c>
      <c r="AZ14" s="2">
        <v>0</v>
      </c>
      <c r="BA14" s="2">
        <v>14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CX14" s="2">
        <f>Y14*'Source (2)'!I30</f>
        <v>33.885978000000001</v>
      </c>
      <c r="CY14" s="2">
        <f>AD14</f>
        <v>0</v>
      </c>
      <c r="CZ14" s="2">
        <f>AH14</f>
        <v>0</v>
      </c>
      <c r="DA14" s="2">
        <f>AL14</f>
        <v>1</v>
      </c>
      <c r="DB14" s="2">
        <f t="shared" si="0"/>
        <v>0</v>
      </c>
      <c r="DC14" s="2">
        <f t="shared" si="1"/>
        <v>0</v>
      </c>
    </row>
    <row r="15" spans="1:107" x14ac:dyDescent="0.25">
      <c r="A15" s="2">
        <f>ROW('Source (2)'!A30)</f>
        <v>30</v>
      </c>
      <c r="B15" s="2">
        <v>52262273</v>
      </c>
      <c r="C15" s="2">
        <v>52262536</v>
      </c>
      <c r="D15" s="2">
        <v>49678449</v>
      </c>
      <c r="E15" s="2">
        <v>1</v>
      </c>
      <c r="F15" s="2">
        <v>1</v>
      </c>
      <c r="G15" s="2">
        <v>29</v>
      </c>
      <c r="H15" s="2">
        <v>2</v>
      </c>
      <c r="I15" s="2" t="s">
        <v>89</v>
      </c>
      <c r="J15" s="2" t="s">
        <v>369</v>
      </c>
      <c r="K15" s="2" t="s">
        <v>90</v>
      </c>
      <c r="L15" s="2">
        <v>1368</v>
      </c>
      <c r="N15" s="2">
        <v>1011</v>
      </c>
      <c r="O15" s="2" t="s">
        <v>82</v>
      </c>
      <c r="P15" s="2" t="s">
        <v>82</v>
      </c>
      <c r="Q15" s="2">
        <v>1</v>
      </c>
      <c r="W15" s="2">
        <v>0</v>
      </c>
      <c r="X15" s="2">
        <v>-1395457639</v>
      </c>
      <c r="Y15" s="2">
        <v>1.59</v>
      </c>
      <c r="AA15" s="2">
        <v>0</v>
      </c>
      <c r="AB15" s="2">
        <v>780.77</v>
      </c>
      <c r="AC15" s="2">
        <v>433.88</v>
      </c>
      <c r="AD15" s="2">
        <v>0</v>
      </c>
      <c r="AE15" s="2">
        <v>0</v>
      </c>
      <c r="AF15" s="2">
        <v>780.77</v>
      </c>
      <c r="AG15" s="2">
        <v>433.88</v>
      </c>
      <c r="AH15" s="2">
        <v>0</v>
      </c>
      <c r="AI15" s="2">
        <v>1</v>
      </c>
      <c r="AJ15" s="2">
        <v>1</v>
      </c>
      <c r="AK15" s="2">
        <v>1</v>
      </c>
      <c r="AL15" s="2">
        <v>1</v>
      </c>
      <c r="AN15" s="2">
        <v>0</v>
      </c>
      <c r="AO15" s="2">
        <v>1</v>
      </c>
      <c r="AP15" s="2">
        <v>0</v>
      </c>
      <c r="AQ15" s="2">
        <v>0</v>
      </c>
      <c r="AR15" s="2">
        <v>0</v>
      </c>
      <c r="AS15" s="2" t="s">
        <v>30</v>
      </c>
      <c r="AT15" s="2">
        <v>1.59</v>
      </c>
      <c r="AU15" s="2" t="s">
        <v>30</v>
      </c>
      <c r="AV15" s="2">
        <v>0</v>
      </c>
      <c r="AW15" s="2">
        <v>2</v>
      </c>
      <c r="AX15" s="2">
        <v>52262548</v>
      </c>
      <c r="AY15" s="2">
        <v>1</v>
      </c>
      <c r="AZ15" s="2">
        <v>0</v>
      </c>
      <c r="BA15" s="2">
        <v>15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CX15" s="2">
        <f>Y15*'Source (2)'!I30</f>
        <v>0.61723799999999995</v>
      </c>
      <c r="CY15" s="2">
        <f>AB15</f>
        <v>780.77</v>
      </c>
      <c r="CZ15" s="2">
        <f>AF15</f>
        <v>780.77</v>
      </c>
      <c r="DA15" s="2">
        <f>AJ15</f>
        <v>1</v>
      </c>
      <c r="DB15" s="2">
        <f t="shared" si="0"/>
        <v>1241.42</v>
      </c>
      <c r="DC15" s="2">
        <f t="shared" si="1"/>
        <v>689.87</v>
      </c>
    </row>
    <row r="16" spans="1:107" x14ac:dyDescent="0.25">
      <c r="A16" s="2">
        <f>ROW('Source (2)'!A30)</f>
        <v>30</v>
      </c>
      <c r="B16" s="2">
        <v>52262273</v>
      </c>
      <c r="C16" s="2">
        <v>52262536</v>
      </c>
      <c r="D16" s="2">
        <v>49678608</v>
      </c>
      <c r="E16" s="2">
        <v>1</v>
      </c>
      <c r="F16" s="2">
        <v>1</v>
      </c>
      <c r="G16" s="2">
        <v>29</v>
      </c>
      <c r="H16" s="2">
        <v>2</v>
      </c>
      <c r="I16" s="2" t="s">
        <v>95</v>
      </c>
      <c r="J16" s="2" t="s">
        <v>370</v>
      </c>
      <c r="K16" s="2" t="s">
        <v>96</v>
      </c>
      <c r="L16" s="2">
        <v>1368</v>
      </c>
      <c r="N16" s="2">
        <v>1011</v>
      </c>
      <c r="O16" s="2" t="s">
        <v>82</v>
      </c>
      <c r="P16" s="2" t="s">
        <v>82</v>
      </c>
      <c r="Q16" s="2">
        <v>1</v>
      </c>
      <c r="W16" s="2">
        <v>0</v>
      </c>
      <c r="X16" s="2">
        <v>1295106229</v>
      </c>
      <c r="Y16" s="2">
        <v>5.15</v>
      </c>
      <c r="AA16" s="2">
        <v>0</v>
      </c>
      <c r="AB16" s="2">
        <v>1331.87</v>
      </c>
      <c r="AC16" s="2">
        <v>518.54999999999995</v>
      </c>
      <c r="AD16" s="2">
        <v>0</v>
      </c>
      <c r="AE16" s="2">
        <v>0</v>
      </c>
      <c r="AF16" s="2">
        <v>1331.87</v>
      </c>
      <c r="AG16" s="2">
        <v>518.54999999999995</v>
      </c>
      <c r="AH16" s="2">
        <v>0</v>
      </c>
      <c r="AI16" s="2">
        <v>1</v>
      </c>
      <c r="AJ16" s="2">
        <v>1</v>
      </c>
      <c r="AK16" s="2">
        <v>1</v>
      </c>
      <c r="AL16" s="2">
        <v>1</v>
      </c>
      <c r="AN16" s="2">
        <v>0</v>
      </c>
      <c r="AO16" s="2">
        <v>1</v>
      </c>
      <c r="AP16" s="2">
        <v>0</v>
      </c>
      <c r="AQ16" s="2">
        <v>0</v>
      </c>
      <c r="AR16" s="2">
        <v>0</v>
      </c>
      <c r="AS16" s="2" t="s">
        <v>30</v>
      </c>
      <c r="AT16" s="2">
        <v>5.15</v>
      </c>
      <c r="AU16" s="2" t="s">
        <v>30</v>
      </c>
      <c r="AV16" s="2">
        <v>0</v>
      </c>
      <c r="AW16" s="2">
        <v>2</v>
      </c>
      <c r="AX16" s="2">
        <v>52262549</v>
      </c>
      <c r="AY16" s="2">
        <v>1</v>
      </c>
      <c r="AZ16" s="2">
        <v>0</v>
      </c>
      <c r="BA16" s="2">
        <v>16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CX16" s="2">
        <f>Y16*'Source (2)'!I30</f>
        <v>1.9992300000000001</v>
      </c>
      <c r="CY16" s="2">
        <f>AB16</f>
        <v>1331.87</v>
      </c>
      <c r="CZ16" s="2">
        <f>AF16</f>
        <v>1331.87</v>
      </c>
      <c r="DA16" s="2">
        <f>AJ16</f>
        <v>1</v>
      </c>
      <c r="DB16" s="2">
        <f t="shared" si="0"/>
        <v>6859.13</v>
      </c>
      <c r="DC16" s="2">
        <f t="shared" si="1"/>
        <v>2670.53</v>
      </c>
    </row>
    <row r="17" spans="1:107" x14ac:dyDescent="0.25">
      <c r="A17" s="2">
        <f>ROW('Source (2)'!A30)</f>
        <v>30</v>
      </c>
      <c r="B17" s="2">
        <v>52262273</v>
      </c>
      <c r="C17" s="2">
        <v>52262536</v>
      </c>
      <c r="D17" s="2">
        <v>49678594</v>
      </c>
      <c r="E17" s="2">
        <v>1</v>
      </c>
      <c r="F17" s="2">
        <v>1</v>
      </c>
      <c r="G17" s="2">
        <v>29</v>
      </c>
      <c r="H17" s="2">
        <v>2</v>
      </c>
      <c r="I17" s="2" t="s">
        <v>97</v>
      </c>
      <c r="J17" s="2" t="s">
        <v>371</v>
      </c>
      <c r="K17" s="2" t="s">
        <v>98</v>
      </c>
      <c r="L17" s="2">
        <v>1368</v>
      </c>
      <c r="N17" s="2">
        <v>1011</v>
      </c>
      <c r="O17" s="2" t="s">
        <v>82</v>
      </c>
      <c r="P17" s="2" t="s">
        <v>82</v>
      </c>
      <c r="Q17" s="2">
        <v>1</v>
      </c>
      <c r="W17" s="2">
        <v>0</v>
      </c>
      <c r="X17" s="2">
        <v>-180193475</v>
      </c>
      <c r="Y17" s="2">
        <v>11.26</v>
      </c>
      <c r="AA17" s="2">
        <v>0</v>
      </c>
      <c r="AB17" s="2">
        <v>1364.68</v>
      </c>
      <c r="AC17" s="2">
        <v>556.52</v>
      </c>
      <c r="AD17" s="2">
        <v>0</v>
      </c>
      <c r="AE17" s="2">
        <v>0</v>
      </c>
      <c r="AF17" s="2">
        <v>1364.68</v>
      </c>
      <c r="AG17" s="2">
        <v>556.52</v>
      </c>
      <c r="AH17" s="2">
        <v>0</v>
      </c>
      <c r="AI17" s="2">
        <v>1</v>
      </c>
      <c r="AJ17" s="2">
        <v>1</v>
      </c>
      <c r="AK17" s="2">
        <v>1</v>
      </c>
      <c r="AL17" s="2">
        <v>1</v>
      </c>
      <c r="AN17" s="2">
        <v>0</v>
      </c>
      <c r="AO17" s="2">
        <v>1</v>
      </c>
      <c r="AP17" s="2">
        <v>0</v>
      </c>
      <c r="AQ17" s="2">
        <v>0</v>
      </c>
      <c r="AR17" s="2">
        <v>0</v>
      </c>
      <c r="AS17" s="2" t="s">
        <v>30</v>
      </c>
      <c r="AT17" s="2">
        <v>11.26</v>
      </c>
      <c r="AU17" s="2" t="s">
        <v>30</v>
      </c>
      <c r="AV17" s="2">
        <v>0</v>
      </c>
      <c r="AW17" s="2">
        <v>2</v>
      </c>
      <c r="AX17" s="2">
        <v>52262550</v>
      </c>
      <c r="AY17" s="2">
        <v>1</v>
      </c>
      <c r="AZ17" s="2">
        <v>0</v>
      </c>
      <c r="BA17" s="2">
        <v>17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CX17" s="2">
        <f>Y17*'Source (2)'!I30</f>
        <v>4.3711320000000002</v>
      </c>
      <c r="CY17" s="2">
        <f>AB17</f>
        <v>1364.68</v>
      </c>
      <c r="CZ17" s="2">
        <f>AF17</f>
        <v>1364.68</v>
      </c>
      <c r="DA17" s="2">
        <f>AJ17</f>
        <v>1</v>
      </c>
      <c r="DB17" s="2">
        <f t="shared" si="0"/>
        <v>15366.3</v>
      </c>
      <c r="DC17" s="2">
        <f t="shared" si="1"/>
        <v>6266.42</v>
      </c>
    </row>
    <row r="18" spans="1:107" x14ac:dyDescent="0.25">
      <c r="A18" s="2">
        <f>ROW('Source (2)'!A30)</f>
        <v>30</v>
      </c>
      <c r="B18" s="2">
        <v>52262273</v>
      </c>
      <c r="C18" s="2">
        <v>52262536</v>
      </c>
      <c r="D18" s="2">
        <v>49678595</v>
      </c>
      <c r="E18" s="2">
        <v>1</v>
      </c>
      <c r="F18" s="2">
        <v>1</v>
      </c>
      <c r="G18" s="2">
        <v>29</v>
      </c>
      <c r="H18" s="2">
        <v>2</v>
      </c>
      <c r="I18" s="2" t="s">
        <v>99</v>
      </c>
      <c r="J18" s="2" t="s">
        <v>372</v>
      </c>
      <c r="K18" s="2" t="s">
        <v>100</v>
      </c>
      <c r="L18" s="2">
        <v>1368</v>
      </c>
      <c r="N18" s="2">
        <v>1011</v>
      </c>
      <c r="O18" s="2" t="s">
        <v>82</v>
      </c>
      <c r="P18" s="2" t="s">
        <v>82</v>
      </c>
      <c r="Q18" s="2">
        <v>1</v>
      </c>
      <c r="W18" s="2">
        <v>0</v>
      </c>
      <c r="X18" s="2">
        <v>802121905</v>
      </c>
      <c r="Y18" s="2">
        <v>32.19</v>
      </c>
      <c r="AA18" s="2">
        <v>0</v>
      </c>
      <c r="AB18" s="2">
        <v>1888.15</v>
      </c>
      <c r="AC18" s="2">
        <v>756.58</v>
      </c>
      <c r="AD18" s="2">
        <v>0</v>
      </c>
      <c r="AE18" s="2">
        <v>0</v>
      </c>
      <c r="AF18" s="2">
        <v>1888.15</v>
      </c>
      <c r="AG18" s="2">
        <v>756.58</v>
      </c>
      <c r="AH18" s="2">
        <v>0</v>
      </c>
      <c r="AI18" s="2">
        <v>1</v>
      </c>
      <c r="AJ18" s="2">
        <v>1</v>
      </c>
      <c r="AK18" s="2">
        <v>1</v>
      </c>
      <c r="AL18" s="2">
        <v>1</v>
      </c>
      <c r="AN18" s="2">
        <v>0</v>
      </c>
      <c r="AO18" s="2">
        <v>1</v>
      </c>
      <c r="AP18" s="2">
        <v>0</v>
      </c>
      <c r="AQ18" s="2">
        <v>0</v>
      </c>
      <c r="AR18" s="2">
        <v>0</v>
      </c>
      <c r="AS18" s="2" t="s">
        <v>30</v>
      </c>
      <c r="AT18" s="2">
        <v>32.19</v>
      </c>
      <c r="AU18" s="2" t="s">
        <v>30</v>
      </c>
      <c r="AV18" s="2">
        <v>0</v>
      </c>
      <c r="AW18" s="2">
        <v>2</v>
      </c>
      <c r="AX18" s="2">
        <v>52262551</v>
      </c>
      <c r="AY18" s="2">
        <v>1</v>
      </c>
      <c r="AZ18" s="2">
        <v>0</v>
      </c>
      <c r="BA18" s="2">
        <v>18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CX18" s="2">
        <f>Y18*'Source (2)'!I30</f>
        <v>12.496157999999999</v>
      </c>
      <c r="CY18" s="2">
        <f>AB18</f>
        <v>1888.15</v>
      </c>
      <c r="CZ18" s="2">
        <f>AF18</f>
        <v>1888.15</v>
      </c>
      <c r="DA18" s="2">
        <f>AJ18</f>
        <v>1</v>
      </c>
      <c r="DB18" s="2">
        <f t="shared" si="0"/>
        <v>60779.55</v>
      </c>
      <c r="DC18" s="2">
        <f t="shared" si="1"/>
        <v>24354.31</v>
      </c>
    </row>
    <row r="19" spans="1:107" x14ac:dyDescent="0.25">
      <c r="A19" s="2">
        <f>ROW('Source (2)'!A30)</f>
        <v>30</v>
      </c>
      <c r="B19" s="2">
        <v>52262273</v>
      </c>
      <c r="C19" s="2">
        <v>52262536</v>
      </c>
      <c r="D19" s="2">
        <v>49678632</v>
      </c>
      <c r="E19" s="2">
        <v>1</v>
      </c>
      <c r="F19" s="2">
        <v>1</v>
      </c>
      <c r="G19" s="2">
        <v>29</v>
      </c>
      <c r="H19" s="2">
        <v>2</v>
      </c>
      <c r="I19" s="2" t="s">
        <v>101</v>
      </c>
      <c r="J19" s="2" t="s">
        <v>373</v>
      </c>
      <c r="K19" s="2" t="s">
        <v>102</v>
      </c>
      <c r="L19" s="2">
        <v>1368</v>
      </c>
      <c r="N19" s="2">
        <v>1011</v>
      </c>
      <c r="O19" s="2" t="s">
        <v>82</v>
      </c>
      <c r="P19" s="2" t="s">
        <v>82</v>
      </c>
      <c r="Q19" s="2">
        <v>1</v>
      </c>
      <c r="W19" s="2">
        <v>0</v>
      </c>
      <c r="X19" s="2">
        <v>2089049132</v>
      </c>
      <c r="Y19" s="2">
        <v>5.81</v>
      </c>
      <c r="AA19" s="2">
        <v>0</v>
      </c>
      <c r="AB19" s="2">
        <v>1586.43</v>
      </c>
      <c r="AC19" s="2">
        <v>752.49</v>
      </c>
      <c r="AD19" s="2">
        <v>0</v>
      </c>
      <c r="AE19" s="2">
        <v>0</v>
      </c>
      <c r="AF19" s="2">
        <v>1586.43</v>
      </c>
      <c r="AG19" s="2">
        <v>752.49</v>
      </c>
      <c r="AH19" s="2">
        <v>0</v>
      </c>
      <c r="AI19" s="2">
        <v>1</v>
      </c>
      <c r="AJ19" s="2">
        <v>1</v>
      </c>
      <c r="AK19" s="2">
        <v>1</v>
      </c>
      <c r="AL19" s="2">
        <v>1</v>
      </c>
      <c r="AN19" s="2">
        <v>0</v>
      </c>
      <c r="AO19" s="2">
        <v>1</v>
      </c>
      <c r="AP19" s="2">
        <v>0</v>
      </c>
      <c r="AQ19" s="2">
        <v>0</v>
      </c>
      <c r="AR19" s="2">
        <v>0</v>
      </c>
      <c r="AS19" s="2" t="s">
        <v>30</v>
      </c>
      <c r="AT19" s="2">
        <v>5.81</v>
      </c>
      <c r="AU19" s="2" t="s">
        <v>30</v>
      </c>
      <c r="AV19" s="2">
        <v>0</v>
      </c>
      <c r="AW19" s="2">
        <v>2</v>
      </c>
      <c r="AX19" s="2">
        <v>52262552</v>
      </c>
      <c r="AY19" s="2">
        <v>1</v>
      </c>
      <c r="AZ19" s="2">
        <v>0</v>
      </c>
      <c r="BA19" s="2">
        <v>19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CX19" s="2">
        <f>Y19*'Source (2)'!I30</f>
        <v>2.2554419999999999</v>
      </c>
      <c r="CY19" s="2">
        <f>AB19</f>
        <v>1586.43</v>
      </c>
      <c r="CZ19" s="2">
        <f>AF19</f>
        <v>1586.43</v>
      </c>
      <c r="DA19" s="2">
        <f>AJ19</f>
        <v>1</v>
      </c>
      <c r="DB19" s="2">
        <f t="shared" si="0"/>
        <v>9217.16</v>
      </c>
      <c r="DC19" s="2">
        <f t="shared" si="1"/>
        <v>4371.97</v>
      </c>
    </row>
    <row r="20" spans="1:107" x14ac:dyDescent="0.25">
      <c r="A20" s="2">
        <f>ROW('Source (2)'!A30)</f>
        <v>30</v>
      </c>
      <c r="B20" s="2">
        <v>52262273</v>
      </c>
      <c r="C20" s="2">
        <v>52262536</v>
      </c>
      <c r="D20" s="2">
        <v>49680614</v>
      </c>
      <c r="E20" s="2">
        <v>1</v>
      </c>
      <c r="F20" s="2">
        <v>1</v>
      </c>
      <c r="G20" s="2">
        <v>29</v>
      </c>
      <c r="H20" s="2">
        <v>3</v>
      </c>
      <c r="I20" s="2" t="s">
        <v>107</v>
      </c>
      <c r="J20" s="2" t="s">
        <v>197</v>
      </c>
      <c r="K20" s="2" t="s">
        <v>108</v>
      </c>
      <c r="L20" s="2">
        <v>1339</v>
      </c>
      <c r="N20" s="2">
        <v>1007</v>
      </c>
      <c r="O20" s="2" t="s">
        <v>62</v>
      </c>
      <c r="P20" s="2" t="s">
        <v>62</v>
      </c>
      <c r="Q20" s="2">
        <v>1</v>
      </c>
      <c r="W20" s="2">
        <v>0</v>
      </c>
      <c r="X20" s="2">
        <v>-579596608</v>
      </c>
      <c r="Y20" s="2">
        <v>55</v>
      </c>
      <c r="AA20" s="2">
        <v>1232.5</v>
      </c>
      <c r="AB20" s="2">
        <v>0</v>
      </c>
      <c r="AC20" s="2">
        <v>0</v>
      </c>
      <c r="AD20" s="2">
        <v>0</v>
      </c>
      <c r="AE20" s="2">
        <v>1232.5</v>
      </c>
      <c r="AF20" s="2">
        <v>0</v>
      </c>
      <c r="AG20" s="2">
        <v>0</v>
      </c>
      <c r="AH20" s="2">
        <v>0</v>
      </c>
      <c r="AI20" s="2">
        <v>1</v>
      </c>
      <c r="AJ20" s="2">
        <v>1</v>
      </c>
      <c r="AK20" s="2">
        <v>1</v>
      </c>
      <c r="AL20" s="2">
        <v>1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 t="s">
        <v>30</v>
      </c>
      <c r="AT20" s="2">
        <v>55</v>
      </c>
      <c r="AU20" s="2" t="s">
        <v>30</v>
      </c>
      <c r="AV20" s="2">
        <v>0</v>
      </c>
      <c r="AW20" s="2">
        <v>1</v>
      </c>
      <c r="AX20" s="2">
        <v>-1</v>
      </c>
      <c r="AY20" s="2">
        <v>0</v>
      </c>
      <c r="AZ20" s="2">
        <v>0</v>
      </c>
      <c r="BA20" s="2" t="s">
        <v>30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CX20" s="2">
        <f>Y20*'Source (2)'!I30</f>
        <v>21.350999999999999</v>
      </c>
      <c r="CY20" s="2">
        <f>AA20</f>
        <v>1232.5</v>
      </c>
      <c r="CZ20" s="2">
        <f>AE20</f>
        <v>1232.5</v>
      </c>
      <c r="DA20" s="2">
        <f>AI20</f>
        <v>1</v>
      </c>
      <c r="DB20" s="2">
        <f t="shared" si="0"/>
        <v>67787.5</v>
      </c>
      <c r="DC20" s="2">
        <f t="shared" si="1"/>
        <v>0</v>
      </c>
    </row>
    <row r="21" spans="1:107" x14ac:dyDescent="0.25">
      <c r="A21" s="2">
        <f>ROW('Source (2)'!A30)</f>
        <v>30</v>
      </c>
      <c r="B21" s="2">
        <v>52262273</v>
      </c>
      <c r="C21" s="2">
        <v>52262536</v>
      </c>
      <c r="D21" s="2">
        <v>49680618</v>
      </c>
      <c r="E21" s="2">
        <v>1</v>
      </c>
      <c r="F21" s="2">
        <v>1</v>
      </c>
      <c r="G21" s="2">
        <v>29</v>
      </c>
      <c r="H21" s="2">
        <v>3</v>
      </c>
      <c r="I21" s="2" t="s">
        <v>191</v>
      </c>
      <c r="J21" s="2" t="s">
        <v>193</v>
      </c>
      <c r="K21" s="2" t="s">
        <v>192</v>
      </c>
      <c r="L21" s="2">
        <v>1339</v>
      </c>
      <c r="N21" s="2">
        <v>1007</v>
      </c>
      <c r="O21" s="2" t="s">
        <v>62</v>
      </c>
      <c r="P21" s="2" t="s">
        <v>62</v>
      </c>
      <c r="Q21" s="2">
        <v>1</v>
      </c>
      <c r="W21" s="2">
        <v>1</v>
      </c>
      <c r="X21" s="2">
        <v>-235652667</v>
      </c>
      <c r="Y21" s="2">
        <v>-11.5</v>
      </c>
      <c r="AA21" s="2">
        <v>1610.75</v>
      </c>
      <c r="AB21" s="2">
        <v>0</v>
      </c>
      <c r="AC21" s="2">
        <v>0</v>
      </c>
      <c r="AD21" s="2">
        <v>0</v>
      </c>
      <c r="AE21" s="2">
        <v>1610.75</v>
      </c>
      <c r="AF21" s="2">
        <v>0</v>
      </c>
      <c r="AG21" s="2">
        <v>0</v>
      </c>
      <c r="AH21" s="2">
        <v>0</v>
      </c>
      <c r="AI21" s="2">
        <v>1</v>
      </c>
      <c r="AJ21" s="2">
        <v>1</v>
      </c>
      <c r="AK21" s="2">
        <v>1</v>
      </c>
      <c r="AL21" s="2">
        <v>1</v>
      </c>
      <c r="AN21" s="2">
        <v>0</v>
      </c>
      <c r="AO21" s="2">
        <v>1</v>
      </c>
      <c r="AP21" s="2">
        <v>0</v>
      </c>
      <c r="AQ21" s="2">
        <v>0</v>
      </c>
      <c r="AR21" s="2">
        <v>0</v>
      </c>
      <c r="AS21" s="2" t="s">
        <v>30</v>
      </c>
      <c r="AT21" s="2">
        <v>-11.5</v>
      </c>
      <c r="AU21" s="2" t="s">
        <v>30</v>
      </c>
      <c r="AV21" s="2">
        <v>0</v>
      </c>
      <c r="AW21" s="2">
        <v>2</v>
      </c>
      <c r="AX21" s="2">
        <v>52262553</v>
      </c>
      <c r="AY21" s="2">
        <v>1</v>
      </c>
      <c r="AZ21" s="2">
        <v>6144</v>
      </c>
      <c r="BA21" s="2">
        <v>20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CX21" s="2">
        <f>Y21*'Source (2)'!I30</f>
        <v>-4.4642999999999997</v>
      </c>
      <c r="CY21" s="2">
        <f>AA21</f>
        <v>1610.75</v>
      </c>
      <c r="CZ21" s="2">
        <f>AE21</f>
        <v>1610.75</v>
      </c>
      <c r="DA21" s="2">
        <f>AI21</f>
        <v>1</v>
      </c>
      <c r="DB21" s="2">
        <f t="shared" si="0"/>
        <v>-18523.63</v>
      </c>
      <c r="DC21" s="2">
        <f t="shared" si="1"/>
        <v>0</v>
      </c>
    </row>
    <row r="22" spans="1:107" x14ac:dyDescent="0.25">
      <c r="A22" s="2">
        <f>ROW('Source (2)'!A30)</f>
        <v>30</v>
      </c>
      <c r="B22" s="2">
        <v>52262273</v>
      </c>
      <c r="C22" s="2">
        <v>52262536</v>
      </c>
      <c r="D22" s="2">
        <v>49680619</v>
      </c>
      <c r="E22" s="2">
        <v>1</v>
      </c>
      <c r="F22" s="2">
        <v>1</v>
      </c>
      <c r="G22" s="2">
        <v>29</v>
      </c>
      <c r="H22" s="2">
        <v>3</v>
      </c>
      <c r="I22" s="2" t="s">
        <v>194</v>
      </c>
      <c r="J22" s="2" t="s">
        <v>196</v>
      </c>
      <c r="K22" s="2" t="s">
        <v>195</v>
      </c>
      <c r="L22" s="2">
        <v>1339</v>
      </c>
      <c r="N22" s="2">
        <v>1007</v>
      </c>
      <c r="O22" s="2" t="s">
        <v>62</v>
      </c>
      <c r="P22" s="2" t="s">
        <v>62</v>
      </c>
      <c r="Q22" s="2">
        <v>1</v>
      </c>
      <c r="W22" s="2">
        <v>1</v>
      </c>
      <c r="X22" s="2">
        <v>-1914292201</v>
      </c>
      <c r="Y22" s="2">
        <v>-55</v>
      </c>
      <c r="AA22" s="2">
        <v>1542.75</v>
      </c>
      <c r="AB22" s="2">
        <v>0</v>
      </c>
      <c r="AC22" s="2">
        <v>0</v>
      </c>
      <c r="AD22" s="2">
        <v>0</v>
      </c>
      <c r="AE22" s="2">
        <v>1542.75</v>
      </c>
      <c r="AF22" s="2">
        <v>0</v>
      </c>
      <c r="AG22" s="2">
        <v>0</v>
      </c>
      <c r="AH22" s="2">
        <v>0</v>
      </c>
      <c r="AI22" s="2">
        <v>1</v>
      </c>
      <c r="AJ22" s="2">
        <v>1</v>
      </c>
      <c r="AK22" s="2">
        <v>1</v>
      </c>
      <c r="AL22" s="2">
        <v>1</v>
      </c>
      <c r="AN22" s="2">
        <v>0</v>
      </c>
      <c r="AO22" s="2">
        <v>1</v>
      </c>
      <c r="AP22" s="2">
        <v>0</v>
      </c>
      <c r="AQ22" s="2">
        <v>0</v>
      </c>
      <c r="AR22" s="2">
        <v>0</v>
      </c>
      <c r="AS22" s="2" t="s">
        <v>30</v>
      </c>
      <c r="AT22" s="2">
        <v>-55</v>
      </c>
      <c r="AU22" s="2" t="s">
        <v>30</v>
      </c>
      <c r="AV22" s="2">
        <v>0</v>
      </c>
      <c r="AW22" s="2">
        <v>2</v>
      </c>
      <c r="AX22" s="2">
        <v>52262554</v>
      </c>
      <c r="AY22" s="2">
        <v>1</v>
      </c>
      <c r="AZ22" s="2">
        <v>6144</v>
      </c>
      <c r="BA22" s="2">
        <v>21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CX22" s="2">
        <f>Y22*'Source (2)'!I30</f>
        <v>-21.350999999999999</v>
      </c>
      <c r="CY22" s="2">
        <f>AA22</f>
        <v>1542.75</v>
      </c>
      <c r="CZ22" s="2">
        <f>AE22</f>
        <v>1542.75</v>
      </c>
      <c r="DA22" s="2">
        <f>AI22</f>
        <v>1</v>
      </c>
      <c r="DB22" s="2">
        <f t="shared" si="0"/>
        <v>-84851.25</v>
      </c>
      <c r="DC22" s="2">
        <f t="shared" si="1"/>
        <v>0</v>
      </c>
    </row>
    <row r="23" spans="1:107" x14ac:dyDescent="0.25">
      <c r="A23" s="2">
        <f>ROW('Source (2)'!A30)</f>
        <v>30</v>
      </c>
      <c r="B23" s="2">
        <v>52262273</v>
      </c>
      <c r="C23" s="2">
        <v>52262536</v>
      </c>
      <c r="D23" s="2">
        <v>49681352</v>
      </c>
      <c r="E23" s="2">
        <v>1</v>
      </c>
      <c r="F23" s="2">
        <v>1</v>
      </c>
      <c r="G23" s="2">
        <v>29</v>
      </c>
      <c r="H23" s="2">
        <v>3</v>
      </c>
      <c r="I23" s="2" t="s">
        <v>111</v>
      </c>
      <c r="J23" s="2" t="s">
        <v>367</v>
      </c>
      <c r="K23" s="2" t="s">
        <v>112</v>
      </c>
      <c r="L23" s="2">
        <v>1339</v>
      </c>
      <c r="N23" s="2">
        <v>1007</v>
      </c>
      <c r="O23" s="2" t="s">
        <v>62</v>
      </c>
      <c r="P23" s="2" t="s">
        <v>62</v>
      </c>
      <c r="Q23" s="2">
        <v>1</v>
      </c>
      <c r="W23" s="2">
        <v>0</v>
      </c>
      <c r="X23" s="2">
        <v>1995837903</v>
      </c>
      <c r="Y23" s="2">
        <v>25</v>
      </c>
      <c r="AA23" s="2">
        <v>36.31</v>
      </c>
      <c r="AB23" s="2">
        <v>0</v>
      </c>
      <c r="AC23" s="2">
        <v>0</v>
      </c>
      <c r="AD23" s="2">
        <v>0</v>
      </c>
      <c r="AE23" s="2">
        <v>36.31</v>
      </c>
      <c r="AF23" s="2">
        <v>0</v>
      </c>
      <c r="AG23" s="2">
        <v>0</v>
      </c>
      <c r="AH23" s="2">
        <v>0</v>
      </c>
      <c r="AI23" s="2">
        <v>1</v>
      </c>
      <c r="AJ23" s="2">
        <v>1</v>
      </c>
      <c r="AK23" s="2">
        <v>1</v>
      </c>
      <c r="AL23" s="2">
        <v>1</v>
      </c>
      <c r="AN23" s="2">
        <v>0</v>
      </c>
      <c r="AO23" s="2">
        <v>1</v>
      </c>
      <c r="AP23" s="2">
        <v>0</v>
      </c>
      <c r="AQ23" s="2">
        <v>0</v>
      </c>
      <c r="AR23" s="2">
        <v>0</v>
      </c>
      <c r="AS23" s="2" t="s">
        <v>30</v>
      </c>
      <c r="AT23" s="2">
        <v>25</v>
      </c>
      <c r="AU23" s="2" t="s">
        <v>30</v>
      </c>
      <c r="AV23" s="2">
        <v>0</v>
      </c>
      <c r="AW23" s="2">
        <v>2</v>
      </c>
      <c r="AX23" s="2">
        <v>52262555</v>
      </c>
      <c r="AY23" s="2">
        <v>1</v>
      </c>
      <c r="AZ23" s="2">
        <v>0</v>
      </c>
      <c r="BA23" s="2">
        <v>22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CX23" s="2">
        <f>Y23*'Source (2)'!I30</f>
        <v>9.7050000000000001</v>
      </c>
      <c r="CY23" s="2">
        <f>AA23</f>
        <v>36.31</v>
      </c>
      <c r="CZ23" s="2">
        <f>AE23</f>
        <v>36.31</v>
      </c>
      <c r="DA23" s="2">
        <f>AI23</f>
        <v>1</v>
      </c>
      <c r="DB23" s="2">
        <f t="shared" si="0"/>
        <v>907.75</v>
      </c>
      <c r="DC23" s="2">
        <f t="shared" si="1"/>
        <v>0</v>
      </c>
    </row>
    <row r="24" spans="1:107" x14ac:dyDescent="0.25">
      <c r="A24" s="2">
        <f>ROW('Source (2)'!A34)</f>
        <v>34</v>
      </c>
      <c r="B24" s="2">
        <v>52262273</v>
      </c>
      <c r="C24" s="2">
        <v>52262559</v>
      </c>
      <c r="D24" s="2">
        <v>49679217</v>
      </c>
      <c r="E24" s="2">
        <v>1</v>
      </c>
      <c r="F24" s="2">
        <v>1</v>
      </c>
      <c r="G24" s="2">
        <v>29</v>
      </c>
      <c r="H24" s="2">
        <v>2</v>
      </c>
      <c r="I24" s="2" t="s">
        <v>85</v>
      </c>
      <c r="J24" s="2" t="s">
        <v>374</v>
      </c>
      <c r="K24" s="2" t="s">
        <v>86</v>
      </c>
      <c r="L24" s="2">
        <v>1368</v>
      </c>
      <c r="N24" s="2">
        <v>1011</v>
      </c>
      <c r="O24" s="2" t="s">
        <v>82</v>
      </c>
      <c r="P24" s="2" t="s">
        <v>82</v>
      </c>
      <c r="Q24" s="2">
        <v>1</v>
      </c>
      <c r="W24" s="2">
        <v>0</v>
      </c>
      <c r="X24" s="2">
        <v>2102615478</v>
      </c>
      <c r="Y24" s="2">
        <v>0.02</v>
      </c>
      <c r="AA24" s="2">
        <v>0</v>
      </c>
      <c r="AB24" s="2">
        <v>1070.1199999999999</v>
      </c>
      <c r="AC24" s="2">
        <v>332.66</v>
      </c>
      <c r="AD24" s="2">
        <v>0</v>
      </c>
      <c r="AE24" s="2">
        <v>0</v>
      </c>
      <c r="AF24" s="2">
        <v>1070.1199999999999</v>
      </c>
      <c r="AG24" s="2">
        <v>332.66</v>
      </c>
      <c r="AH24" s="2">
        <v>0</v>
      </c>
      <c r="AI24" s="2">
        <v>1</v>
      </c>
      <c r="AJ24" s="2">
        <v>1</v>
      </c>
      <c r="AK24" s="2">
        <v>1</v>
      </c>
      <c r="AL24" s="2">
        <v>1</v>
      </c>
      <c r="AN24" s="2">
        <v>0</v>
      </c>
      <c r="AO24" s="2">
        <v>1</v>
      </c>
      <c r="AP24" s="2">
        <v>0</v>
      </c>
      <c r="AQ24" s="2">
        <v>0</v>
      </c>
      <c r="AR24" s="2">
        <v>0</v>
      </c>
      <c r="AS24" s="2" t="s">
        <v>30</v>
      </c>
      <c r="AT24" s="2">
        <v>0.02</v>
      </c>
      <c r="AU24" s="2" t="s">
        <v>30</v>
      </c>
      <c r="AV24" s="2">
        <v>0</v>
      </c>
      <c r="AW24" s="2">
        <v>2</v>
      </c>
      <c r="AX24" s="2">
        <v>52262562</v>
      </c>
      <c r="AY24" s="2">
        <v>1</v>
      </c>
      <c r="AZ24" s="2">
        <v>0</v>
      </c>
      <c r="BA24" s="2">
        <v>23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CX24" s="2">
        <f>Y24*'Source (2)'!I34</f>
        <v>3.1055999999999999</v>
      </c>
      <c r="CY24" s="2">
        <f>AB24</f>
        <v>1070.1199999999999</v>
      </c>
      <c r="CZ24" s="2">
        <f>AF24</f>
        <v>1070.1199999999999</v>
      </c>
      <c r="DA24" s="2">
        <f>AJ24</f>
        <v>1</v>
      </c>
      <c r="DB24" s="2">
        <f t="shared" si="0"/>
        <v>21.4</v>
      </c>
      <c r="DC24" s="2">
        <f t="shared" si="1"/>
        <v>6.65</v>
      </c>
    </row>
    <row r="25" spans="1:107" x14ac:dyDescent="0.25">
      <c r="A25" s="2">
        <f>ROW('Source (2)'!A34)</f>
        <v>34</v>
      </c>
      <c r="B25" s="2">
        <v>52262273</v>
      </c>
      <c r="C25" s="2">
        <v>52262559</v>
      </c>
      <c r="D25" s="2">
        <v>49679218</v>
      </c>
      <c r="E25" s="2">
        <v>1</v>
      </c>
      <c r="F25" s="2">
        <v>1</v>
      </c>
      <c r="G25" s="2">
        <v>29</v>
      </c>
      <c r="H25" s="2">
        <v>2</v>
      </c>
      <c r="I25" s="2" t="s">
        <v>87</v>
      </c>
      <c r="J25" s="2" t="s">
        <v>375</v>
      </c>
      <c r="K25" s="2" t="s">
        <v>88</v>
      </c>
      <c r="L25" s="2">
        <v>1368</v>
      </c>
      <c r="N25" s="2">
        <v>1011</v>
      </c>
      <c r="O25" s="2" t="s">
        <v>82</v>
      </c>
      <c r="P25" s="2" t="s">
        <v>82</v>
      </c>
      <c r="Q25" s="2">
        <v>1</v>
      </c>
      <c r="W25" s="2">
        <v>0</v>
      </c>
      <c r="X25" s="2">
        <v>-421523076</v>
      </c>
      <c r="Y25" s="2">
        <v>1.7999999999999999E-2</v>
      </c>
      <c r="AA25" s="2">
        <v>0</v>
      </c>
      <c r="AB25" s="2">
        <v>1080.76</v>
      </c>
      <c r="AC25" s="2">
        <v>332.99</v>
      </c>
      <c r="AD25" s="2">
        <v>0</v>
      </c>
      <c r="AE25" s="2">
        <v>0</v>
      </c>
      <c r="AF25" s="2">
        <v>1080.76</v>
      </c>
      <c r="AG25" s="2">
        <v>332.99</v>
      </c>
      <c r="AH25" s="2">
        <v>0</v>
      </c>
      <c r="AI25" s="2">
        <v>1</v>
      </c>
      <c r="AJ25" s="2">
        <v>1</v>
      </c>
      <c r="AK25" s="2">
        <v>1</v>
      </c>
      <c r="AL25" s="2">
        <v>1</v>
      </c>
      <c r="AN25" s="2">
        <v>0</v>
      </c>
      <c r="AO25" s="2">
        <v>1</v>
      </c>
      <c r="AP25" s="2">
        <v>0</v>
      </c>
      <c r="AQ25" s="2">
        <v>0</v>
      </c>
      <c r="AR25" s="2">
        <v>0</v>
      </c>
      <c r="AS25" s="2" t="s">
        <v>30</v>
      </c>
      <c r="AT25" s="2">
        <v>1.7999999999999999E-2</v>
      </c>
      <c r="AU25" s="2" t="s">
        <v>30</v>
      </c>
      <c r="AV25" s="2">
        <v>0</v>
      </c>
      <c r="AW25" s="2">
        <v>2</v>
      </c>
      <c r="AX25" s="2">
        <v>52262563</v>
      </c>
      <c r="AY25" s="2">
        <v>1</v>
      </c>
      <c r="AZ25" s="2">
        <v>0</v>
      </c>
      <c r="BA25" s="2">
        <v>24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CX25" s="2">
        <f>Y25*'Source (2)'!I34</f>
        <v>2.7950400000000002</v>
      </c>
      <c r="CY25" s="2">
        <f>AB25</f>
        <v>1080.76</v>
      </c>
      <c r="CZ25" s="2">
        <f>AF25</f>
        <v>1080.76</v>
      </c>
      <c r="DA25" s="2">
        <f>AJ25</f>
        <v>1</v>
      </c>
      <c r="DB25" s="2">
        <f t="shared" si="0"/>
        <v>19.45</v>
      </c>
      <c r="DC25" s="2">
        <f t="shared" si="1"/>
        <v>5.99</v>
      </c>
    </row>
    <row r="26" spans="1:107" x14ac:dyDescent="0.25">
      <c r="A26" s="2">
        <f>ROW('Source (2)'!A35)</f>
        <v>35</v>
      </c>
      <c r="B26" s="2">
        <v>52262273</v>
      </c>
      <c r="C26" s="2">
        <v>52262564</v>
      </c>
      <c r="D26" s="2">
        <v>49679217</v>
      </c>
      <c r="E26" s="2">
        <v>1</v>
      </c>
      <c r="F26" s="2">
        <v>1</v>
      </c>
      <c r="G26" s="2">
        <v>29</v>
      </c>
      <c r="H26" s="2">
        <v>2</v>
      </c>
      <c r="I26" s="2" t="s">
        <v>85</v>
      </c>
      <c r="J26" s="2" t="s">
        <v>374</v>
      </c>
      <c r="K26" s="2" t="s">
        <v>86</v>
      </c>
      <c r="L26" s="2">
        <v>1368</v>
      </c>
      <c r="N26" s="2">
        <v>1011</v>
      </c>
      <c r="O26" s="2" t="s">
        <v>82</v>
      </c>
      <c r="P26" s="2" t="s">
        <v>82</v>
      </c>
      <c r="Q26" s="2">
        <v>1</v>
      </c>
      <c r="W26" s="2">
        <v>0</v>
      </c>
      <c r="X26" s="2">
        <v>2102615478</v>
      </c>
      <c r="Y26" s="2">
        <v>0.52</v>
      </c>
      <c r="AA26" s="2">
        <v>0</v>
      </c>
      <c r="AB26" s="2">
        <v>1070.1199999999999</v>
      </c>
      <c r="AC26" s="2">
        <v>332.66</v>
      </c>
      <c r="AD26" s="2">
        <v>0</v>
      </c>
      <c r="AE26" s="2">
        <v>0</v>
      </c>
      <c r="AF26" s="2">
        <v>1070.1199999999999</v>
      </c>
      <c r="AG26" s="2">
        <v>332.66</v>
      </c>
      <c r="AH26" s="2">
        <v>0</v>
      </c>
      <c r="AI26" s="2">
        <v>1</v>
      </c>
      <c r="AJ26" s="2">
        <v>1</v>
      </c>
      <c r="AK26" s="2">
        <v>1</v>
      </c>
      <c r="AL26" s="2">
        <v>1</v>
      </c>
      <c r="AN26" s="2">
        <v>0</v>
      </c>
      <c r="AO26" s="2">
        <v>1</v>
      </c>
      <c r="AP26" s="2">
        <v>1</v>
      </c>
      <c r="AQ26" s="2">
        <v>0</v>
      </c>
      <c r="AR26" s="2">
        <v>0</v>
      </c>
      <c r="AS26" s="2" t="s">
        <v>30</v>
      </c>
      <c r="AT26" s="2">
        <v>0.01</v>
      </c>
      <c r="AU26" s="2" t="s">
        <v>207</v>
      </c>
      <c r="AV26" s="2">
        <v>0</v>
      </c>
      <c r="AW26" s="2">
        <v>2</v>
      </c>
      <c r="AX26" s="2">
        <v>52262567</v>
      </c>
      <c r="AY26" s="2">
        <v>1</v>
      </c>
      <c r="AZ26" s="2">
        <v>0</v>
      </c>
      <c r="BA26" s="2">
        <v>25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CX26" s="2">
        <f>Y26*'Source (2)'!I35</f>
        <v>80.745599999999996</v>
      </c>
      <c r="CY26" s="2">
        <f>AB26</f>
        <v>1070.1199999999999</v>
      </c>
      <c r="CZ26" s="2">
        <f>AF26</f>
        <v>1070.1199999999999</v>
      </c>
      <c r="DA26" s="2">
        <f>AJ26</f>
        <v>1</v>
      </c>
      <c r="DB26" s="2">
        <f>ROUND((ROUND(AT26*CZ26,2)*52),6)</f>
        <v>556.4</v>
      </c>
      <c r="DC26" s="2">
        <f>ROUND((ROUND(AT26*AG26,2)*52),6)</f>
        <v>173.16</v>
      </c>
    </row>
    <row r="27" spans="1:107" x14ac:dyDescent="0.25">
      <c r="A27" s="2">
        <f>ROW('Source (2)'!A35)</f>
        <v>35</v>
      </c>
      <c r="B27" s="2">
        <v>52262273</v>
      </c>
      <c r="C27" s="2">
        <v>52262564</v>
      </c>
      <c r="D27" s="2">
        <v>49679218</v>
      </c>
      <c r="E27" s="2">
        <v>1</v>
      </c>
      <c r="F27" s="2">
        <v>1</v>
      </c>
      <c r="G27" s="2">
        <v>29</v>
      </c>
      <c r="H27" s="2">
        <v>2</v>
      </c>
      <c r="I27" s="2" t="s">
        <v>87</v>
      </c>
      <c r="J27" s="2" t="s">
        <v>375</v>
      </c>
      <c r="K27" s="2" t="s">
        <v>88</v>
      </c>
      <c r="L27" s="2">
        <v>1368</v>
      </c>
      <c r="N27" s="2">
        <v>1011</v>
      </c>
      <c r="O27" s="2" t="s">
        <v>82</v>
      </c>
      <c r="P27" s="2" t="s">
        <v>82</v>
      </c>
      <c r="Q27" s="2">
        <v>1</v>
      </c>
      <c r="W27" s="2">
        <v>0</v>
      </c>
      <c r="X27" s="2">
        <v>-421523076</v>
      </c>
      <c r="Y27" s="2">
        <v>0.41599999999999998</v>
      </c>
      <c r="AA27" s="2">
        <v>0</v>
      </c>
      <c r="AB27" s="2">
        <v>1080.76</v>
      </c>
      <c r="AC27" s="2">
        <v>332.99</v>
      </c>
      <c r="AD27" s="2">
        <v>0</v>
      </c>
      <c r="AE27" s="2">
        <v>0</v>
      </c>
      <c r="AF27" s="2">
        <v>1080.76</v>
      </c>
      <c r="AG27" s="2">
        <v>332.99</v>
      </c>
      <c r="AH27" s="2">
        <v>0</v>
      </c>
      <c r="AI27" s="2">
        <v>1</v>
      </c>
      <c r="AJ27" s="2">
        <v>1</v>
      </c>
      <c r="AK27" s="2">
        <v>1</v>
      </c>
      <c r="AL27" s="2">
        <v>1</v>
      </c>
      <c r="AN27" s="2">
        <v>0</v>
      </c>
      <c r="AO27" s="2">
        <v>1</v>
      </c>
      <c r="AP27" s="2">
        <v>1</v>
      </c>
      <c r="AQ27" s="2">
        <v>0</v>
      </c>
      <c r="AR27" s="2">
        <v>0</v>
      </c>
      <c r="AS27" s="2" t="s">
        <v>30</v>
      </c>
      <c r="AT27" s="2">
        <v>8.0000000000000002E-3</v>
      </c>
      <c r="AU27" s="2" t="s">
        <v>207</v>
      </c>
      <c r="AV27" s="2">
        <v>0</v>
      </c>
      <c r="AW27" s="2">
        <v>2</v>
      </c>
      <c r="AX27" s="2">
        <v>52262568</v>
      </c>
      <c r="AY27" s="2">
        <v>1</v>
      </c>
      <c r="AZ27" s="2">
        <v>0</v>
      </c>
      <c r="BA27" s="2">
        <v>26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CX27" s="2">
        <f>Y27*'Source (2)'!I35</f>
        <v>64.59648</v>
      </c>
      <c r="CY27" s="2">
        <f>AB27</f>
        <v>1080.76</v>
      </c>
      <c r="CZ27" s="2">
        <f>AF27</f>
        <v>1080.76</v>
      </c>
      <c r="DA27" s="2">
        <f>AJ27</f>
        <v>1</v>
      </c>
      <c r="DB27" s="2">
        <f>ROUND((ROUND(AT27*CZ27,2)*52),6)</f>
        <v>449.8</v>
      </c>
      <c r="DC27" s="2">
        <f>ROUND((ROUND(AT27*AG27,2)*52),6)</f>
        <v>138.32</v>
      </c>
    </row>
    <row r="28" spans="1:107" x14ac:dyDescent="0.25">
      <c r="A28" s="2">
        <f>ROW('Source (2)'!A36)</f>
        <v>36</v>
      </c>
      <c r="B28" s="2">
        <v>52262273</v>
      </c>
      <c r="C28" s="2">
        <v>52262569</v>
      </c>
      <c r="D28" s="2">
        <v>49677488</v>
      </c>
      <c r="E28" s="2">
        <v>29</v>
      </c>
      <c r="F28" s="2">
        <v>1</v>
      </c>
      <c r="G28" s="2">
        <v>29</v>
      </c>
      <c r="H28" s="2">
        <v>1</v>
      </c>
      <c r="I28" s="2" t="s">
        <v>359</v>
      </c>
      <c r="J28" s="2" t="s">
        <v>30</v>
      </c>
      <c r="K28" s="2" t="s">
        <v>360</v>
      </c>
      <c r="L28" s="2">
        <v>1191</v>
      </c>
      <c r="N28" s="2">
        <v>1013</v>
      </c>
      <c r="O28" s="2" t="s">
        <v>361</v>
      </c>
      <c r="P28" s="2" t="s">
        <v>361</v>
      </c>
      <c r="Q28" s="2">
        <v>1</v>
      </c>
      <c r="W28" s="2">
        <v>0</v>
      </c>
      <c r="X28" s="2">
        <v>476480486</v>
      </c>
      <c r="Y28" s="2">
        <v>10.3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1</v>
      </c>
      <c r="AJ28" s="2">
        <v>1</v>
      </c>
      <c r="AK28" s="2">
        <v>1</v>
      </c>
      <c r="AL28" s="2">
        <v>1</v>
      </c>
      <c r="AN28" s="2">
        <v>0</v>
      </c>
      <c r="AO28" s="2">
        <v>1</v>
      </c>
      <c r="AP28" s="2">
        <v>0</v>
      </c>
      <c r="AQ28" s="2">
        <v>0</v>
      </c>
      <c r="AR28" s="2">
        <v>0</v>
      </c>
      <c r="AS28" s="2" t="s">
        <v>30</v>
      </c>
      <c r="AT28" s="2">
        <v>10.3</v>
      </c>
      <c r="AU28" s="2" t="s">
        <v>30</v>
      </c>
      <c r="AV28" s="2">
        <v>1</v>
      </c>
      <c r="AW28" s="2">
        <v>2</v>
      </c>
      <c r="AX28" s="2">
        <v>52262575</v>
      </c>
      <c r="AY28" s="2">
        <v>1</v>
      </c>
      <c r="AZ28" s="2">
        <v>0</v>
      </c>
      <c r="BA28" s="2">
        <v>27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CX28" s="2">
        <f>Y28*'Source (2)'!I36</f>
        <v>133.28200000000001</v>
      </c>
      <c r="CY28" s="2">
        <f>AD28</f>
        <v>0</v>
      </c>
      <c r="CZ28" s="2">
        <f>AH28</f>
        <v>0</v>
      </c>
      <c r="DA28" s="2">
        <f>AL28</f>
        <v>1</v>
      </c>
      <c r="DB28" s="2">
        <f t="shared" ref="DB28:DB43" si="2">ROUND(ROUND(AT28*CZ28,2),6)</f>
        <v>0</v>
      </c>
      <c r="DC28" s="2">
        <f t="shared" ref="DC28:DC43" si="3">ROUND(ROUND(AT28*AG28,2),6)</f>
        <v>0</v>
      </c>
    </row>
    <row r="29" spans="1:107" x14ac:dyDescent="0.25">
      <c r="A29" s="2">
        <f>ROW('Source (2)'!A36)</f>
        <v>36</v>
      </c>
      <c r="B29" s="2">
        <v>52262273</v>
      </c>
      <c r="C29" s="2">
        <v>52262569</v>
      </c>
      <c r="D29" s="2">
        <v>49678594</v>
      </c>
      <c r="E29" s="2">
        <v>1</v>
      </c>
      <c r="F29" s="2">
        <v>1</v>
      </c>
      <c r="G29" s="2">
        <v>29</v>
      </c>
      <c r="H29" s="2">
        <v>2</v>
      </c>
      <c r="I29" s="2" t="s">
        <v>97</v>
      </c>
      <c r="J29" s="2" t="s">
        <v>371</v>
      </c>
      <c r="K29" s="2" t="s">
        <v>98</v>
      </c>
      <c r="L29" s="2">
        <v>1368</v>
      </c>
      <c r="N29" s="2">
        <v>1011</v>
      </c>
      <c r="O29" s="2" t="s">
        <v>82</v>
      </c>
      <c r="P29" s="2" t="s">
        <v>82</v>
      </c>
      <c r="Q29" s="2">
        <v>1</v>
      </c>
      <c r="W29" s="2">
        <v>0</v>
      </c>
      <c r="X29" s="2">
        <v>-180193475</v>
      </c>
      <c r="Y29" s="2">
        <v>0.89</v>
      </c>
      <c r="AA29" s="2">
        <v>0</v>
      </c>
      <c r="AB29" s="2">
        <v>1364.68</v>
      </c>
      <c r="AC29" s="2">
        <v>556.52</v>
      </c>
      <c r="AD29" s="2">
        <v>0</v>
      </c>
      <c r="AE29" s="2">
        <v>0</v>
      </c>
      <c r="AF29" s="2">
        <v>1364.68</v>
      </c>
      <c r="AG29" s="2">
        <v>556.52</v>
      </c>
      <c r="AH29" s="2">
        <v>0</v>
      </c>
      <c r="AI29" s="2">
        <v>1</v>
      </c>
      <c r="AJ29" s="2">
        <v>1</v>
      </c>
      <c r="AK29" s="2">
        <v>1</v>
      </c>
      <c r="AL29" s="2">
        <v>1</v>
      </c>
      <c r="AN29" s="2">
        <v>0</v>
      </c>
      <c r="AO29" s="2">
        <v>1</v>
      </c>
      <c r="AP29" s="2">
        <v>0</v>
      </c>
      <c r="AQ29" s="2">
        <v>0</v>
      </c>
      <c r="AR29" s="2">
        <v>0</v>
      </c>
      <c r="AS29" s="2" t="s">
        <v>30</v>
      </c>
      <c r="AT29" s="2">
        <v>0.89</v>
      </c>
      <c r="AU29" s="2" t="s">
        <v>30</v>
      </c>
      <c r="AV29" s="2">
        <v>0</v>
      </c>
      <c r="AW29" s="2">
        <v>2</v>
      </c>
      <c r="AX29" s="2">
        <v>52262576</v>
      </c>
      <c r="AY29" s="2">
        <v>1</v>
      </c>
      <c r="AZ29" s="2">
        <v>0</v>
      </c>
      <c r="BA29" s="2">
        <v>28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CX29" s="2">
        <f>Y29*'Source (2)'!I36</f>
        <v>11.5166</v>
      </c>
      <c r="CY29" s="2">
        <f>AB29</f>
        <v>1364.68</v>
      </c>
      <c r="CZ29" s="2">
        <f>AF29</f>
        <v>1364.68</v>
      </c>
      <c r="DA29" s="2">
        <f>AJ29</f>
        <v>1</v>
      </c>
      <c r="DB29" s="2">
        <f t="shared" si="2"/>
        <v>1214.57</v>
      </c>
      <c r="DC29" s="2">
        <f t="shared" si="3"/>
        <v>495.3</v>
      </c>
    </row>
    <row r="30" spans="1:107" x14ac:dyDescent="0.25">
      <c r="A30" s="2">
        <f>ROW('Source (2)'!A36)</f>
        <v>36</v>
      </c>
      <c r="B30" s="2">
        <v>52262273</v>
      </c>
      <c r="C30" s="2">
        <v>52262569</v>
      </c>
      <c r="D30" s="2">
        <v>49679414</v>
      </c>
      <c r="E30" s="2">
        <v>1</v>
      </c>
      <c r="F30" s="2">
        <v>1</v>
      </c>
      <c r="G30" s="2">
        <v>29</v>
      </c>
      <c r="H30" s="2">
        <v>3</v>
      </c>
      <c r="I30" s="2" t="s">
        <v>109</v>
      </c>
      <c r="J30" s="2" t="s">
        <v>376</v>
      </c>
      <c r="K30" s="2" t="s">
        <v>110</v>
      </c>
      <c r="L30" s="2">
        <v>1348</v>
      </c>
      <c r="N30" s="2">
        <v>1009</v>
      </c>
      <c r="O30" s="2" t="s">
        <v>63</v>
      </c>
      <c r="P30" s="2" t="s">
        <v>63</v>
      </c>
      <c r="Q30" s="2">
        <v>1000</v>
      </c>
      <c r="W30" s="2">
        <v>0</v>
      </c>
      <c r="X30" s="2">
        <v>2030676919</v>
      </c>
      <c r="Y30" s="2">
        <v>0.06</v>
      </c>
      <c r="AA30" s="2">
        <v>34834.18</v>
      </c>
      <c r="AB30" s="2">
        <v>0</v>
      </c>
      <c r="AC30" s="2">
        <v>0</v>
      </c>
      <c r="AD30" s="2">
        <v>0</v>
      </c>
      <c r="AE30" s="2">
        <v>34834.18</v>
      </c>
      <c r="AF30" s="2">
        <v>0</v>
      </c>
      <c r="AG30" s="2">
        <v>0</v>
      </c>
      <c r="AH30" s="2">
        <v>0</v>
      </c>
      <c r="AI30" s="2">
        <v>1</v>
      </c>
      <c r="AJ30" s="2">
        <v>1</v>
      </c>
      <c r="AK30" s="2">
        <v>1</v>
      </c>
      <c r="AL30" s="2">
        <v>1</v>
      </c>
      <c r="AN30" s="2">
        <v>0</v>
      </c>
      <c r="AO30" s="2">
        <v>1</v>
      </c>
      <c r="AP30" s="2">
        <v>0</v>
      </c>
      <c r="AQ30" s="2">
        <v>0</v>
      </c>
      <c r="AR30" s="2">
        <v>0</v>
      </c>
      <c r="AS30" s="2" t="s">
        <v>30</v>
      </c>
      <c r="AT30" s="2">
        <v>0.06</v>
      </c>
      <c r="AU30" s="2" t="s">
        <v>30</v>
      </c>
      <c r="AV30" s="2">
        <v>0</v>
      </c>
      <c r="AW30" s="2">
        <v>2</v>
      </c>
      <c r="AX30" s="2">
        <v>52262577</v>
      </c>
      <c r="AY30" s="2">
        <v>1</v>
      </c>
      <c r="AZ30" s="2">
        <v>0</v>
      </c>
      <c r="BA30" s="2">
        <v>29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CX30" s="2">
        <f>Y30*'Source (2)'!I36</f>
        <v>0.77639999999999998</v>
      </c>
      <c r="CY30" s="2">
        <f>AA30</f>
        <v>34834.18</v>
      </c>
      <c r="CZ30" s="2">
        <f>AE30</f>
        <v>34834.18</v>
      </c>
      <c r="DA30" s="2">
        <f>AI30</f>
        <v>1</v>
      </c>
      <c r="DB30" s="2">
        <f t="shared" si="2"/>
        <v>2090.0500000000002</v>
      </c>
      <c r="DC30" s="2">
        <f t="shared" si="3"/>
        <v>0</v>
      </c>
    </row>
    <row r="31" spans="1:107" x14ac:dyDescent="0.25">
      <c r="A31" s="2">
        <f>ROW('Source (2)'!A36)</f>
        <v>36</v>
      </c>
      <c r="B31" s="2">
        <v>52262273</v>
      </c>
      <c r="C31" s="2">
        <v>52262569</v>
      </c>
      <c r="D31" s="2">
        <v>49682551</v>
      </c>
      <c r="E31" s="2">
        <v>1</v>
      </c>
      <c r="F31" s="2">
        <v>1</v>
      </c>
      <c r="G31" s="2">
        <v>29</v>
      </c>
      <c r="H31" s="2">
        <v>3</v>
      </c>
      <c r="I31" s="2" t="s">
        <v>160</v>
      </c>
      <c r="J31" s="2" t="s">
        <v>213</v>
      </c>
      <c r="K31" s="2" t="s">
        <v>212</v>
      </c>
      <c r="L31" s="2">
        <v>1348</v>
      </c>
      <c r="N31" s="2">
        <v>1009</v>
      </c>
      <c r="O31" s="2" t="s">
        <v>63</v>
      </c>
      <c r="P31" s="2" t="s">
        <v>63</v>
      </c>
      <c r="Q31" s="2">
        <v>1000</v>
      </c>
      <c r="W31" s="2">
        <v>1</v>
      </c>
      <c r="X31" s="2">
        <v>-58237108</v>
      </c>
      <c r="Y31" s="2">
        <v>-7.14</v>
      </c>
      <c r="AA31" s="2">
        <v>2954.24</v>
      </c>
      <c r="AB31" s="2">
        <v>0</v>
      </c>
      <c r="AC31" s="2">
        <v>0</v>
      </c>
      <c r="AD31" s="2">
        <v>0</v>
      </c>
      <c r="AE31" s="2">
        <v>2954.24</v>
      </c>
      <c r="AF31" s="2">
        <v>0</v>
      </c>
      <c r="AG31" s="2">
        <v>0</v>
      </c>
      <c r="AH31" s="2">
        <v>0</v>
      </c>
      <c r="AI31" s="2">
        <v>1</v>
      </c>
      <c r="AJ31" s="2">
        <v>1</v>
      </c>
      <c r="AK31" s="2">
        <v>1</v>
      </c>
      <c r="AL31" s="2">
        <v>1</v>
      </c>
      <c r="AN31" s="2">
        <v>0</v>
      </c>
      <c r="AO31" s="2">
        <v>1</v>
      </c>
      <c r="AP31" s="2">
        <v>0</v>
      </c>
      <c r="AQ31" s="2">
        <v>0</v>
      </c>
      <c r="AR31" s="2">
        <v>0</v>
      </c>
      <c r="AS31" s="2" t="s">
        <v>30</v>
      </c>
      <c r="AT31" s="2">
        <v>-7.14</v>
      </c>
      <c r="AU31" s="2" t="s">
        <v>30</v>
      </c>
      <c r="AV31" s="2">
        <v>0</v>
      </c>
      <c r="AW31" s="2">
        <v>2</v>
      </c>
      <c r="AX31" s="2">
        <v>52262578</v>
      </c>
      <c r="AY31" s="2">
        <v>1</v>
      </c>
      <c r="AZ31" s="2">
        <v>6144</v>
      </c>
      <c r="BA31" s="2">
        <v>30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CX31" s="2">
        <f>Y31*'Source (2)'!I36</f>
        <v>-92.391599999999997</v>
      </c>
      <c r="CY31" s="2">
        <f>AA31</f>
        <v>2954.24</v>
      </c>
      <c r="CZ31" s="2">
        <f>AE31</f>
        <v>2954.24</v>
      </c>
      <c r="DA31" s="2">
        <f>AI31</f>
        <v>1</v>
      </c>
      <c r="DB31" s="2">
        <f t="shared" si="2"/>
        <v>-21093.27</v>
      </c>
      <c r="DC31" s="2">
        <f t="shared" si="3"/>
        <v>0</v>
      </c>
    </row>
    <row r="32" spans="1:107" x14ac:dyDescent="0.25">
      <c r="A32" s="2">
        <f>ROW('Source (2)'!A36)</f>
        <v>36</v>
      </c>
      <c r="B32" s="2">
        <v>52262273</v>
      </c>
      <c r="C32" s="2">
        <v>52262569</v>
      </c>
      <c r="D32" s="2">
        <v>49682551</v>
      </c>
      <c r="E32" s="2">
        <v>1</v>
      </c>
      <c r="F32" s="2">
        <v>1</v>
      </c>
      <c r="G32" s="2">
        <v>29</v>
      </c>
      <c r="H32" s="2">
        <v>3</v>
      </c>
      <c r="I32" s="2" t="s">
        <v>160</v>
      </c>
      <c r="J32" s="2" t="s">
        <v>213</v>
      </c>
      <c r="K32" s="2" t="s">
        <v>161</v>
      </c>
      <c r="L32" s="2">
        <v>1348</v>
      </c>
      <c r="N32" s="2">
        <v>1009</v>
      </c>
      <c r="O32" s="2" t="s">
        <v>63</v>
      </c>
      <c r="P32" s="2" t="s">
        <v>63</v>
      </c>
      <c r="Q32" s="2">
        <v>1000</v>
      </c>
      <c r="W32" s="2">
        <v>1</v>
      </c>
      <c r="X32" s="2">
        <v>946953562</v>
      </c>
      <c r="Y32" s="2">
        <v>11.67</v>
      </c>
      <c r="AA32" s="2">
        <v>2954.24</v>
      </c>
      <c r="AB32" s="2">
        <v>0</v>
      </c>
      <c r="AC32" s="2">
        <v>0</v>
      </c>
      <c r="AD32" s="2">
        <v>0</v>
      </c>
      <c r="AE32" s="2">
        <v>2954.24</v>
      </c>
      <c r="AF32" s="2">
        <v>0</v>
      </c>
      <c r="AG32" s="2">
        <v>0</v>
      </c>
      <c r="AH32" s="2">
        <v>0</v>
      </c>
      <c r="AI32" s="2">
        <v>1</v>
      </c>
      <c r="AJ32" s="2">
        <v>1</v>
      </c>
      <c r="AK32" s="2">
        <v>1</v>
      </c>
      <c r="AL32" s="2">
        <v>1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 t="s">
        <v>30</v>
      </c>
      <c r="AT32" s="2">
        <v>11.67</v>
      </c>
      <c r="AU32" s="2" t="s">
        <v>30</v>
      </c>
      <c r="AV32" s="2">
        <v>0</v>
      </c>
      <c r="AW32" s="2">
        <v>1</v>
      </c>
      <c r="AX32" s="2">
        <v>-1</v>
      </c>
      <c r="AY32" s="2">
        <v>0</v>
      </c>
      <c r="AZ32" s="2">
        <v>0</v>
      </c>
      <c r="BA32" s="2" t="s">
        <v>30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CX32" s="2">
        <f>Y32*'Source (2)'!I36</f>
        <v>151.00980000000001</v>
      </c>
      <c r="CY32" s="2">
        <f>AA32</f>
        <v>2954.24</v>
      </c>
      <c r="CZ32" s="2">
        <f>AE32</f>
        <v>2954.24</v>
      </c>
      <c r="DA32" s="2">
        <f>AI32</f>
        <v>1</v>
      </c>
      <c r="DB32" s="2">
        <f t="shared" si="2"/>
        <v>34475.980000000003</v>
      </c>
      <c r="DC32" s="2">
        <f t="shared" si="3"/>
        <v>0</v>
      </c>
    </row>
    <row r="33" spans="1:107" x14ac:dyDescent="0.25">
      <c r="A33" s="2">
        <f>ROW('Source (2)'!A84)</f>
        <v>84</v>
      </c>
      <c r="B33" s="2">
        <v>52262273</v>
      </c>
      <c r="C33" s="2">
        <v>52262581</v>
      </c>
      <c r="D33" s="2">
        <v>49677488</v>
      </c>
      <c r="E33" s="2">
        <v>29</v>
      </c>
      <c r="F33" s="2">
        <v>1</v>
      </c>
      <c r="G33" s="2">
        <v>29</v>
      </c>
      <c r="H33" s="2">
        <v>1</v>
      </c>
      <c r="I33" s="2" t="s">
        <v>359</v>
      </c>
      <c r="J33" s="2" t="s">
        <v>30</v>
      </c>
      <c r="K33" s="2" t="s">
        <v>360</v>
      </c>
      <c r="L33" s="2">
        <v>1191</v>
      </c>
      <c r="N33" s="2">
        <v>1013</v>
      </c>
      <c r="O33" s="2" t="s">
        <v>361</v>
      </c>
      <c r="P33" s="2" t="s">
        <v>361</v>
      </c>
      <c r="Q33" s="2">
        <v>1</v>
      </c>
      <c r="W33" s="2">
        <v>0</v>
      </c>
      <c r="X33" s="2">
        <v>476480486</v>
      </c>
      <c r="Y33" s="2">
        <v>0.66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1</v>
      </c>
      <c r="AJ33" s="2">
        <v>1</v>
      </c>
      <c r="AK33" s="2">
        <v>1</v>
      </c>
      <c r="AL33" s="2">
        <v>1</v>
      </c>
      <c r="AN33" s="2">
        <v>0</v>
      </c>
      <c r="AO33" s="2">
        <v>1</v>
      </c>
      <c r="AP33" s="2">
        <v>0</v>
      </c>
      <c r="AQ33" s="2">
        <v>0</v>
      </c>
      <c r="AR33" s="2">
        <v>0</v>
      </c>
      <c r="AS33" s="2" t="s">
        <v>30</v>
      </c>
      <c r="AT33" s="2">
        <v>0.66</v>
      </c>
      <c r="AU33" s="2" t="s">
        <v>30</v>
      </c>
      <c r="AV33" s="2">
        <v>1</v>
      </c>
      <c r="AW33" s="2">
        <v>2</v>
      </c>
      <c r="AX33" s="2">
        <v>52262600</v>
      </c>
      <c r="AY33" s="2">
        <v>1</v>
      </c>
      <c r="AZ33" s="2">
        <v>0</v>
      </c>
      <c r="BA33" s="2">
        <v>31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CX33" s="2">
        <f>Y33*'Source (2)'!I84</f>
        <v>172.92</v>
      </c>
      <c r="CY33" s="2">
        <f>AD33</f>
        <v>0</v>
      </c>
      <c r="CZ33" s="2">
        <f>AH33</f>
        <v>0</v>
      </c>
      <c r="DA33" s="2">
        <f>AL33</f>
        <v>1</v>
      </c>
      <c r="DB33" s="2">
        <f t="shared" si="2"/>
        <v>0</v>
      </c>
      <c r="DC33" s="2">
        <f t="shared" si="3"/>
        <v>0</v>
      </c>
    </row>
    <row r="34" spans="1:107" x14ac:dyDescent="0.25">
      <c r="A34" s="2">
        <f>ROW('Source (2)'!A84)</f>
        <v>84</v>
      </c>
      <c r="B34" s="2">
        <v>52262273</v>
      </c>
      <c r="C34" s="2">
        <v>52262581</v>
      </c>
      <c r="D34" s="2">
        <v>49678762</v>
      </c>
      <c r="E34" s="2">
        <v>1</v>
      </c>
      <c r="F34" s="2">
        <v>1</v>
      </c>
      <c r="G34" s="2">
        <v>29</v>
      </c>
      <c r="H34" s="2">
        <v>2</v>
      </c>
      <c r="I34" s="2" t="s">
        <v>116</v>
      </c>
      <c r="J34" s="2" t="s">
        <v>377</v>
      </c>
      <c r="K34" s="2" t="s">
        <v>117</v>
      </c>
      <c r="L34" s="2">
        <v>1368</v>
      </c>
      <c r="N34" s="2">
        <v>1011</v>
      </c>
      <c r="O34" s="2" t="s">
        <v>82</v>
      </c>
      <c r="P34" s="2" t="s">
        <v>82</v>
      </c>
      <c r="Q34" s="2">
        <v>1</v>
      </c>
      <c r="W34" s="2">
        <v>0</v>
      </c>
      <c r="X34" s="2">
        <v>-27366755</v>
      </c>
      <c r="Y34" s="2">
        <v>0.13200000000000001</v>
      </c>
      <c r="AA34" s="2">
        <v>0</v>
      </c>
      <c r="AB34" s="2">
        <v>493.52</v>
      </c>
      <c r="AC34" s="2">
        <v>377.79</v>
      </c>
      <c r="AD34" s="2">
        <v>0</v>
      </c>
      <c r="AE34" s="2">
        <v>0</v>
      </c>
      <c r="AF34" s="2">
        <v>493.52</v>
      </c>
      <c r="AG34" s="2">
        <v>377.79</v>
      </c>
      <c r="AH34" s="2">
        <v>0</v>
      </c>
      <c r="AI34" s="2">
        <v>1</v>
      </c>
      <c r="AJ34" s="2">
        <v>1</v>
      </c>
      <c r="AK34" s="2">
        <v>1</v>
      </c>
      <c r="AL34" s="2">
        <v>1</v>
      </c>
      <c r="AN34" s="2">
        <v>0</v>
      </c>
      <c r="AO34" s="2">
        <v>1</v>
      </c>
      <c r="AP34" s="2">
        <v>0</v>
      </c>
      <c r="AQ34" s="2">
        <v>0</v>
      </c>
      <c r="AR34" s="2">
        <v>0</v>
      </c>
      <c r="AS34" s="2" t="s">
        <v>30</v>
      </c>
      <c r="AT34" s="2">
        <v>0.13200000000000001</v>
      </c>
      <c r="AU34" s="2" t="s">
        <v>30</v>
      </c>
      <c r="AV34" s="2">
        <v>0</v>
      </c>
      <c r="AW34" s="2">
        <v>2</v>
      </c>
      <c r="AX34" s="2">
        <v>52262601</v>
      </c>
      <c r="AY34" s="2">
        <v>1</v>
      </c>
      <c r="AZ34" s="2">
        <v>0</v>
      </c>
      <c r="BA34" s="2">
        <v>32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CX34" s="2">
        <f>Y34*'Source (2)'!I84</f>
        <v>34.584000000000003</v>
      </c>
      <c r="CY34" s="2">
        <f>AB34</f>
        <v>493.52</v>
      </c>
      <c r="CZ34" s="2">
        <f>AF34</f>
        <v>493.52</v>
      </c>
      <c r="DA34" s="2">
        <f>AJ34</f>
        <v>1</v>
      </c>
      <c r="DB34" s="2">
        <f t="shared" si="2"/>
        <v>65.14</v>
      </c>
      <c r="DC34" s="2">
        <f t="shared" si="3"/>
        <v>49.87</v>
      </c>
    </row>
    <row r="35" spans="1:107" x14ac:dyDescent="0.25">
      <c r="A35" s="2">
        <f>ROW('Source (2)'!A84)</f>
        <v>84</v>
      </c>
      <c r="B35" s="2">
        <v>52262273</v>
      </c>
      <c r="C35" s="2">
        <v>52262581</v>
      </c>
      <c r="D35" s="2">
        <v>49679228</v>
      </c>
      <c r="E35" s="2">
        <v>1</v>
      </c>
      <c r="F35" s="2">
        <v>1</v>
      </c>
      <c r="G35" s="2">
        <v>29</v>
      </c>
      <c r="H35" s="2">
        <v>2</v>
      </c>
      <c r="I35" s="2" t="s">
        <v>118</v>
      </c>
      <c r="J35" s="2" t="s">
        <v>378</v>
      </c>
      <c r="K35" s="2" t="s">
        <v>119</v>
      </c>
      <c r="L35" s="2">
        <v>1368</v>
      </c>
      <c r="N35" s="2">
        <v>1011</v>
      </c>
      <c r="O35" s="2" t="s">
        <v>82</v>
      </c>
      <c r="P35" s="2" t="s">
        <v>82</v>
      </c>
      <c r="Q35" s="2">
        <v>1</v>
      </c>
      <c r="W35" s="2">
        <v>0</v>
      </c>
      <c r="X35" s="2">
        <v>56280798</v>
      </c>
      <c r="Y35" s="2">
        <v>0.05</v>
      </c>
      <c r="AA35" s="2">
        <v>0</v>
      </c>
      <c r="AB35" s="2">
        <v>1153.51</v>
      </c>
      <c r="AC35" s="2">
        <v>408.74</v>
      </c>
      <c r="AD35" s="2">
        <v>0</v>
      </c>
      <c r="AE35" s="2">
        <v>0</v>
      </c>
      <c r="AF35" s="2">
        <v>1153.51</v>
      </c>
      <c r="AG35" s="2">
        <v>408.74</v>
      </c>
      <c r="AH35" s="2">
        <v>0</v>
      </c>
      <c r="AI35" s="2">
        <v>1</v>
      </c>
      <c r="AJ35" s="2">
        <v>1</v>
      </c>
      <c r="AK35" s="2">
        <v>1</v>
      </c>
      <c r="AL35" s="2">
        <v>1</v>
      </c>
      <c r="AN35" s="2">
        <v>0</v>
      </c>
      <c r="AO35" s="2">
        <v>1</v>
      </c>
      <c r="AP35" s="2">
        <v>0</v>
      </c>
      <c r="AQ35" s="2">
        <v>0</v>
      </c>
      <c r="AR35" s="2">
        <v>0</v>
      </c>
      <c r="AS35" s="2" t="s">
        <v>30</v>
      </c>
      <c r="AT35" s="2">
        <v>0.05</v>
      </c>
      <c r="AU35" s="2" t="s">
        <v>30</v>
      </c>
      <c r="AV35" s="2">
        <v>0</v>
      </c>
      <c r="AW35" s="2">
        <v>2</v>
      </c>
      <c r="AX35" s="2">
        <v>52262602</v>
      </c>
      <c r="AY35" s="2">
        <v>1</v>
      </c>
      <c r="AZ35" s="2">
        <v>0</v>
      </c>
      <c r="BA35" s="2">
        <v>33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CX35" s="2">
        <f>Y35*'Source (2)'!I84</f>
        <v>13.1</v>
      </c>
      <c r="CY35" s="2">
        <f>AB35</f>
        <v>1153.51</v>
      </c>
      <c r="CZ35" s="2">
        <f>AF35</f>
        <v>1153.51</v>
      </c>
      <c r="DA35" s="2">
        <f>AJ35</f>
        <v>1</v>
      </c>
      <c r="DB35" s="2">
        <f t="shared" si="2"/>
        <v>57.68</v>
      </c>
      <c r="DC35" s="2">
        <f t="shared" si="3"/>
        <v>20.440000000000001</v>
      </c>
    </row>
    <row r="36" spans="1:107" x14ac:dyDescent="0.25">
      <c r="A36" s="2">
        <f>ROW('Source (2)'!A84)</f>
        <v>84</v>
      </c>
      <c r="B36" s="2">
        <v>52262273</v>
      </c>
      <c r="C36" s="2">
        <v>52262581</v>
      </c>
      <c r="D36" s="2">
        <v>49679291</v>
      </c>
      <c r="E36" s="2">
        <v>1</v>
      </c>
      <c r="F36" s="2">
        <v>1</v>
      </c>
      <c r="G36" s="2">
        <v>29</v>
      </c>
      <c r="H36" s="2">
        <v>2</v>
      </c>
      <c r="I36" s="2" t="s">
        <v>91</v>
      </c>
      <c r="J36" s="2" t="s">
        <v>364</v>
      </c>
      <c r="K36" s="2" t="s">
        <v>92</v>
      </c>
      <c r="L36" s="2">
        <v>1368</v>
      </c>
      <c r="N36" s="2">
        <v>1011</v>
      </c>
      <c r="O36" s="2" t="s">
        <v>82</v>
      </c>
      <c r="P36" s="2" t="s">
        <v>82</v>
      </c>
      <c r="Q36" s="2">
        <v>1</v>
      </c>
      <c r="W36" s="2">
        <v>0</v>
      </c>
      <c r="X36" s="2">
        <v>-417828855</v>
      </c>
      <c r="Y36" s="2">
        <v>0.13200000000000001</v>
      </c>
      <c r="AA36" s="2">
        <v>0</v>
      </c>
      <c r="AB36" s="2">
        <v>6.02</v>
      </c>
      <c r="AC36" s="2">
        <v>0.02</v>
      </c>
      <c r="AD36" s="2">
        <v>0</v>
      </c>
      <c r="AE36" s="2">
        <v>0</v>
      </c>
      <c r="AF36" s="2">
        <v>6.02</v>
      </c>
      <c r="AG36" s="2">
        <v>0.02</v>
      </c>
      <c r="AH36" s="2">
        <v>0</v>
      </c>
      <c r="AI36" s="2">
        <v>1</v>
      </c>
      <c r="AJ36" s="2">
        <v>1</v>
      </c>
      <c r="AK36" s="2">
        <v>1</v>
      </c>
      <c r="AL36" s="2">
        <v>1</v>
      </c>
      <c r="AN36" s="2">
        <v>0</v>
      </c>
      <c r="AO36" s="2">
        <v>1</v>
      </c>
      <c r="AP36" s="2">
        <v>0</v>
      </c>
      <c r="AQ36" s="2">
        <v>0</v>
      </c>
      <c r="AR36" s="2">
        <v>0</v>
      </c>
      <c r="AS36" s="2" t="s">
        <v>30</v>
      </c>
      <c r="AT36" s="2">
        <v>0.13200000000000001</v>
      </c>
      <c r="AU36" s="2" t="s">
        <v>30</v>
      </c>
      <c r="AV36" s="2">
        <v>0</v>
      </c>
      <c r="AW36" s="2">
        <v>2</v>
      </c>
      <c r="AX36" s="2">
        <v>52262603</v>
      </c>
      <c r="AY36" s="2">
        <v>1</v>
      </c>
      <c r="AZ36" s="2">
        <v>0</v>
      </c>
      <c r="BA36" s="2">
        <v>34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CX36" s="2">
        <f>Y36*'Source (2)'!I84</f>
        <v>34.584000000000003</v>
      </c>
      <c r="CY36" s="2">
        <f>AB36</f>
        <v>6.02</v>
      </c>
      <c r="CZ36" s="2">
        <f>AF36</f>
        <v>6.02</v>
      </c>
      <c r="DA36" s="2">
        <f>AJ36</f>
        <v>1</v>
      </c>
      <c r="DB36" s="2">
        <f t="shared" si="2"/>
        <v>0.79</v>
      </c>
      <c r="DC36" s="2">
        <f t="shared" si="3"/>
        <v>0</v>
      </c>
    </row>
    <row r="37" spans="1:107" x14ac:dyDescent="0.25">
      <c r="A37" s="2">
        <f>ROW('Source (2)'!A84)</f>
        <v>84</v>
      </c>
      <c r="B37" s="2">
        <v>52262273</v>
      </c>
      <c r="C37" s="2">
        <v>52262581</v>
      </c>
      <c r="D37" s="2">
        <v>49678516</v>
      </c>
      <c r="E37" s="2">
        <v>1</v>
      </c>
      <c r="F37" s="2">
        <v>1</v>
      </c>
      <c r="G37" s="2">
        <v>29</v>
      </c>
      <c r="H37" s="2">
        <v>2</v>
      </c>
      <c r="I37" s="2" t="s">
        <v>120</v>
      </c>
      <c r="J37" s="2" t="s">
        <v>379</v>
      </c>
      <c r="K37" s="2" t="s">
        <v>121</v>
      </c>
      <c r="L37" s="2">
        <v>1368</v>
      </c>
      <c r="N37" s="2">
        <v>1011</v>
      </c>
      <c r="O37" s="2" t="s">
        <v>82</v>
      </c>
      <c r="P37" s="2" t="s">
        <v>82</v>
      </c>
      <c r="Q37" s="2">
        <v>1</v>
      </c>
      <c r="W37" s="2">
        <v>0</v>
      </c>
      <c r="X37" s="2">
        <v>-2018356411</v>
      </c>
      <c r="Y37" s="2">
        <v>8.8999999999999996E-2</v>
      </c>
      <c r="AA37" s="2">
        <v>0</v>
      </c>
      <c r="AB37" s="2">
        <v>857.91</v>
      </c>
      <c r="AC37" s="2">
        <v>479.87</v>
      </c>
      <c r="AD37" s="2">
        <v>0</v>
      </c>
      <c r="AE37" s="2">
        <v>0</v>
      </c>
      <c r="AF37" s="2">
        <v>857.91</v>
      </c>
      <c r="AG37" s="2">
        <v>479.87</v>
      </c>
      <c r="AH37" s="2">
        <v>0</v>
      </c>
      <c r="AI37" s="2">
        <v>1</v>
      </c>
      <c r="AJ37" s="2">
        <v>1</v>
      </c>
      <c r="AK37" s="2">
        <v>1</v>
      </c>
      <c r="AL37" s="2">
        <v>1</v>
      </c>
      <c r="AN37" s="2">
        <v>0</v>
      </c>
      <c r="AO37" s="2">
        <v>1</v>
      </c>
      <c r="AP37" s="2">
        <v>0</v>
      </c>
      <c r="AQ37" s="2">
        <v>0</v>
      </c>
      <c r="AR37" s="2">
        <v>0</v>
      </c>
      <c r="AS37" s="2" t="s">
        <v>30</v>
      </c>
      <c r="AT37" s="2">
        <v>8.8999999999999996E-2</v>
      </c>
      <c r="AU37" s="2" t="s">
        <v>30</v>
      </c>
      <c r="AV37" s="2">
        <v>0</v>
      </c>
      <c r="AW37" s="2">
        <v>2</v>
      </c>
      <c r="AX37" s="2">
        <v>52262604</v>
      </c>
      <c r="AY37" s="2">
        <v>1</v>
      </c>
      <c r="AZ37" s="2">
        <v>0</v>
      </c>
      <c r="BA37" s="2">
        <v>35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CX37" s="2">
        <f>Y37*'Source (2)'!I84</f>
        <v>23.318000000000001</v>
      </c>
      <c r="CY37" s="2">
        <f>AB37</f>
        <v>857.91</v>
      </c>
      <c r="CZ37" s="2">
        <f>AF37</f>
        <v>857.91</v>
      </c>
      <c r="DA37" s="2">
        <f>AJ37</f>
        <v>1</v>
      </c>
      <c r="DB37" s="2">
        <f t="shared" si="2"/>
        <v>76.349999999999994</v>
      </c>
      <c r="DC37" s="2">
        <f t="shared" si="3"/>
        <v>42.71</v>
      </c>
    </row>
    <row r="38" spans="1:107" x14ac:dyDescent="0.25">
      <c r="A38" s="2">
        <f>ROW('Source (2)'!A84)</f>
        <v>84</v>
      </c>
      <c r="B38" s="2">
        <v>52262273</v>
      </c>
      <c r="C38" s="2">
        <v>52262581</v>
      </c>
      <c r="D38" s="2">
        <v>49682289</v>
      </c>
      <c r="E38" s="2">
        <v>1</v>
      </c>
      <c r="F38" s="2">
        <v>1</v>
      </c>
      <c r="G38" s="2">
        <v>29</v>
      </c>
      <c r="H38" s="2">
        <v>3</v>
      </c>
      <c r="I38" s="2" t="s">
        <v>124</v>
      </c>
      <c r="J38" s="2" t="s">
        <v>380</v>
      </c>
      <c r="K38" s="2" t="s">
        <v>125</v>
      </c>
      <c r="L38" s="2">
        <v>1339</v>
      </c>
      <c r="N38" s="2">
        <v>1007</v>
      </c>
      <c r="O38" s="2" t="s">
        <v>62</v>
      </c>
      <c r="P38" s="2" t="s">
        <v>62</v>
      </c>
      <c r="Q38" s="2">
        <v>1</v>
      </c>
      <c r="W38" s="2">
        <v>0</v>
      </c>
      <c r="X38" s="2">
        <v>1740019385</v>
      </c>
      <c r="Y38" s="2">
        <v>5.8999999999999997E-2</v>
      </c>
      <c r="AA38" s="2">
        <v>3886.23</v>
      </c>
      <c r="AB38" s="2">
        <v>0</v>
      </c>
      <c r="AC38" s="2">
        <v>0</v>
      </c>
      <c r="AD38" s="2">
        <v>0</v>
      </c>
      <c r="AE38" s="2">
        <v>3886.23</v>
      </c>
      <c r="AF38" s="2">
        <v>0</v>
      </c>
      <c r="AG38" s="2">
        <v>0</v>
      </c>
      <c r="AH38" s="2">
        <v>0</v>
      </c>
      <c r="AI38" s="2">
        <v>1</v>
      </c>
      <c r="AJ38" s="2">
        <v>1</v>
      </c>
      <c r="AK38" s="2">
        <v>1</v>
      </c>
      <c r="AL38" s="2">
        <v>1</v>
      </c>
      <c r="AN38" s="2">
        <v>0</v>
      </c>
      <c r="AO38" s="2">
        <v>1</v>
      </c>
      <c r="AP38" s="2">
        <v>0</v>
      </c>
      <c r="AQ38" s="2">
        <v>0</v>
      </c>
      <c r="AR38" s="2">
        <v>0</v>
      </c>
      <c r="AS38" s="2" t="s">
        <v>30</v>
      </c>
      <c r="AT38" s="2">
        <v>5.8999999999999997E-2</v>
      </c>
      <c r="AU38" s="2" t="s">
        <v>30</v>
      </c>
      <c r="AV38" s="2">
        <v>0</v>
      </c>
      <c r="AW38" s="2">
        <v>2</v>
      </c>
      <c r="AX38" s="2">
        <v>52262605</v>
      </c>
      <c r="AY38" s="2">
        <v>1</v>
      </c>
      <c r="AZ38" s="2">
        <v>0</v>
      </c>
      <c r="BA38" s="2">
        <v>36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CX38" s="2">
        <f>Y38*'Source (2)'!I84</f>
        <v>15.458</v>
      </c>
      <c r="CY38" s="2">
        <f>AA38</f>
        <v>3886.23</v>
      </c>
      <c r="CZ38" s="2">
        <f>AE38</f>
        <v>3886.23</v>
      </c>
      <c r="DA38" s="2">
        <f>AI38</f>
        <v>1</v>
      </c>
      <c r="DB38" s="2">
        <f t="shared" si="2"/>
        <v>229.29</v>
      </c>
      <c r="DC38" s="2">
        <f t="shared" si="3"/>
        <v>0</v>
      </c>
    </row>
    <row r="39" spans="1:107" x14ac:dyDescent="0.25">
      <c r="A39" s="2">
        <f>ROW('Source (2)'!A84)</f>
        <v>84</v>
      </c>
      <c r="B39" s="2">
        <v>52262273</v>
      </c>
      <c r="C39" s="2">
        <v>52262581</v>
      </c>
      <c r="D39" s="2">
        <v>49682398</v>
      </c>
      <c r="E39" s="2">
        <v>1</v>
      </c>
      <c r="F39" s="2">
        <v>1</v>
      </c>
      <c r="G39" s="2">
        <v>29</v>
      </c>
      <c r="H39" s="2">
        <v>3</v>
      </c>
      <c r="I39" s="2" t="s">
        <v>286</v>
      </c>
      <c r="J39" s="2" t="s">
        <v>288</v>
      </c>
      <c r="K39" s="2" t="s">
        <v>287</v>
      </c>
      <c r="L39" s="2">
        <v>1339</v>
      </c>
      <c r="N39" s="2">
        <v>1007</v>
      </c>
      <c r="O39" s="2" t="s">
        <v>62</v>
      </c>
      <c r="P39" s="2" t="s">
        <v>62</v>
      </c>
      <c r="Q39" s="2">
        <v>1</v>
      </c>
      <c r="W39" s="2">
        <v>1</v>
      </c>
      <c r="X39" s="2">
        <v>820745631</v>
      </c>
      <c r="Y39" s="2">
        <v>-5.9999999999999995E-4</v>
      </c>
      <c r="AA39" s="2">
        <v>3427.48</v>
      </c>
      <c r="AB39" s="2">
        <v>0</v>
      </c>
      <c r="AC39" s="2">
        <v>0</v>
      </c>
      <c r="AD39" s="2">
        <v>0</v>
      </c>
      <c r="AE39" s="2">
        <v>3427.48</v>
      </c>
      <c r="AF39" s="2">
        <v>0</v>
      </c>
      <c r="AG39" s="2">
        <v>0</v>
      </c>
      <c r="AH39" s="2">
        <v>0</v>
      </c>
      <c r="AI39" s="2">
        <v>1</v>
      </c>
      <c r="AJ39" s="2">
        <v>1</v>
      </c>
      <c r="AK39" s="2">
        <v>1</v>
      </c>
      <c r="AL39" s="2">
        <v>1</v>
      </c>
      <c r="AN39" s="2">
        <v>0</v>
      </c>
      <c r="AO39" s="2">
        <v>1</v>
      </c>
      <c r="AP39" s="2">
        <v>0</v>
      </c>
      <c r="AQ39" s="2">
        <v>0</v>
      </c>
      <c r="AR39" s="2">
        <v>0</v>
      </c>
      <c r="AS39" s="2" t="s">
        <v>30</v>
      </c>
      <c r="AT39" s="2">
        <v>-5.9999999999999995E-4</v>
      </c>
      <c r="AU39" s="2" t="s">
        <v>30</v>
      </c>
      <c r="AV39" s="2">
        <v>0</v>
      </c>
      <c r="AW39" s="2">
        <v>2</v>
      </c>
      <c r="AX39" s="2">
        <v>52262606</v>
      </c>
      <c r="AY39" s="2">
        <v>1</v>
      </c>
      <c r="AZ39" s="2">
        <v>6144</v>
      </c>
      <c r="BA39" s="2">
        <v>37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CX39" s="2">
        <f>Y39*'Source (2)'!I84</f>
        <v>-0.15720000000000001</v>
      </c>
      <c r="CY39" s="2">
        <f>AA39</f>
        <v>3427.48</v>
      </c>
      <c r="CZ39" s="2">
        <f>AE39</f>
        <v>3427.48</v>
      </c>
      <c r="DA39" s="2">
        <f>AI39</f>
        <v>1</v>
      </c>
      <c r="DB39" s="2">
        <f t="shared" si="2"/>
        <v>-2.06</v>
      </c>
      <c r="DC39" s="2">
        <f t="shared" si="3"/>
        <v>0</v>
      </c>
    </row>
    <row r="40" spans="1:107" x14ac:dyDescent="0.25">
      <c r="A40" s="2">
        <f>ROW('Source (2)'!A84)</f>
        <v>84</v>
      </c>
      <c r="B40" s="2">
        <v>52262273</v>
      </c>
      <c r="C40" s="2">
        <v>52262581</v>
      </c>
      <c r="D40" s="2">
        <v>49683146</v>
      </c>
      <c r="E40" s="2">
        <v>1</v>
      </c>
      <c r="F40" s="2">
        <v>1</v>
      </c>
      <c r="G40" s="2">
        <v>29</v>
      </c>
      <c r="H40" s="2">
        <v>3</v>
      </c>
      <c r="I40" s="2" t="s">
        <v>128</v>
      </c>
      <c r="J40" s="2" t="s">
        <v>381</v>
      </c>
      <c r="K40" s="2" t="s">
        <v>129</v>
      </c>
      <c r="L40" s="2">
        <v>1339</v>
      </c>
      <c r="N40" s="2">
        <v>1007</v>
      </c>
      <c r="O40" s="2" t="s">
        <v>62</v>
      </c>
      <c r="P40" s="2" t="s">
        <v>62</v>
      </c>
      <c r="Q40" s="2">
        <v>1</v>
      </c>
      <c r="W40" s="2">
        <v>0</v>
      </c>
      <c r="X40" s="2">
        <v>949035675</v>
      </c>
      <c r="Y40" s="2">
        <v>4.36E-2</v>
      </c>
      <c r="AA40" s="2">
        <v>7871.69</v>
      </c>
      <c r="AB40" s="2">
        <v>0</v>
      </c>
      <c r="AC40" s="2">
        <v>0</v>
      </c>
      <c r="AD40" s="2">
        <v>0</v>
      </c>
      <c r="AE40" s="2">
        <v>7871.69</v>
      </c>
      <c r="AF40" s="2">
        <v>0</v>
      </c>
      <c r="AG40" s="2">
        <v>0</v>
      </c>
      <c r="AH40" s="2">
        <v>0</v>
      </c>
      <c r="AI40" s="2">
        <v>1</v>
      </c>
      <c r="AJ40" s="2">
        <v>1</v>
      </c>
      <c r="AK40" s="2">
        <v>1</v>
      </c>
      <c r="AL40" s="2">
        <v>1</v>
      </c>
      <c r="AN40" s="2">
        <v>0</v>
      </c>
      <c r="AO40" s="2">
        <v>1</v>
      </c>
      <c r="AP40" s="2">
        <v>0</v>
      </c>
      <c r="AQ40" s="2">
        <v>0</v>
      </c>
      <c r="AR40" s="2">
        <v>0</v>
      </c>
      <c r="AS40" s="2" t="s">
        <v>30</v>
      </c>
      <c r="AT40" s="2">
        <v>4.36E-2</v>
      </c>
      <c r="AU40" s="2" t="s">
        <v>30</v>
      </c>
      <c r="AV40" s="2">
        <v>0</v>
      </c>
      <c r="AW40" s="2">
        <v>2</v>
      </c>
      <c r="AX40" s="2">
        <v>52262607</v>
      </c>
      <c r="AY40" s="2">
        <v>1</v>
      </c>
      <c r="AZ40" s="2">
        <v>0</v>
      </c>
      <c r="BA40" s="2">
        <v>38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CX40" s="2">
        <f>Y40*'Source (2)'!I84</f>
        <v>11.4232</v>
      </c>
      <c r="CY40" s="2">
        <f>AA40</f>
        <v>7871.69</v>
      </c>
      <c r="CZ40" s="2">
        <f>AE40</f>
        <v>7871.69</v>
      </c>
      <c r="DA40" s="2">
        <f>AI40</f>
        <v>1</v>
      </c>
      <c r="DB40" s="2">
        <f t="shared" si="2"/>
        <v>343.21</v>
      </c>
      <c r="DC40" s="2">
        <f t="shared" si="3"/>
        <v>0</v>
      </c>
    </row>
    <row r="41" spans="1:107" x14ac:dyDescent="0.25">
      <c r="A41" s="2">
        <f>ROW('Source (2)'!A84)</f>
        <v>84</v>
      </c>
      <c r="B41" s="2">
        <v>52262273</v>
      </c>
      <c r="C41" s="2">
        <v>52262581</v>
      </c>
      <c r="D41" s="2">
        <v>49677490</v>
      </c>
      <c r="E41" s="2">
        <v>29</v>
      </c>
      <c r="F41" s="2">
        <v>1</v>
      </c>
      <c r="G41" s="2">
        <v>29</v>
      </c>
      <c r="H41" s="2">
        <v>3</v>
      </c>
      <c r="I41" s="2" t="s">
        <v>289</v>
      </c>
      <c r="J41" s="2" t="s">
        <v>30</v>
      </c>
      <c r="K41" s="2" t="s">
        <v>290</v>
      </c>
      <c r="L41" s="2">
        <v>1348</v>
      </c>
      <c r="N41" s="2">
        <v>1009</v>
      </c>
      <c r="O41" s="2" t="s">
        <v>63</v>
      </c>
      <c r="P41" s="2" t="s">
        <v>63</v>
      </c>
      <c r="Q41" s="2">
        <v>1000</v>
      </c>
      <c r="W41" s="2">
        <v>1</v>
      </c>
      <c r="X41" s="2">
        <v>1489638031</v>
      </c>
      <c r="Y41" s="2">
        <v>-0.246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1</v>
      </c>
      <c r="AJ41" s="2">
        <v>1</v>
      </c>
      <c r="AK41" s="2">
        <v>1</v>
      </c>
      <c r="AL41" s="2">
        <v>1</v>
      </c>
      <c r="AN41" s="2">
        <v>0</v>
      </c>
      <c r="AO41" s="2">
        <v>1</v>
      </c>
      <c r="AP41" s="2">
        <v>0</v>
      </c>
      <c r="AQ41" s="2">
        <v>0</v>
      </c>
      <c r="AR41" s="2">
        <v>0</v>
      </c>
      <c r="AS41" s="2" t="s">
        <v>30</v>
      </c>
      <c r="AT41" s="2">
        <v>-0.246</v>
      </c>
      <c r="AU41" s="2" t="s">
        <v>30</v>
      </c>
      <c r="AV41" s="2">
        <v>0</v>
      </c>
      <c r="AW41" s="2">
        <v>2</v>
      </c>
      <c r="AX41" s="2">
        <v>52262608</v>
      </c>
      <c r="AY41" s="2">
        <v>1</v>
      </c>
      <c r="AZ41" s="2">
        <v>6144</v>
      </c>
      <c r="BA41" s="2">
        <v>39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CX41" s="2">
        <f>Y41*'Source (2)'!I84</f>
        <v>-64.451999999999998</v>
      </c>
      <c r="CY41" s="2">
        <f>AA41</f>
        <v>0</v>
      </c>
      <c r="CZ41" s="2">
        <f>AE41</f>
        <v>0</v>
      </c>
      <c r="DA41" s="2">
        <f>AI41</f>
        <v>1</v>
      </c>
      <c r="DB41" s="2">
        <f t="shared" si="2"/>
        <v>0</v>
      </c>
      <c r="DC41" s="2">
        <f t="shared" si="3"/>
        <v>0</v>
      </c>
    </row>
    <row r="42" spans="1:107" x14ac:dyDescent="0.25">
      <c r="A42" s="2">
        <f>ROW('Source (2)'!A87)</f>
        <v>87</v>
      </c>
      <c r="B42" s="2">
        <v>52262273</v>
      </c>
      <c r="C42" s="2">
        <v>52262611</v>
      </c>
      <c r="D42" s="2">
        <v>49679217</v>
      </c>
      <c r="E42" s="2">
        <v>1</v>
      </c>
      <c r="F42" s="2">
        <v>1</v>
      </c>
      <c r="G42" s="2">
        <v>29</v>
      </c>
      <c r="H42" s="2">
        <v>2</v>
      </c>
      <c r="I42" s="2" t="s">
        <v>85</v>
      </c>
      <c r="J42" s="2" t="s">
        <v>374</v>
      </c>
      <c r="K42" s="2" t="s">
        <v>86</v>
      </c>
      <c r="L42" s="2">
        <v>1368</v>
      </c>
      <c r="N42" s="2">
        <v>1011</v>
      </c>
      <c r="O42" s="2" t="s">
        <v>82</v>
      </c>
      <c r="P42" s="2" t="s">
        <v>82</v>
      </c>
      <c r="Q42" s="2">
        <v>1</v>
      </c>
      <c r="W42" s="2">
        <v>0</v>
      </c>
      <c r="X42" s="2">
        <v>2102615478</v>
      </c>
      <c r="Y42" s="2">
        <v>0.02</v>
      </c>
      <c r="AA42" s="2">
        <v>0</v>
      </c>
      <c r="AB42" s="2">
        <v>1070.1199999999999</v>
      </c>
      <c r="AC42" s="2">
        <v>332.66</v>
      </c>
      <c r="AD42" s="2">
        <v>0</v>
      </c>
      <c r="AE42" s="2">
        <v>0</v>
      </c>
      <c r="AF42" s="2">
        <v>1070.1199999999999</v>
      </c>
      <c r="AG42" s="2">
        <v>332.66</v>
      </c>
      <c r="AH42" s="2">
        <v>0</v>
      </c>
      <c r="AI42" s="2">
        <v>1</v>
      </c>
      <c r="AJ42" s="2">
        <v>1</v>
      </c>
      <c r="AK42" s="2">
        <v>1</v>
      </c>
      <c r="AL42" s="2">
        <v>1</v>
      </c>
      <c r="AN42" s="2">
        <v>0</v>
      </c>
      <c r="AO42" s="2">
        <v>1</v>
      </c>
      <c r="AP42" s="2">
        <v>0</v>
      </c>
      <c r="AQ42" s="2">
        <v>0</v>
      </c>
      <c r="AR42" s="2">
        <v>0</v>
      </c>
      <c r="AS42" s="2" t="s">
        <v>30</v>
      </c>
      <c r="AT42" s="2">
        <v>0.02</v>
      </c>
      <c r="AU42" s="2" t="s">
        <v>30</v>
      </c>
      <c r="AV42" s="2">
        <v>0</v>
      </c>
      <c r="AW42" s="2">
        <v>2</v>
      </c>
      <c r="AX42" s="2">
        <v>52262616</v>
      </c>
      <c r="AY42" s="2">
        <v>1</v>
      </c>
      <c r="AZ42" s="2">
        <v>0</v>
      </c>
      <c r="BA42" s="2">
        <v>40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CX42" s="2">
        <f>Y42*'Source (2)'!I87</f>
        <v>1.28904</v>
      </c>
      <c r="CY42" s="2">
        <f>AB42</f>
        <v>1070.1199999999999</v>
      </c>
      <c r="CZ42" s="2">
        <f>AF42</f>
        <v>1070.1199999999999</v>
      </c>
      <c r="DA42" s="2">
        <f>AJ42</f>
        <v>1</v>
      </c>
      <c r="DB42" s="2">
        <f t="shared" si="2"/>
        <v>21.4</v>
      </c>
      <c r="DC42" s="2">
        <f t="shared" si="3"/>
        <v>6.65</v>
      </c>
    </row>
    <row r="43" spans="1:107" x14ac:dyDescent="0.25">
      <c r="A43" s="2">
        <f>ROW('Source (2)'!A87)</f>
        <v>87</v>
      </c>
      <c r="B43" s="2">
        <v>52262273</v>
      </c>
      <c r="C43" s="2">
        <v>52262611</v>
      </c>
      <c r="D43" s="2">
        <v>49679218</v>
      </c>
      <c r="E43" s="2">
        <v>1</v>
      </c>
      <c r="F43" s="2">
        <v>1</v>
      </c>
      <c r="G43" s="2">
        <v>29</v>
      </c>
      <c r="H43" s="2">
        <v>2</v>
      </c>
      <c r="I43" s="2" t="s">
        <v>87</v>
      </c>
      <c r="J43" s="2" t="s">
        <v>375</v>
      </c>
      <c r="K43" s="2" t="s">
        <v>88</v>
      </c>
      <c r="L43" s="2">
        <v>1368</v>
      </c>
      <c r="N43" s="2">
        <v>1011</v>
      </c>
      <c r="O43" s="2" t="s">
        <v>82</v>
      </c>
      <c r="P43" s="2" t="s">
        <v>82</v>
      </c>
      <c r="Q43" s="2">
        <v>1</v>
      </c>
      <c r="W43" s="2">
        <v>0</v>
      </c>
      <c r="X43" s="2">
        <v>-421523076</v>
      </c>
      <c r="Y43" s="2">
        <v>1.7999999999999999E-2</v>
      </c>
      <c r="AA43" s="2">
        <v>0</v>
      </c>
      <c r="AB43" s="2">
        <v>1080.76</v>
      </c>
      <c r="AC43" s="2">
        <v>332.99</v>
      </c>
      <c r="AD43" s="2">
        <v>0</v>
      </c>
      <c r="AE43" s="2">
        <v>0</v>
      </c>
      <c r="AF43" s="2">
        <v>1080.76</v>
      </c>
      <c r="AG43" s="2">
        <v>332.99</v>
      </c>
      <c r="AH43" s="2">
        <v>0</v>
      </c>
      <c r="AI43" s="2">
        <v>1</v>
      </c>
      <c r="AJ43" s="2">
        <v>1</v>
      </c>
      <c r="AK43" s="2">
        <v>1</v>
      </c>
      <c r="AL43" s="2">
        <v>1</v>
      </c>
      <c r="AN43" s="2">
        <v>0</v>
      </c>
      <c r="AO43" s="2">
        <v>1</v>
      </c>
      <c r="AP43" s="2">
        <v>0</v>
      </c>
      <c r="AQ43" s="2">
        <v>0</v>
      </c>
      <c r="AR43" s="2">
        <v>0</v>
      </c>
      <c r="AS43" s="2" t="s">
        <v>30</v>
      </c>
      <c r="AT43" s="2">
        <v>1.7999999999999999E-2</v>
      </c>
      <c r="AU43" s="2" t="s">
        <v>30</v>
      </c>
      <c r="AV43" s="2">
        <v>0</v>
      </c>
      <c r="AW43" s="2">
        <v>2</v>
      </c>
      <c r="AX43" s="2">
        <v>52262617</v>
      </c>
      <c r="AY43" s="2">
        <v>1</v>
      </c>
      <c r="AZ43" s="2">
        <v>0</v>
      </c>
      <c r="BA43" s="2">
        <v>41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CX43" s="2">
        <f>Y43*'Source (2)'!I87</f>
        <v>1.1601360000000001</v>
      </c>
      <c r="CY43" s="2">
        <f>AB43</f>
        <v>1080.76</v>
      </c>
      <c r="CZ43" s="2">
        <f>AF43</f>
        <v>1080.76</v>
      </c>
      <c r="DA43" s="2">
        <f>AJ43</f>
        <v>1</v>
      </c>
      <c r="DB43" s="2">
        <f t="shared" si="2"/>
        <v>19.45</v>
      </c>
      <c r="DC43" s="2">
        <f t="shared" si="3"/>
        <v>5.99</v>
      </c>
    </row>
    <row r="44" spans="1:107" x14ac:dyDescent="0.25">
      <c r="A44" s="2">
        <f>ROW('Source (2)'!A88)</f>
        <v>88</v>
      </c>
      <c r="B44" s="2">
        <v>52262273</v>
      </c>
      <c r="C44" s="2">
        <v>52262618</v>
      </c>
      <c r="D44" s="2">
        <v>49679217</v>
      </c>
      <c r="E44" s="2">
        <v>1</v>
      </c>
      <c r="F44" s="2">
        <v>1</v>
      </c>
      <c r="G44" s="2">
        <v>29</v>
      </c>
      <c r="H44" s="2">
        <v>2</v>
      </c>
      <c r="I44" s="2" t="s">
        <v>85</v>
      </c>
      <c r="J44" s="2" t="s">
        <v>374</v>
      </c>
      <c r="K44" s="2" t="s">
        <v>86</v>
      </c>
      <c r="L44" s="2">
        <v>1368</v>
      </c>
      <c r="N44" s="2">
        <v>1011</v>
      </c>
      <c r="O44" s="2" t="s">
        <v>82</v>
      </c>
      <c r="P44" s="2" t="s">
        <v>82</v>
      </c>
      <c r="Q44" s="2">
        <v>1</v>
      </c>
      <c r="W44" s="2">
        <v>0</v>
      </c>
      <c r="X44" s="2">
        <v>2102615478</v>
      </c>
      <c r="Y44" s="2">
        <v>0.52</v>
      </c>
      <c r="AA44" s="2">
        <v>0</v>
      </c>
      <c r="AB44" s="2">
        <v>1070.1199999999999</v>
      </c>
      <c r="AC44" s="2">
        <v>332.66</v>
      </c>
      <c r="AD44" s="2">
        <v>0</v>
      </c>
      <c r="AE44" s="2">
        <v>0</v>
      </c>
      <c r="AF44" s="2">
        <v>1070.1199999999999</v>
      </c>
      <c r="AG44" s="2">
        <v>332.66</v>
      </c>
      <c r="AH44" s="2">
        <v>0</v>
      </c>
      <c r="AI44" s="2">
        <v>1</v>
      </c>
      <c r="AJ44" s="2">
        <v>1</v>
      </c>
      <c r="AK44" s="2">
        <v>1</v>
      </c>
      <c r="AL44" s="2">
        <v>1</v>
      </c>
      <c r="AN44" s="2">
        <v>0</v>
      </c>
      <c r="AO44" s="2">
        <v>1</v>
      </c>
      <c r="AP44" s="2">
        <v>1</v>
      </c>
      <c r="AQ44" s="2">
        <v>0</v>
      </c>
      <c r="AR44" s="2">
        <v>0</v>
      </c>
      <c r="AS44" s="2" t="s">
        <v>30</v>
      </c>
      <c r="AT44" s="2">
        <v>0.01</v>
      </c>
      <c r="AU44" s="2" t="s">
        <v>207</v>
      </c>
      <c r="AV44" s="2">
        <v>0</v>
      </c>
      <c r="AW44" s="2">
        <v>2</v>
      </c>
      <c r="AX44" s="2">
        <v>52262623</v>
      </c>
      <c r="AY44" s="2">
        <v>1</v>
      </c>
      <c r="AZ44" s="2">
        <v>0</v>
      </c>
      <c r="BA44" s="2">
        <v>42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CX44" s="2">
        <f>Y44*'Source (2)'!I88</f>
        <v>33.515039999999999</v>
      </c>
      <c r="CY44" s="2">
        <f>AB44</f>
        <v>1070.1199999999999</v>
      </c>
      <c r="CZ44" s="2">
        <f>AF44</f>
        <v>1070.1199999999999</v>
      </c>
      <c r="DA44" s="2">
        <f>AJ44</f>
        <v>1</v>
      </c>
      <c r="DB44" s="2">
        <f>ROUND((ROUND(AT44*CZ44,2)*52),6)</f>
        <v>556.4</v>
      </c>
      <c r="DC44" s="2">
        <f>ROUND((ROUND(AT44*AG44,2)*52),6)</f>
        <v>173.16</v>
      </c>
    </row>
    <row r="45" spans="1:107" x14ac:dyDescent="0.25">
      <c r="A45" s="2">
        <f>ROW('Source (2)'!A88)</f>
        <v>88</v>
      </c>
      <c r="B45" s="2">
        <v>52262273</v>
      </c>
      <c r="C45" s="2">
        <v>52262618</v>
      </c>
      <c r="D45" s="2">
        <v>49679218</v>
      </c>
      <c r="E45" s="2">
        <v>1</v>
      </c>
      <c r="F45" s="2">
        <v>1</v>
      </c>
      <c r="G45" s="2">
        <v>29</v>
      </c>
      <c r="H45" s="2">
        <v>2</v>
      </c>
      <c r="I45" s="2" t="s">
        <v>87</v>
      </c>
      <c r="J45" s="2" t="s">
        <v>375</v>
      </c>
      <c r="K45" s="2" t="s">
        <v>88</v>
      </c>
      <c r="L45" s="2">
        <v>1368</v>
      </c>
      <c r="N45" s="2">
        <v>1011</v>
      </c>
      <c r="O45" s="2" t="s">
        <v>82</v>
      </c>
      <c r="P45" s="2" t="s">
        <v>82</v>
      </c>
      <c r="Q45" s="2">
        <v>1</v>
      </c>
      <c r="W45" s="2">
        <v>0</v>
      </c>
      <c r="X45" s="2">
        <v>-421523076</v>
      </c>
      <c r="Y45" s="2">
        <v>0.41599999999999998</v>
      </c>
      <c r="AA45" s="2">
        <v>0</v>
      </c>
      <c r="AB45" s="2">
        <v>1080.76</v>
      </c>
      <c r="AC45" s="2">
        <v>332.99</v>
      </c>
      <c r="AD45" s="2">
        <v>0</v>
      </c>
      <c r="AE45" s="2">
        <v>0</v>
      </c>
      <c r="AF45" s="2">
        <v>1080.76</v>
      </c>
      <c r="AG45" s="2">
        <v>332.99</v>
      </c>
      <c r="AH45" s="2">
        <v>0</v>
      </c>
      <c r="AI45" s="2">
        <v>1</v>
      </c>
      <c r="AJ45" s="2">
        <v>1</v>
      </c>
      <c r="AK45" s="2">
        <v>1</v>
      </c>
      <c r="AL45" s="2">
        <v>1</v>
      </c>
      <c r="AN45" s="2">
        <v>0</v>
      </c>
      <c r="AO45" s="2">
        <v>1</v>
      </c>
      <c r="AP45" s="2">
        <v>1</v>
      </c>
      <c r="AQ45" s="2">
        <v>0</v>
      </c>
      <c r="AR45" s="2">
        <v>0</v>
      </c>
      <c r="AS45" s="2" t="s">
        <v>30</v>
      </c>
      <c r="AT45" s="2">
        <v>8.0000000000000002E-3</v>
      </c>
      <c r="AU45" s="2" t="s">
        <v>207</v>
      </c>
      <c r="AV45" s="2">
        <v>0</v>
      </c>
      <c r="AW45" s="2">
        <v>2</v>
      </c>
      <c r="AX45" s="2">
        <v>52262624</v>
      </c>
      <c r="AY45" s="2">
        <v>1</v>
      </c>
      <c r="AZ45" s="2">
        <v>0</v>
      </c>
      <c r="BA45" s="2">
        <v>43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CX45" s="2">
        <f>Y45*'Source (2)'!I88</f>
        <v>26.812031999999999</v>
      </c>
      <c r="CY45" s="2">
        <f>AB45</f>
        <v>1080.76</v>
      </c>
      <c r="CZ45" s="2">
        <f>AF45</f>
        <v>1080.76</v>
      </c>
      <c r="DA45" s="2">
        <f>AJ45</f>
        <v>1</v>
      </c>
      <c r="DB45" s="2">
        <f>ROUND((ROUND(AT45*CZ45,2)*52),6)</f>
        <v>449.8</v>
      </c>
      <c r="DC45" s="2">
        <f>ROUND((ROUND(AT45*AG45,2)*52),6)</f>
        <v>138.32</v>
      </c>
    </row>
    <row r="46" spans="1:107" x14ac:dyDescent="0.25">
      <c r="A46" s="2">
        <f>ROW('Source (2)'!A89)</f>
        <v>89</v>
      </c>
      <c r="B46" s="2">
        <v>52262273</v>
      </c>
      <c r="C46" s="2">
        <v>52262625</v>
      </c>
      <c r="D46" s="2">
        <v>49677488</v>
      </c>
      <c r="E46" s="2">
        <v>29</v>
      </c>
      <c r="F46" s="2">
        <v>1</v>
      </c>
      <c r="G46" s="2">
        <v>29</v>
      </c>
      <c r="H46" s="2">
        <v>1</v>
      </c>
      <c r="I46" s="2" t="s">
        <v>359</v>
      </c>
      <c r="J46" s="2" t="s">
        <v>30</v>
      </c>
      <c r="K46" s="2" t="s">
        <v>360</v>
      </c>
      <c r="L46" s="2">
        <v>1191</v>
      </c>
      <c r="N46" s="2">
        <v>1013</v>
      </c>
      <c r="O46" s="2" t="s">
        <v>361</v>
      </c>
      <c r="P46" s="2" t="s">
        <v>361</v>
      </c>
      <c r="Q46" s="2">
        <v>1</v>
      </c>
      <c r="W46" s="2">
        <v>0</v>
      </c>
      <c r="X46" s="2">
        <v>476480486</v>
      </c>
      <c r="Y46" s="2">
        <v>80.27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1</v>
      </c>
      <c r="AJ46" s="2">
        <v>1</v>
      </c>
      <c r="AK46" s="2">
        <v>1</v>
      </c>
      <c r="AL46" s="2">
        <v>1</v>
      </c>
      <c r="AN46" s="2">
        <v>0</v>
      </c>
      <c r="AO46" s="2">
        <v>1</v>
      </c>
      <c r="AP46" s="2">
        <v>0</v>
      </c>
      <c r="AQ46" s="2">
        <v>0</v>
      </c>
      <c r="AR46" s="2">
        <v>0</v>
      </c>
      <c r="AS46" s="2" t="s">
        <v>30</v>
      </c>
      <c r="AT46" s="2">
        <v>80.27</v>
      </c>
      <c r="AU46" s="2" t="s">
        <v>30</v>
      </c>
      <c r="AV46" s="2">
        <v>1</v>
      </c>
      <c r="AW46" s="2">
        <v>2</v>
      </c>
      <c r="AX46" s="2">
        <v>52262634</v>
      </c>
      <c r="AY46" s="2">
        <v>1</v>
      </c>
      <c r="AZ46" s="2">
        <v>0</v>
      </c>
      <c r="BA46" s="2">
        <v>44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CX46" s="2">
        <f>Y46*'Source (2)'!I89</f>
        <v>189.43719999999999</v>
      </c>
      <c r="CY46" s="2">
        <f>AD46</f>
        <v>0</v>
      </c>
      <c r="CZ46" s="2">
        <f>AH46</f>
        <v>0</v>
      </c>
      <c r="DA46" s="2">
        <f>AL46</f>
        <v>1</v>
      </c>
      <c r="DB46" s="2">
        <f t="shared" ref="DB46:DB62" si="4">ROUND(ROUND(AT46*CZ46,2),6)</f>
        <v>0</v>
      </c>
      <c r="DC46" s="2">
        <f t="shared" ref="DC46:DC62" si="5">ROUND(ROUND(AT46*AG46,2),6)</f>
        <v>0</v>
      </c>
    </row>
    <row r="47" spans="1:107" x14ac:dyDescent="0.25">
      <c r="A47" s="2">
        <f>ROW('Source (2)'!A89)</f>
        <v>89</v>
      </c>
      <c r="B47" s="2">
        <v>52262273</v>
      </c>
      <c r="C47" s="2">
        <v>52262625</v>
      </c>
      <c r="D47" s="2">
        <v>49682322</v>
      </c>
      <c r="E47" s="2">
        <v>1</v>
      </c>
      <c r="F47" s="2">
        <v>1</v>
      </c>
      <c r="G47" s="2">
        <v>29</v>
      </c>
      <c r="H47" s="2">
        <v>3</v>
      </c>
      <c r="I47" s="2" t="s">
        <v>126</v>
      </c>
      <c r="J47" s="2" t="s">
        <v>382</v>
      </c>
      <c r="K47" s="2" t="s">
        <v>127</v>
      </c>
      <c r="L47" s="2">
        <v>1339</v>
      </c>
      <c r="N47" s="2">
        <v>1007</v>
      </c>
      <c r="O47" s="2" t="s">
        <v>62</v>
      </c>
      <c r="P47" s="2" t="s">
        <v>62</v>
      </c>
      <c r="Q47" s="2">
        <v>1</v>
      </c>
      <c r="W47" s="2">
        <v>0</v>
      </c>
      <c r="X47" s="2">
        <v>-113610528</v>
      </c>
      <c r="Y47" s="2">
        <v>5.9</v>
      </c>
      <c r="AA47" s="2">
        <v>3917.3</v>
      </c>
      <c r="AB47" s="2">
        <v>0</v>
      </c>
      <c r="AC47" s="2">
        <v>0</v>
      </c>
      <c r="AD47" s="2">
        <v>0</v>
      </c>
      <c r="AE47" s="2">
        <v>3917.3</v>
      </c>
      <c r="AF47" s="2">
        <v>0</v>
      </c>
      <c r="AG47" s="2">
        <v>0</v>
      </c>
      <c r="AH47" s="2">
        <v>0</v>
      </c>
      <c r="AI47" s="2">
        <v>1</v>
      </c>
      <c r="AJ47" s="2">
        <v>1</v>
      </c>
      <c r="AK47" s="2">
        <v>1</v>
      </c>
      <c r="AL47" s="2">
        <v>1</v>
      </c>
      <c r="AN47" s="2">
        <v>0</v>
      </c>
      <c r="AO47" s="2">
        <v>1</v>
      </c>
      <c r="AP47" s="2">
        <v>0</v>
      </c>
      <c r="AQ47" s="2">
        <v>0</v>
      </c>
      <c r="AR47" s="2">
        <v>0</v>
      </c>
      <c r="AS47" s="2" t="s">
        <v>30</v>
      </c>
      <c r="AT47" s="2">
        <v>5.9</v>
      </c>
      <c r="AU47" s="2" t="s">
        <v>30</v>
      </c>
      <c r="AV47" s="2">
        <v>0</v>
      </c>
      <c r="AW47" s="2">
        <v>2</v>
      </c>
      <c r="AX47" s="2">
        <v>52262635</v>
      </c>
      <c r="AY47" s="2">
        <v>1</v>
      </c>
      <c r="AZ47" s="2">
        <v>0</v>
      </c>
      <c r="BA47" s="2">
        <v>45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CX47" s="2">
        <f>Y47*'Source (2)'!I89</f>
        <v>13.923999999999999</v>
      </c>
      <c r="CY47" s="2">
        <f>AA47</f>
        <v>3917.3</v>
      </c>
      <c r="CZ47" s="2">
        <f>AE47</f>
        <v>3917.3</v>
      </c>
      <c r="DA47" s="2">
        <f>AI47</f>
        <v>1</v>
      </c>
      <c r="DB47" s="2">
        <f t="shared" si="4"/>
        <v>23112.07</v>
      </c>
      <c r="DC47" s="2">
        <f t="shared" si="5"/>
        <v>0</v>
      </c>
    </row>
    <row r="48" spans="1:107" x14ac:dyDescent="0.25">
      <c r="A48" s="2">
        <f>ROW('Source (2)'!A89)</f>
        <v>89</v>
      </c>
      <c r="B48" s="2">
        <v>52262273</v>
      </c>
      <c r="C48" s="2">
        <v>52262625</v>
      </c>
      <c r="D48" s="2">
        <v>49682398</v>
      </c>
      <c r="E48" s="2">
        <v>1</v>
      </c>
      <c r="F48" s="2">
        <v>1</v>
      </c>
      <c r="G48" s="2">
        <v>29</v>
      </c>
      <c r="H48" s="2">
        <v>3</v>
      </c>
      <c r="I48" s="2" t="s">
        <v>286</v>
      </c>
      <c r="J48" s="2" t="s">
        <v>288</v>
      </c>
      <c r="K48" s="2" t="s">
        <v>287</v>
      </c>
      <c r="L48" s="2">
        <v>1339</v>
      </c>
      <c r="N48" s="2">
        <v>1007</v>
      </c>
      <c r="O48" s="2" t="s">
        <v>62</v>
      </c>
      <c r="P48" s="2" t="s">
        <v>62</v>
      </c>
      <c r="Q48" s="2">
        <v>1</v>
      </c>
      <c r="W48" s="2">
        <v>1</v>
      </c>
      <c r="X48" s="2">
        <v>820745631</v>
      </c>
      <c r="Y48" s="2">
        <v>-0.06</v>
      </c>
      <c r="AA48" s="2">
        <v>3427.48</v>
      </c>
      <c r="AB48" s="2">
        <v>0</v>
      </c>
      <c r="AC48" s="2">
        <v>0</v>
      </c>
      <c r="AD48" s="2">
        <v>0</v>
      </c>
      <c r="AE48" s="2">
        <v>3427.48</v>
      </c>
      <c r="AF48" s="2">
        <v>0</v>
      </c>
      <c r="AG48" s="2">
        <v>0</v>
      </c>
      <c r="AH48" s="2">
        <v>0</v>
      </c>
      <c r="AI48" s="2">
        <v>1</v>
      </c>
      <c r="AJ48" s="2">
        <v>1</v>
      </c>
      <c r="AK48" s="2">
        <v>1</v>
      </c>
      <c r="AL48" s="2">
        <v>1</v>
      </c>
      <c r="AN48" s="2">
        <v>0</v>
      </c>
      <c r="AO48" s="2">
        <v>1</v>
      </c>
      <c r="AP48" s="2">
        <v>0</v>
      </c>
      <c r="AQ48" s="2">
        <v>0</v>
      </c>
      <c r="AR48" s="2">
        <v>0</v>
      </c>
      <c r="AS48" s="2" t="s">
        <v>30</v>
      </c>
      <c r="AT48" s="2">
        <v>-0.06</v>
      </c>
      <c r="AU48" s="2" t="s">
        <v>30</v>
      </c>
      <c r="AV48" s="2">
        <v>0</v>
      </c>
      <c r="AW48" s="2">
        <v>2</v>
      </c>
      <c r="AX48" s="2">
        <v>52262636</v>
      </c>
      <c r="AY48" s="2">
        <v>1</v>
      </c>
      <c r="AZ48" s="2">
        <v>6144</v>
      </c>
      <c r="BA48" s="2">
        <v>46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CX48" s="2">
        <f>Y48*'Source (2)'!I89</f>
        <v>-0.1416</v>
      </c>
      <c r="CY48" s="2">
        <f>AA48</f>
        <v>3427.48</v>
      </c>
      <c r="CZ48" s="2">
        <f>AE48</f>
        <v>3427.48</v>
      </c>
      <c r="DA48" s="2">
        <f>AI48</f>
        <v>1</v>
      </c>
      <c r="DB48" s="2">
        <f t="shared" si="4"/>
        <v>-205.65</v>
      </c>
      <c r="DC48" s="2">
        <f t="shared" si="5"/>
        <v>0</v>
      </c>
    </row>
    <row r="49" spans="1:107" x14ac:dyDescent="0.25">
      <c r="A49" s="2">
        <f>ROW('Source (2)'!A89)</f>
        <v>89</v>
      </c>
      <c r="B49" s="2">
        <v>52262273</v>
      </c>
      <c r="C49" s="2">
        <v>52262625</v>
      </c>
      <c r="D49" s="2">
        <v>49683146</v>
      </c>
      <c r="E49" s="2">
        <v>1</v>
      </c>
      <c r="F49" s="2">
        <v>1</v>
      </c>
      <c r="G49" s="2">
        <v>29</v>
      </c>
      <c r="H49" s="2">
        <v>3</v>
      </c>
      <c r="I49" s="2" t="s">
        <v>128</v>
      </c>
      <c r="J49" s="2" t="s">
        <v>381</v>
      </c>
      <c r="K49" s="2" t="s">
        <v>129</v>
      </c>
      <c r="L49" s="2">
        <v>1339</v>
      </c>
      <c r="N49" s="2">
        <v>1007</v>
      </c>
      <c r="O49" s="2" t="s">
        <v>62</v>
      </c>
      <c r="P49" s="2" t="s">
        <v>62</v>
      </c>
      <c r="Q49" s="2">
        <v>1</v>
      </c>
      <c r="W49" s="2">
        <v>0</v>
      </c>
      <c r="X49" s="2">
        <v>949035675</v>
      </c>
      <c r="Y49" s="2">
        <v>4.3</v>
      </c>
      <c r="AA49" s="2">
        <v>7871.69</v>
      </c>
      <c r="AB49" s="2">
        <v>0</v>
      </c>
      <c r="AC49" s="2">
        <v>0</v>
      </c>
      <c r="AD49" s="2">
        <v>0</v>
      </c>
      <c r="AE49" s="2">
        <v>7871.69</v>
      </c>
      <c r="AF49" s="2">
        <v>0</v>
      </c>
      <c r="AG49" s="2">
        <v>0</v>
      </c>
      <c r="AH49" s="2">
        <v>0</v>
      </c>
      <c r="AI49" s="2">
        <v>1</v>
      </c>
      <c r="AJ49" s="2">
        <v>1</v>
      </c>
      <c r="AK49" s="2">
        <v>1</v>
      </c>
      <c r="AL49" s="2">
        <v>1</v>
      </c>
      <c r="AN49" s="2">
        <v>0</v>
      </c>
      <c r="AO49" s="2">
        <v>1</v>
      </c>
      <c r="AP49" s="2">
        <v>0</v>
      </c>
      <c r="AQ49" s="2">
        <v>0</v>
      </c>
      <c r="AR49" s="2">
        <v>0</v>
      </c>
      <c r="AS49" s="2" t="s">
        <v>30</v>
      </c>
      <c r="AT49" s="2">
        <v>4.3</v>
      </c>
      <c r="AU49" s="2" t="s">
        <v>30</v>
      </c>
      <c r="AV49" s="2">
        <v>0</v>
      </c>
      <c r="AW49" s="2">
        <v>2</v>
      </c>
      <c r="AX49" s="2">
        <v>52262637</v>
      </c>
      <c r="AY49" s="2">
        <v>1</v>
      </c>
      <c r="AZ49" s="2">
        <v>0</v>
      </c>
      <c r="BA49" s="2">
        <v>47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CX49" s="2">
        <f>Y49*'Source (2)'!I89</f>
        <v>10.148</v>
      </c>
      <c r="CY49" s="2">
        <f>AA49</f>
        <v>7871.69</v>
      </c>
      <c r="CZ49" s="2">
        <f>AE49</f>
        <v>7871.69</v>
      </c>
      <c r="DA49" s="2">
        <f>AI49</f>
        <v>1</v>
      </c>
      <c r="DB49" s="2">
        <f t="shared" si="4"/>
        <v>33848.269999999997</v>
      </c>
      <c r="DC49" s="2">
        <f t="shared" si="5"/>
        <v>0</v>
      </c>
    </row>
    <row r="50" spans="1:107" x14ac:dyDescent="0.25">
      <c r="A50" s="2">
        <f>ROW('Source (2)'!A91)</f>
        <v>91</v>
      </c>
      <c r="B50" s="2">
        <v>52262273</v>
      </c>
      <c r="C50" s="2">
        <v>52262639</v>
      </c>
      <c r="D50" s="2">
        <v>49677488</v>
      </c>
      <c r="E50" s="2">
        <v>29</v>
      </c>
      <c r="F50" s="2">
        <v>1</v>
      </c>
      <c r="G50" s="2">
        <v>29</v>
      </c>
      <c r="H50" s="2">
        <v>1</v>
      </c>
      <c r="I50" s="2" t="s">
        <v>359</v>
      </c>
      <c r="J50" s="2" t="s">
        <v>30</v>
      </c>
      <c r="K50" s="2" t="s">
        <v>360</v>
      </c>
      <c r="L50" s="2">
        <v>1191</v>
      </c>
      <c r="N50" s="2">
        <v>1013</v>
      </c>
      <c r="O50" s="2" t="s">
        <v>361</v>
      </c>
      <c r="P50" s="2" t="s">
        <v>361</v>
      </c>
      <c r="Q50" s="2">
        <v>1</v>
      </c>
      <c r="W50" s="2">
        <v>0</v>
      </c>
      <c r="X50" s="2">
        <v>476480486</v>
      </c>
      <c r="Y50" s="2">
        <v>1.1499999999999999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1</v>
      </c>
      <c r="AJ50" s="2">
        <v>1</v>
      </c>
      <c r="AK50" s="2">
        <v>1</v>
      </c>
      <c r="AL50" s="2">
        <v>1</v>
      </c>
      <c r="AN50" s="2">
        <v>0</v>
      </c>
      <c r="AO50" s="2">
        <v>1</v>
      </c>
      <c r="AP50" s="2">
        <v>0</v>
      </c>
      <c r="AQ50" s="2">
        <v>0</v>
      </c>
      <c r="AR50" s="2">
        <v>0</v>
      </c>
      <c r="AS50" s="2" t="s">
        <v>30</v>
      </c>
      <c r="AT50" s="2">
        <v>1.1499999999999999</v>
      </c>
      <c r="AU50" s="2" t="s">
        <v>30</v>
      </c>
      <c r="AV50" s="2">
        <v>1</v>
      </c>
      <c r="AW50" s="2">
        <v>2</v>
      </c>
      <c r="AX50" s="2">
        <v>52262644</v>
      </c>
      <c r="AY50" s="2">
        <v>1</v>
      </c>
      <c r="AZ50" s="2">
        <v>0</v>
      </c>
      <c r="BA50" s="2">
        <v>48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CX50" s="2">
        <f>Y50*'Source (2)'!I91</f>
        <v>5.7270000000000003</v>
      </c>
      <c r="CY50" s="2">
        <f>AD50</f>
        <v>0</v>
      </c>
      <c r="CZ50" s="2">
        <f>AH50</f>
        <v>0</v>
      </c>
      <c r="DA50" s="2">
        <f>AL50</f>
        <v>1</v>
      </c>
      <c r="DB50" s="2">
        <f t="shared" si="4"/>
        <v>0</v>
      </c>
      <c r="DC50" s="2">
        <f t="shared" si="5"/>
        <v>0</v>
      </c>
    </row>
    <row r="51" spans="1:107" x14ac:dyDescent="0.25">
      <c r="A51" s="2">
        <f>ROW('Source (2)'!A91)</f>
        <v>91</v>
      </c>
      <c r="B51" s="2">
        <v>52262273</v>
      </c>
      <c r="C51" s="2">
        <v>52262639</v>
      </c>
      <c r="D51" s="2">
        <v>49682152</v>
      </c>
      <c r="E51" s="2">
        <v>1</v>
      </c>
      <c r="F51" s="2">
        <v>1</v>
      </c>
      <c r="G51" s="2">
        <v>29</v>
      </c>
      <c r="H51" s="2">
        <v>3</v>
      </c>
      <c r="I51" s="2" t="s">
        <v>122</v>
      </c>
      <c r="J51" s="2" t="s">
        <v>383</v>
      </c>
      <c r="K51" s="2" t="s">
        <v>123</v>
      </c>
      <c r="L51" s="2">
        <v>1354</v>
      </c>
      <c r="N51" s="2">
        <v>1010</v>
      </c>
      <c r="O51" s="2" t="s">
        <v>67</v>
      </c>
      <c r="P51" s="2" t="s">
        <v>67</v>
      </c>
      <c r="Q51" s="2">
        <v>1</v>
      </c>
      <c r="W51" s="2">
        <v>0</v>
      </c>
      <c r="X51" s="2">
        <v>889322266</v>
      </c>
      <c r="Y51" s="2">
        <v>100.1</v>
      </c>
      <c r="AA51" s="2">
        <v>140.25</v>
      </c>
      <c r="AB51" s="2">
        <v>0</v>
      </c>
      <c r="AC51" s="2">
        <v>0</v>
      </c>
      <c r="AD51" s="2">
        <v>0</v>
      </c>
      <c r="AE51" s="2">
        <v>140.25</v>
      </c>
      <c r="AF51" s="2">
        <v>0</v>
      </c>
      <c r="AG51" s="2">
        <v>0</v>
      </c>
      <c r="AH51" s="2">
        <v>0</v>
      </c>
      <c r="AI51" s="2">
        <v>1</v>
      </c>
      <c r="AJ51" s="2">
        <v>1</v>
      </c>
      <c r="AK51" s="2">
        <v>1</v>
      </c>
      <c r="AL51" s="2">
        <v>1</v>
      </c>
      <c r="AN51" s="2">
        <v>0</v>
      </c>
      <c r="AO51" s="2">
        <v>1</v>
      </c>
      <c r="AP51" s="2">
        <v>0</v>
      </c>
      <c r="AQ51" s="2">
        <v>0</v>
      </c>
      <c r="AR51" s="2">
        <v>0</v>
      </c>
      <c r="AS51" s="2" t="s">
        <v>30</v>
      </c>
      <c r="AT51" s="2">
        <v>100.1</v>
      </c>
      <c r="AU51" s="2" t="s">
        <v>30</v>
      </c>
      <c r="AV51" s="2">
        <v>0</v>
      </c>
      <c r="AW51" s="2">
        <v>2</v>
      </c>
      <c r="AX51" s="2">
        <v>52262645</v>
      </c>
      <c r="AY51" s="2">
        <v>1</v>
      </c>
      <c r="AZ51" s="2">
        <v>0</v>
      </c>
      <c r="BA51" s="2">
        <v>49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CX51" s="2">
        <f>Y51*'Source (2)'!I91</f>
        <v>498.49799999999999</v>
      </c>
      <c r="CY51" s="2">
        <f>AA51</f>
        <v>140.25</v>
      </c>
      <c r="CZ51" s="2">
        <f>AE51</f>
        <v>140.25</v>
      </c>
      <c r="DA51" s="2">
        <f>AI51</f>
        <v>1</v>
      </c>
      <c r="DB51" s="2">
        <f t="shared" si="4"/>
        <v>14039.03</v>
      </c>
      <c r="DC51" s="2">
        <f t="shared" si="5"/>
        <v>0</v>
      </c>
    </row>
    <row r="52" spans="1:107" x14ac:dyDescent="0.25">
      <c r="A52" s="2">
        <f>ROW('Source (2)'!A184)</f>
        <v>184</v>
      </c>
      <c r="B52" s="2">
        <v>52262273</v>
      </c>
      <c r="C52" s="2">
        <v>52264476</v>
      </c>
      <c r="D52" s="2">
        <v>49677488</v>
      </c>
      <c r="E52" s="2">
        <v>29</v>
      </c>
      <c r="F52" s="2">
        <v>1</v>
      </c>
      <c r="G52" s="2">
        <v>29</v>
      </c>
      <c r="H52" s="2">
        <v>1</v>
      </c>
      <c r="I52" s="2" t="s">
        <v>359</v>
      </c>
      <c r="J52" s="2" t="s">
        <v>30</v>
      </c>
      <c r="K52" s="2" t="s">
        <v>360</v>
      </c>
      <c r="L52" s="2">
        <v>1191</v>
      </c>
      <c r="N52" s="2">
        <v>1013</v>
      </c>
      <c r="O52" s="2" t="s">
        <v>361</v>
      </c>
      <c r="P52" s="2" t="s">
        <v>361</v>
      </c>
      <c r="Q52" s="2">
        <v>1</v>
      </c>
      <c r="W52" s="2">
        <v>0</v>
      </c>
      <c r="X52" s="2">
        <v>476480486</v>
      </c>
      <c r="Y52" s="2">
        <v>30.8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1</v>
      </c>
      <c r="AJ52" s="2">
        <v>1</v>
      </c>
      <c r="AK52" s="2">
        <v>1</v>
      </c>
      <c r="AL52" s="2">
        <v>1</v>
      </c>
      <c r="AN52" s="2">
        <v>0</v>
      </c>
      <c r="AO52" s="2">
        <v>1</v>
      </c>
      <c r="AP52" s="2">
        <v>0</v>
      </c>
      <c r="AQ52" s="2">
        <v>0</v>
      </c>
      <c r="AR52" s="2">
        <v>0</v>
      </c>
      <c r="AS52" s="2" t="s">
        <v>30</v>
      </c>
      <c r="AT52" s="2">
        <v>30.8</v>
      </c>
      <c r="AU52" s="2" t="s">
        <v>30</v>
      </c>
      <c r="AV52" s="2">
        <v>1</v>
      </c>
      <c r="AW52" s="2">
        <v>2</v>
      </c>
      <c r="AX52" s="2">
        <v>52264481</v>
      </c>
      <c r="AY52" s="2">
        <v>1</v>
      </c>
      <c r="AZ52" s="2">
        <v>0</v>
      </c>
      <c r="BA52" s="2">
        <v>50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CX52" s="2">
        <f>Y52*'Source (2)'!I184</f>
        <v>69.3</v>
      </c>
      <c r="CY52" s="2">
        <f>AD52</f>
        <v>0</v>
      </c>
      <c r="CZ52" s="2">
        <f>AH52</f>
        <v>0</v>
      </c>
      <c r="DA52" s="2">
        <f>AL52</f>
        <v>1</v>
      </c>
      <c r="DB52" s="2">
        <f t="shared" si="4"/>
        <v>0</v>
      </c>
      <c r="DC52" s="2">
        <f t="shared" si="5"/>
        <v>0</v>
      </c>
    </row>
    <row r="53" spans="1:107" x14ac:dyDescent="0.25">
      <c r="A53" s="2">
        <f>ROW('Source (2)'!A184)</f>
        <v>184</v>
      </c>
      <c r="B53" s="2">
        <v>52262273</v>
      </c>
      <c r="C53" s="2">
        <v>52264476</v>
      </c>
      <c r="D53" s="2">
        <v>49679009</v>
      </c>
      <c r="E53" s="2">
        <v>1</v>
      </c>
      <c r="F53" s="2">
        <v>1</v>
      </c>
      <c r="G53" s="2">
        <v>29</v>
      </c>
      <c r="H53" s="2">
        <v>2</v>
      </c>
      <c r="I53" s="2" t="s">
        <v>134</v>
      </c>
      <c r="J53" s="2" t="s">
        <v>384</v>
      </c>
      <c r="K53" s="2" t="s">
        <v>135</v>
      </c>
      <c r="L53" s="2">
        <v>1368</v>
      </c>
      <c r="N53" s="2">
        <v>1011</v>
      </c>
      <c r="O53" s="2" t="s">
        <v>82</v>
      </c>
      <c r="P53" s="2" t="s">
        <v>82</v>
      </c>
      <c r="Q53" s="2">
        <v>1</v>
      </c>
      <c r="W53" s="2">
        <v>0</v>
      </c>
      <c r="X53" s="2">
        <v>1812925716</v>
      </c>
      <c r="Y53" s="2">
        <v>0.06</v>
      </c>
      <c r="AA53" s="2">
        <v>0</v>
      </c>
      <c r="AB53" s="2">
        <v>17.07</v>
      </c>
      <c r="AC53" s="2">
        <v>1.45</v>
      </c>
      <c r="AD53" s="2">
        <v>0</v>
      </c>
      <c r="AE53" s="2">
        <v>0</v>
      </c>
      <c r="AF53" s="2">
        <v>17.07</v>
      </c>
      <c r="AG53" s="2">
        <v>1.45</v>
      </c>
      <c r="AH53" s="2">
        <v>0</v>
      </c>
      <c r="AI53" s="2">
        <v>1</v>
      </c>
      <c r="AJ53" s="2">
        <v>1</v>
      </c>
      <c r="AK53" s="2">
        <v>1</v>
      </c>
      <c r="AL53" s="2">
        <v>1</v>
      </c>
      <c r="AN53" s="2">
        <v>0</v>
      </c>
      <c r="AO53" s="2">
        <v>1</v>
      </c>
      <c r="AP53" s="2">
        <v>0</v>
      </c>
      <c r="AQ53" s="2">
        <v>0</v>
      </c>
      <c r="AR53" s="2">
        <v>0</v>
      </c>
      <c r="AS53" s="2" t="s">
        <v>30</v>
      </c>
      <c r="AT53" s="2">
        <v>0.06</v>
      </c>
      <c r="AU53" s="2" t="s">
        <v>30</v>
      </c>
      <c r="AV53" s="2">
        <v>0</v>
      </c>
      <c r="AW53" s="2">
        <v>2</v>
      </c>
      <c r="AX53" s="2">
        <v>52264482</v>
      </c>
      <c r="AY53" s="2">
        <v>1</v>
      </c>
      <c r="AZ53" s="2">
        <v>0</v>
      </c>
      <c r="BA53" s="2">
        <v>51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CX53" s="2">
        <f>Y53*'Source (2)'!I184</f>
        <v>0.13500000000000001</v>
      </c>
      <c r="CY53" s="2">
        <f>AB53</f>
        <v>17.07</v>
      </c>
      <c r="CZ53" s="2">
        <f>AF53</f>
        <v>17.07</v>
      </c>
      <c r="DA53" s="2">
        <f>AJ53</f>
        <v>1</v>
      </c>
      <c r="DB53" s="2">
        <f t="shared" si="4"/>
        <v>1.02</v>
      </c>
      <c r="DC53" s="2">
        <f t="shared" si="5"/>
        <v>0.09</v>
      </c>
    </row>
    <row r="54" spans="1:107" x14ac:dyDescent="0.25">
      <c r="A54" s="2">
        <f>ROW('Source (2)'!A184)</f>
        <v>184</v>
      </c>
      <c r="B54" s="2">
        <v>52262273</v>
      </c>
      <c r="C54" s="2">
        <v>52264476</v>
      </c>
      <c r="D54" s="2">
        <v>49678455</v>
      </c>
      <c r="E54" s="2">
        <v>1</v>
      </c>
      <c r="F54" s="2">
        <v>1</v>
      </c>
      <c r="G54" s="2">
        <v>29</v>
      </c>
      <c r="H54" s="2">
        <v>2</v>
      </c>
      <c r="I54" s="2" t="s">
        <v>136</v>
      </c>
      <c r="J54" s="2" t="s">
        <v>385</v>
      </c>
      <c r="K54" s="2" t="s">
        <v>137</v>
      </c>
      <c r="L54" s="2">
        <v>1368</v>
      </c>
      <c r="N54" s="2">
        <v>1011</v>
      </c>
      <c r="O54" s="2" t="s">
        <v>82</v>
      </c>
      <c r="P54" s="2" t="s">
        <v>82</v>
      </c>
      <c r="Q54" s="2">
        <v>1</v>
      </c>
      <c r="W54" s="2">
        <v>0</v>
      </c>
      <c r="X54" s="2">
        <v>1345285351</v>
      </c>
      <c r="Y54" s="2">
        <v>0.06</v>
      </c>
      <c r="AA54" s="2">
        <v>0</v>
      </c>
      <c r="AB54" s="2">
        <v>1060.5899999999999</v>
      </c>
      <c r="AC54" s="2">
        <v>378.83</v>
      </c>
      <c r="AD54" s="2">
        <v>0</v>
      </c>
      <c r="AE54" s="2">
        <v>0</v>
      </c>
      <c r="AF54" s="2">
        <v>1060.5899999999999</v>
      </c>
      <c r="AG54" s="2">
        <v>378.83</v>
      </c>
      <c r="AH54" s="2">
        <v>0</v>
      </c>
      <c r="AI54" s="2">
        <v>1</v>
      </c>
      <c r="AJ54" s="2">
        <v>1</v>
      </c>
      <c r="AK54" s="2">
        <v>1</v>
      </c>
      <c r="AL54" s="2">
        <v>1</v>
      </c>
      <c r="AN54" s="2">
        <v>0</v>
      </c>
      <c r="AO54" s="2">
        <v>1</v>
      </c>
      <c r="AP54" s="2">
        <v>0</v>
      </c>
      <c r="AQ54" s="2">
        <v>0</v>
      </c>
      <c r="AR54" s="2">
        <v>0</v>
      </c>
      <c r="AS54" s="2" t="s">
        <v>30</v>
      </c>
      <c r="AT54" s="2">
        <v>0.06</v>
      </c>
      <c r="AU54" s="2" t="s">
        <v>30</v>
      </c>
      <c r="AV54" s="2">
        <v>0</v>
      </c>
      <c r="AW54" s="2">
        <v>2</v>
      </c>
      <c r="AX54" s="2">
        <v>52264483</v>
      </c>
      <c r="AY54" s="2">
        <v>1</v>
      </c>
      <c r="AZ54" s="2">
        <v>0</v>
      </c>
      <c r="BA54" s="2">
        <v>52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CX54" s="2">
        <f>Y54*'Source (2)'!I184</f>
        <v>0.13500000000000001</v>
      </c>
      <c r="CY54" s="2">
        <f>AB54</f>
        <v>1060.5899999999999</v>
      </c>
      <c r="CZ54" s="2">
        <f>AF54</f>
        <v>1060.5899999999999</v>
      </c>
      <c r="DA54" s="2">
        <f>AJ54</f>
        <v>1</v>
      </c>
      <c r="DB54" s="2">
        <f t="shared" si="4"/>
        <v>63.64</v>
      </c>
      <c r="DC54" s="2">
        <f t="shared" si="5"/>
        <v>22.73</v>
      </c>
    </row>
    <row r="55" spans="1:107" x14ac:dyDescent="0.25">
      <c r="A55" s="2">
        <f>ROW('Source (2)'!A184)</f>
        <v>184</v>
      </c>
      <c r="B55" s="2">
        <v>52262273</v>
      </c>
      <c r="C55" s="2">
        <v>52264476</v>
      </c>
      <c r="D55" s="2">
        <v>49683083</v>
      </c>
      <c r="E55" s="2">
        <v>1</v>
      </c>
      <c r="F55" s="2">
        <v>1</v>
      </c>
      <c r="G55" s="2">
        <v>29</v>
      </c>
      <c r="H55" s="2">
        <v>3</v>
      </c>
      <c r="I55" s="2" t="s">
        <v>141</v>
      </c>
      <c r="J55" s="2" t="s">
        <v>386</v>
      </c>
      <c r="K55" s="2" t="s">
        <v>142</v>
      </c>
      <c r="L55" s="2">
        <v>1339</v>
      </c>
      <c r="N55" s="2">
        <v>1007</v>
      </c>
      <c r="O55" s="2" t="s">
        <v>62</v>
      </c>
      <c r="P55" s="2" t="s">
        <v>62</v>
      </c>
      <c r="Q55" s="2">
        <v>1</v>
      </c>
      <c r="W55" s="2">
        <v>0</v>
      </c>
      <c r="X55" s="2">
        <v>-934355594</v>
      </c>
      <c r="Y55" s="2">
        <v>15</v>
      </c>
      <c r="AA55" s="2">
        <v>790.5</v>
      </c>
      <c r="AB55" s="2">
        <v>0</v>
      </c>
      <c r="AC55" s="2">
        <v>0</v>
      </c>
      <c r="AD55" s="2">
        <v>0</v>
      </c>
      <c r="AE55" s="2">
        <v>790.5</v>
      </c>
      <c r="AF55" s="2">
        <v>0</v>
      </c>
      <c r="AG55" s="2">
        <v>0</v>
      </c>
      <c r="AH55" s="2">
        <v>0</v>
      </c>
      <c r="AI55" s="2">
        <v>1</v>
      </c>
      <c r="AJ55" s="2">
        <v>1</v>
      </c>
      <c r="AK55" s="2">
        <v>1</v>
      </c>
      <c r="AL55" s="2">
        <v>1</v>
      </c>
      <c r="AN55" s="2">
        <v>0</v>
      </c>
      <c r="AO55" s="2">
        <v>1</v>
      </c>
      <c r="AP55" s="2">
        <v>0</v>
      </c>
      <c r="AQ55" s="2">
        <v>0</v>
      </c>
      <c r="AR55" s="2">
        <v>0</v>
      </c>
      <c r="AS55" s="2" t="s">
        <v>30</v>
      </c>
      <c r="AT55" s="2">
        <v>15</v>
      </c>
      <c r="AU55" s="2" t="s">
        <v>30</v>
      </c>
      <c r="AV55" s="2">
        <v>0</v>
      </c>
      <c r="AW55" s="2">
        <v>2</v>
      </c>
      <c r="AX55" s="2">
        <v>52264484</v>
      </c>
      <c r="AY55" s="2">
        <v>1</v>
      </c>
      <c r="AZ55" s="2">
        <v>0</v>
      </c>
      <c r="BA55" s="2">
        <v>53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CX55" s="2">
        <f>Y55*'Source (2)'!I184</f>
        <v>33.75</v>
      </c>
      <c r="CY55" s="2">
        <f>AA55</f>
        <v>790.5</v>
      </c>
      <c r="CZ55" s="2">
        <f>AE55</f>
        <v>790.5</v>
      </c>
      <c r="DA55" s="2">
        <f>AI55</f>
        <v>1</v>
      </c>
      <c r="DB55" s="2">
        <f t="shared" si="4"/>
        <v>11857.5</v>
      </c>
      <c r="DC55" s="2">
        <f t="shared" si="5"/>
        <v>0</v>
      </c>
    </row>
    <row r="56" spans="1:107" x14ac:dyDescent="0.25">
      <c r="A56" s="2">
        <f>ROW('Source (2)'!A185)</f>
        <v>185</v>
      </c>
      <c r="B56" s="2">
        <v>52262273</v>
      </c>
      <c r="C56" s="2">
        <v>52264485</v>
      </c>
      <c r="D56" s="2">
        <v>49677488</v>
      </c>
      <c r="E56" s="2">
        <v>29</v>
      </c>
      <c r="F56" s="2">
        <v>1</v>
      </c>
      <c r="G56" s="2">
        <v>29</v>
      </c>
      <c r="H56" s="2">
        <v>1</v>
      </c>
      <c r="I56" s="2" t="s">
        <v>359</v>
      </c>
      <c r="J56" s="2" t="s">
        <v>30</v>
      </c>
      <c r="K56" s="2" t="s">
        <v>360</v>
      </c>
      <c r="L56" s="2">
        <v>1191</v>
      </c>
      <c r="N56" s="2">
        <v>1013</v>
      </c>
      <c r="O56" s="2" t="s">
        <v>361</v>
      </c>
      <c r="P56" s="2" t="s">
        <v>361</v>
      </c>
      <c r="Q56" s="2">
        <v>1</v>
      </c>
      <c r="W56" s="2">
        <v>0</v>
      </c>
      <c r="X56" s="2">
        <v>476480486</v>
      </c>
      <c r="Y56" s="2">
        <v>46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1</v>
      </c>
      <c r="AJ56" s="2">
        <v>1</v>
      </c>
      <c r="AK56" s="2">
        <v>1</v>
      </c>
      <c r="AL56" s="2">
        <v>1</v>
      </c>
      <c r="AN56" s="2">
        <v>0</v>
      </c>
      <c r="AO56" s="2">
        <v>1</v>
      </c>
      <c r="AP56" s="2">
        <v>0</v>
      </c>
      <c r="AQ56" s="2">
        <v>0</v>
      </c>
      <c r="AR56" s="2">
        <v>0</v>
      </c>
      <c r="AS56" s="2" t="s">
        <v>30</v>
      </c>
      <c r="AT56" s="2">
        <v>46</v>
      </c>
      <c r="AU56" s="2" t="s">
        <v>30</v>
      </c>
      <c r="AV56" s="2">
        <v>1</v>
      </c>
      <c r="AW56" s="2">
        <v>2</v>
      </c>
      <c r="AX56" s="2">
        <v>52264488</v>
      </c>
      <c r="AY56" s="2">
        <v>1</v>
      </c>
      <c r="AZ56" s="2">
        <v>0</v>
      </c>
      <c r="BA56" s="2">
        <v>54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CX56" s="2">
        <f>Y56*'Source (2)'!I185</f>
        <v>34.5</v>
      </c>
      <c r="CY56" s="2">
        <f>AD56</f>
        <v>0</v>
      </c>
      <c r="CZ56" s="2">
        <f>AH56</f>
        <v>0</v>
      </c>
      <c r="DA56" s="2">
        <f>AL56</f>
        <v>1</v>
      </c>
      <c r="DB56" s="2">
        <f t="shared" si="4"/>
        <v>0</v>
      </c>
      <c r="DC56" s="2">
        <f t="shared" si="5"/>
        <v>0</v>
      </c>
    </row>
    <row r="57" spans="1:107" x14ac:dyDescent="0.25">
      <c r="A57" s="2">
        <f>ROW('Source (2)'!A185)</f>
        <v>185</v>
      </c>
      <c r="B57" s="2">
        <v>52262273</v>
      </c>
      <c r="C57" s="2">
        <v>52264485</v>
      </c>
      <c r="D57" s="2">
        <v>49683083</v>
      </c>
      <c r="E57" s="2">
        <v>1</v>
      </c>
      <c r="F57" s="2">
        <v>1</v>
      </c>
      <c r="G57" s="2">
        <v>29</v>
      </c>
      <c r="H57" s="2">
        <v>3</v>
      </c>
      <c r="I57" s="2" t="s">
        <v>141</v>
      </c>
      <c r="J57" s="2" t="s">
        <v>386</v>
      </c>
      <c r="K57" s="2" t="s">
        <v>142</v>
      </c>
      <c r="L57" s="2">
        <v>1339</v>
      </c>
      <c r="N57" s="2">
        <v>1007</v>
      </c>
      <c r="O57" s="2" t="s">
        <v>62</v>
      </c>
      <c r="P57" s="2" t="s">
        <v>62</v>
      </c>
      <c r="Q57" s="2">
        <v>1</v>
      </c>
      <c r="W57" s="2">
        <v>0</v>
      </c>
      <c r="X57" s="2">
        <v>-934355594</v>
      </c>
      <c r="Y57" s="2">
        <v>15</v>
      </c>
      <c r="AA57" s="2">
        <v>790.5</v>
      </c>
      <c r="AB57" s="2">
        <v>0</v>
      </c>
      <c r="AC57" s="2">
        <v>0</v>
      </c>
      <c r="AD57" s="2">
        <v>0</v>
      </c>
      <c r="AE57" s="2">
        <v>790.5</v>
      </c>
      <c r="AF57" s="2">
        <v>0</v>
      </c>
      <c r="AG57" s="2">
        <v>0</v>
      </c>
      <c r="AH57" s="2">
        <v>0</v>
      </c>
      <c r="AI57" s="2">
        <v>1</v>
      </c>
      <c r="AJ57" s="2">
        <v>1</v>
      </c>
      <c r="AK57" s="2">
        <v>1</v>
      </c>
      <c r="AL57" s="2">
        <v>1</v>
      </c>
      <c r="AN57" s="2">
        <v>0</v>
      </c>
      <c r="AO57" s="2">
        <v>1</v>
      </c>
      <c r="AP57" s="2">
        <v>0</v>
      </c>
      <c r="AQ57" s="2">
        <v>0</v>
      </c>
      <c r="AR57" s="2">
        <v>0</v>
      </c>
      <c r="AS57" s="2" t="s">
        <v>30</v>
      </c>
      <c r="AT57" s="2">
        <v>15</v>
      </c>
      <c r="AU57" s="2" t="s">
        <v>30</v>
      </c>
      <c r="AV57" s="2">
        <v>0</v>
      </c>
      <c r="AW57" s="2">
        <v>2</v>
      </c>
      <c r="AX57" s="2">
        <v>52264489</v>
      </c>
      <c r="AY57" s="2">
        <v>1</v>
      </c>
      <c r="AZ57" s="2">
        <v>0</v>
      </c>
      <c r="BA57" s="2">
        <v>55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CX57" s="2">
        <f>Y57*'Source (2)'!I185</f>
        <v>11.25</v>
      </c>
      <c r="CY57" s="2">
        <f>AA57</f>
        <v>790.5</v>
      </c>
      <c r="CZ57" s="2">
        <f>AE57</f>
        <v>790.5</v>
      </c>
      <c r="DA57" s="2">
        <f>AI57</f>
        <v>1</v>
      </c>
      <c r="DB57" s="2">
        <f t="shared" si="4"/>
        <v>11857.5</v>
      </c>
      <c r="DC57" s="2">
        <f t="shared" si="5"/>
        <v>0</v>
      </c>
    </row>
    <row r="58" spans="1:107" x14ac:dyDescent="0.25">
      <c r="A58" s="2">
        <f>ROW('Source (2)'!A186)</f>
        <v>186</v>
      </c>
      <c r="B58" s="2">
        <v>52262273</v>
      </c>
      <c r="C58" s="2">
        <v>52264490</v>
      </c>
      <c r="D58" s="2">
        <v>49677488</v>
      </c>
      <c r="E58" s="2">
        <v>29</v>
      </c>
      <c r="F58" s="2">
        <v>1</v>
      </c>
      <c r="G58" s="2">
        <v>29</v>
      </c>
      <c r="H58" s="2">
        <v>1</v>
      </c>
      <c r="I58" s="2" t="s">
        <v>359</v>
      </c>
      <c r="J58" s="2" t="s">
        <v>30</v>
      </c>
      <c r="K58" s="2" t="s">
        <v>360</v>
      </c>
      <c r="L58" s="2">
        <v>1191</v>
      </c>
      <c r="N58" s="2">
        <v>1013</v>
      </c>
      <c r="O58" s="2" t="s">
        <v>361</v>
      </c>
      <c r="P58" s="2" t="s">
        <v>361</v>
      </c>
      <c r="Q58" s="2">
        <v>1</v>
      </c>
      <c r="W58" s="2">
        <v>0</v>
      </c>
      <c r="X58" s="2">
        <v>476480486</v>
      </c>
      <c r="Y58" s="2">
        <v>6.29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1</v>
      </c>
      <c r="AJ58" s="2">
        <v>1</v>
      </c>
      <c r="AK58" s="2">
        <v>1</v>
      </c>
      <c r="AL58" s="2">
        <v>1</v>
      </c>
      <c r="AN58" s="2">
        <v>0</v>
      </c>
      <c r="AO58" s="2">
        <v>1</v>
      </c>
      <c r="AP58" s="2">
        <v>0</v>
      </c>
      <c r="AQ58" s="2">
        <v>0</v>
      </c>
      <c r="AR58" s="2">
        <v>0</v>
      </c>
      <c r="AS58" s="2" t="s">
        <v>30</v>
      </c>
      <c r="AT58" s="2">
        <v>6.29</v>
      </c>
      <c r="AU58" s="2" t="s">
        <v>30</v>
      </c>
      <c r="AV58" s="2">
        <v>1</v>
      </c>
      <c r="AW58" s="2">
        <v>2</v>
      </c>
      <c r="AX58" s="2">
        <v>52264493</v>
      </c>
      <c r="AY58" s="2">
        <v>1</v>
      </c>
      <c r="AZ58" s="2">
        <v>0</v>
      </c>
      <c r="BA58" s="2">
        <v>56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CX58" s="2">
        <f>Y58*'Source (2)'!I186</f>
        <v>-18.87</v>
      </c>
      <c r="CY58" s="2">
        <f>AD58</f>
        <v>0</v>
      </c>
      <c r="CZ58" s="2">
        <f>AH58</f>
        <v>0</v>
      </c>
      <c r="DA58" s="2">
        <f>AL58</f>
        <v>1</v>
      </c>
      <c r="DB58" s="2">
        <f t="shared" si="4"/>
        <v>0</v>
      </c>
      <c r="DC58" s="2">
        <f t="shared" si="5"/>
        <v>0</v>
      </c>
    </row>
    <row r="59" spans="1:107" x14ac:dyDescent="0.25">
      <c r="A59" s="2">
        <f>ROW('Source (2)'!A186)</f>
        <v>186</v>
      </c>
      <c r="B59" s="2">
        <v>52262273</v>
      </c>
      <c r="C59" s="2">
        <v>52264490</v>
      </c>
      <c r="D59" s="2">
        <v>49683083</v>
      </c>
      <c r="E59" s="2">
        <v>1</v>
      </c>
      <c r="F59" s="2">
        <v>1</v>
      </c>
      <c r="G59" s="2">
        <v>29</v>
      </c>
      <c r="H59" s="2">
        <v>3</v>
      </c>
      <c r="I59" s="2" t="s">
        <v>141</v>
      </c>
      <c r="J59" s="2" t="s">
        <v>386</v>
      </c>
      <c r="K59" s="2" t="s">
        <v>142</v>
      </c>
      <c r="L59" s="2">
        <v>1339</v>
      </c>
      <c r="N59" s="2">
        <v>1007</v>
      </c>
      <c r="O59" s="2" t="s">
        <v>62</v>
      </c>
      <c r="P59" s="2" t="s">
        <v>62</v>
      </c>
      <c r="Q59" s="2">
        <v>1</v>
      </c>
      <c r="W59" s="2">
        <v>0</v>
      </c>
      <c r="X59" s="2">
        <v>-934355594</v>
      </c>
      <c r="Y59" s="2">
        <v>5</v>
      </c>
      <c r="AA59" s="2">
        <v>790.5</v>
      </c>
      <c r="AB59" s="2">
        <v>0</v>
      </c>
      <c r="AC59" s="2">
        <v>0</v>
      </c>
      <c r="AD59" s="2">
        <v>0</v>
      </c>
      <c r="AE59" s="2">
        <v>790.5</v>
      </c>
      <c r="AF59" s="2">
        <v>0</v>
      </c>
      <c r="AG59" s="2">
        <v>0</v>
      </c>
      <c r="AH59" s="2">
        <v>0</v>
      </c>
      <c r="AI59" s="2">
        <v>1</v>
      </c>
      <c r="AJ59" s="2">
        <v>1</v>
      </c>
      <c r="AK59" s="2">
        <v>1</v>
      </c>
      <c r="AL59" s="2">
        <v>1</v>
      </c>
      <c r="AN59" s="2">
        <v>0</v>
      </c>
      <c r="AO59" s="2">
        <v>1</v>
      </c>
      <c r="AP59" s="2">
        <v>0</v>
      </c>
      <c r="AQ59" s="2">
        <v>0</v>
      </c>
      <c r="AR59" s="2">
        <v>0</v>
      </c>
      <c r="AS59" s="2" t="s">
        <v>30</v>
      </c>
      <c r="AT59" s="2">
        <v>5</v>
      </c>
      <c r="AU59" s="2" t="s">
        <v>30</v>
      </c>
      <c r="AV59" s="2">
        <v>0</v>
      </c>
      <c r="AW59" s="2">
        <v>2</v>
      </c>
      <c r="AX59" s="2">
        <v>52264494</v>
      </c>
      <c r="AY59" s="2">
        <v>1</v>
      </c>
      <c r="AZ59" s="2">
        <v>0</v>
      </c>
      <c r="BA59" s="2">
        <v>57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CX59" s="2">
        <f>Y59*'Source (2)'!I186</f>
        <v>-15</v>
      </c>
      <c r="CY59" s="2">
        <f>AA59</f>
        <v>790.5</v>
      </c>
      <c r="CZ59" s="2">
        <f>AE59</f>
        <v>790.5</v>
      </c>
      <c r="DA59" s="2">
        <f>AI59</f>
        <v>1</v>
      </c>
      <c r="DB59" s="2">
        <f t="shared" si="4"/>
        <v>3952.5</v>
      </c>
      <c r="DC59" s="2">
        <f t="shared" si="5"/>
        <v>0</v>
      </c>
    </row>
    <row r="60" spans="1:107" x14ac:dyDescent="0.25">
      <c r="A60" s="2">
        <f>ROW('Source (2)'!A187)</f>
        <v>187</v>
      </c>
      <c r="B60" s="2">
        <v>52262273</v>
      </c>
      <c r="C60" s="2">
        <v>52264495</v>
      </c>
      <c r="D60" s="2">
        <v>49677488</v>
      </c>
      <c r="E60" s="2">
        <v>29</v>
      </c>
      <c r="F60" s="2">
        <v>1</v>
      </c>
      <c r="G60" s="2">
        <v>29</v>
      </c>
      <c r="H60" s="2">
        <v>1</v>
      </c>
      <c r="I60" s="2" t="s">
        <v>359</v>
      </c>
      <c r="J60" s="2" t="s">
        <v>30</v>
      </c>
      <c r="K60" s="2" t="s">
        <v>360</v>
      </c>
      <c r="L60" s="2">
        <v>1191</v>
      </c>
      <c r="N60" s="2">
        <v>1013</v>
      </c>
      <c r="O60" s="2" t="s">
        <v>361</v>
      </c>
      <c r="P60" s="2" t="s">
        <v>361</v>
      </c>
      <c r="Q60" s="2">
        <v>1</v>
      </c>
      <c r="W60" s="2">
        <v>0</v>
      </c>
      <c r="X60" s="2">
        <v>476480486</v>
      </c>
      <c r="Y60" s="2">
        <v>6.04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1</v>
      </c>
      <c r="AJ60" s="2">
        <v>1</v>
      </c>
      <c r="AK60" s="2">
        <v>1</v>
      </c>
      <c r="AL60" s="2">
        <v>1</v>
      </c>
      <c r="AN60" s="2">
        <v>0</v>
      </c>
      <c r="AO60" s="2">
        <v>1</v>
      </c>
      <c r="AP60" s="2">
        <v>0</v>
      </c>
      <c r="AQ60" s="2">
        <v>0</v>
      </c>
      <c r="AR60" s="2">
        <v>0</v>
      </c>
      <c r="AS60" s="2" t="s">
        <v>30</v>
      </c>
      <c r="AT60" s="2">
        <v>6.04</v>
      </c>
      <c r="AU60" s="2" t="s">
        <v>30</v>
      </c>
      <c r="AV60" s="2">
        <v>1</v>
      </c>
      <c r="AW60" s="2">
        <v>2</v>
      </c>
      <c r="AX60" s="2">
        <v>52264499</v>
      </c>
      <c r="AY60" s="2">
        <v>1</v>
      </c>
      <c r="AZ60" s="2">
        <v>0</v>
      </c>
      <c r="BA60" s="2">
        <v>58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CX60" s="2">
        <f>Y60*'Source (2)'!I187</f>
        <v>18.12</v>
      </c>
      <c r="CY60" s="2">
        <f>AD60</f>
        <v>0</v>
      </c>
      <c r="CZ60" s="2">
        <f>AH60</f>
        <v>0</v>
      </c>
      <c r="DA60" s="2">
        <f>AL60</f>
        <v>1</v>
      </c>
      <c r="DB60" s="2">
        <f t="shared" si="4"/>
        <v>0</v>
      </c>
      <c r="DC60" s="2">
        <f t="shared" si="5"/>
        <v>0</v>
      </c>
    </row>
    <row r="61" spans="1:107" x14ac:dyDescent="0.25">
      <c r="A61" s="2">
        <f>ROW('Source (2)'!A187)</f>
        <v>187</v>
      </c>
      <c r="B61" s="2">
        <v>52262273</v>
      </c>
      <c r="C61" s="2">
        <v>52264495</v>
      </c>
      <c r="D61" s="2">
        <v>49681352</v>
      </c>
      <c r="E61" s="2">
        <v>1</v>
      </c>
      <c r="F61" s="2">
        <v>1</v>
      </c>
      <c r="G61" s="2">
        <v>29</v>
      </c>
      <c r="H61" s="2">
        <v>3</v>
      </c>
      <c r="I61" s="2" t="s">
        <v>111</v>
      </c>
      <c r="J61" s="2" t="s">
        <v>367</v>
      </c>
      <c r="K61" s="2" t="s">
        <v>112</v>
      </c>
      <c r="L61" s="2">
        <v>1339</v>
      </c>
      <c r="N61" s="2">
        <v>1007</v>
      </c>
      <c r="O61" s="2" t="s">
        <v>62</v>
      </c>
      <c r="P61" s="2" t="s">
        <v>62</v>
      </c>
      <c r="Q61" s="2">
        <v>1</v>
      </c>
      <c r="W61" s="2">
        <v>0</v>
      </c>
      <c r="X61" s="2">
        <v>1995837903</v>
      </c>
      <c r="Y61" s="2">
        <v>10</v>
      </c>
      <c r="AA61" s="2">
        <v>36.31</v>
      </c>
      <c r="AB61" s="2">
        <v>0</v>
      </c>
      <c r="AC61" s="2">
        <v>0</v>
      </c>
      <c r="AD61" s="2">
        <v>0</v>
      </c>
      <c r="AE61" s="2">
        <v>36.31</v>
      </c>
      <c r="AF61" s="2">
        <v>0</v>
      </c>
      <c r="AG61" s="2">
        <v>0</v>
      </c>
      <c r="AH61" s="2">
        <v>0</v>
      </c>
      <c r="AI61" s="2">
        <v>1</v>
      </c>
      <c r="AJ61" s="2">
        <v>1</v>
      </c>
      <c r="AK61" s="2">
        <v>1</v>
      </c>
      <c r="AL61" s="2">
        <v>1</v>
      </c>
      <c r="AN61" s="2">
        <v>0</v>
      </c>
      <c r="AO61" s="2">
        <v>1</v>
      </c>
      <c r="AP61" s="2">
        <v>0</v>
      </c>
      <c r="AQ61" s="2">
        <v>0</v>
      </c>
      <c r="AR61" s="2">
        <v>0</v>
      </c>
      <c r="AS61" s="2" t="s">
        <v>30</v>
      </c>
      <c r="AT61" s="2">
        <v>10</v>
      </c>
      <c r="AU61" s="2" t="s">
        <v>30</v>
      </c>
      <c r="AV61" s="2">
        <v>0</v>
      </c>
      <c r="AW61" s="2">
        <v>2</v>
      </c>
      <c r="AX61" s="2">
        <v>52264500</v>
      </c>
      <c r="AY61" s="2">
        <v>1</v>
      </c>
      <c r="AZ61" s="2">
        <v>0</v>
      </c>
      <c r="BA61" s="2">
        <v>59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CX61" s="2">
        <f>Y61*'Source (2)'!I187</f>
        <v>30</v>
      </c>
      <c r="CY61" s="2">
        <f>AA61</f>
        <v>36.31</v>
      </c>
      <c r="CZ61" s="2">
        <f>AE61</f>
        <v>36.31</v>
      </c>
      <c r="DA61" s="2">
        <f>AI61</f>
        <v>1</v>
      </c>
      <c r="DB61" s="2">
        <f t="shared" si="4"/>
        <v>363.1</v>
      </c>
      <c r="DC61" s="2">
        <f t="shared" si="5"/>
        <v>0</v>
      </c>
    </row>
    <row r="62" spans="1:107" x14ac:dyDescent="0.25">
      <c r="A62" s="2">
        <f>ROW('Source (2)'!A187)</f>
        <v>187</v>
      </c>
      <c r="B62" s="2">
        <v>52262273</v>
      </c>
      <c r="C62" s="2">
        <v>52264495</v>
      </c>
      <c r="D62" s="2">
        <v>49683088</v>
      </c>
      <c r="E62" s="2">
        <v>1</v>
      </c>
      <c r="F62" s="2">
        <v>1</v>
      </c>
      <c r="G62" s="2">
        <v>29</v>
      </c>
      <c r="H62" s="2">
        <v>3</v>
      </c>
      <c r="I62" s="2" t="s">
        <v>138</v>
      </c>
      <c r="J62" s="2" t="s">
        <v>387</v>
      </c>
      <c r="K62" s="2" t="s">
        <v>139</v>
      </c>
      <c r="L62" s="2">
        <v>1346</v>
      </c>
      <c r="N62" s="2">
        <v>1009</v>
      </c>
      <c r="O62" s="2" t="s">
        <v>140</v>
      </c>
      <c r="P62" s="2" t="s">
        <v>140</v>
      </c>
      <c r="Q62" s="2">
        <v>1</v>
      </c>
      <c r="W62" s="2">
        <v>0</v>
      </c>
      <c r="X62" s="2">
        <v>166899861</v>
      </c>
      <c r="Y62" s="2">
        <v>4</v>
      </c>
      <c r="AA62" s="2">
        <v>331.36</v>
      </c>
      <c r="AB62" s="2">
        <v>0</v>
      </c>
      <c r="AC62" s="2">
        <v>0</v>
      </c>
      <c r="AD62" s="2">
        <v>0</v>
      </c>
      <c r="AE62" s="2">
        <v>331.36</v>
      </c>
      <c r="AF62" s="2">
        <v>0</v>
      </c>
      <c r="AG62" s="2">
        <v>0</v>
      </c>
      <c r="AH62" s="2">
        <v>0</v>
      </c>
      <c r="AI62" s="2">
        <v>1</v>
      </c>
      <c r="AJ62" s="2">
        <v>1</v>
      </c>
      <c r="AK62" s="2">
        <v>1</v>
      </c>
      <c r="AL62" s="2">
        <v>1</v>
      </c>
      <c r="AN62" s="2">
        <v>0</v>
      </c>
      <c r="AO62" s="2">
        <v>1</v>
      </c>
      <c r="AP62" s="2">
        <v>0</v>
      </c>
      <c r="AQ62" s="2">
        <v>0</v>
      </c>
      <c r="AR62" s="2">
        <v>0</v>
      </c>
      <c r="AS62" s="2" t="s">
        <v>30</v>
      </c>
      <c r="AT62" s="2">
        <v>4</v>
      </c>
      <c r="AU62" s="2" t="s">
        <v>30</v>
      </c>
      <c r="AV62" s="2">
        <v>0</v>
      </c>
      <c r="AW62" s="2">
        <v>2</v>
      </c>
      <c r="AX62" s="2">
        <v>52264501</v>
      </c>
      <c r="AY62" s="2">
        <v>1</v>
      </c>
      <c r="AZ62" s="2">
        <v>0</v>
      </c>
      <c r="BA62" s="2">
        <v>60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CX62" s="2">
        <f>Y62*'Source (2)'!I187</f>
        <v>12</v>
      </c>
      <c r="CY62" s="2">
        <f>AA62</f>
        <v>331.36</v>
      </c>
      <c r="CZ62" s="2">
        <f>AE62</f>
        <v>331.36</v>
      </c>
      <c r="DA62" s="2">
        <f>AI62</f>
        <v>1</v>
      </c>
      <c r="DB62" s="2">
        <f t="shared" si="4"/>
        <v>1325.44</v>
      </c>
      <c r="DC62" s="2">
        <f t="shared" si="5"/>
        <v>0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957B-5EFE-4CD0-81B0-D4E26DC067E7}">
  <dimension ref="A1:AR60"/>
  <sheetViews>
    <sheetView workbookViewId="0">
      <selection activeCell="I192" sqref="I192"/>
    </sheetView>
  </sheetViews>
  <sheetFormatPr defaultColWidth="9.1796875" defaultRowHeight="12.5" x14ac:dyDescent="0.25"/>
  <cols>
    <col min="1" max="256" width="9.1796875" style="2" customWidth="1"/>
    <col min="257" max="16384" width="9.1796875" style="2"/>
  </cols>
  <sheetData>
    <row r="1" spans="1:44" x14ac:dyDescent="0.25">
      <c r="A1" s="2">
        <f>ROW('Source (2)'!A28)</f>
        <v>28</v>
      </c>
      <c r="B1" s="2">
        <v>52262517</v>
      </c>
      <c r="C1" s="2">
        <v>52262508</v>
      </c>
      <c r="D1" s="2">
        <v>49677488</v>
      </c>
      <c r="E1" s="2">
        <v>29</v>
      </c>
      <c r="F1" s="2">
        <v>1</v>
      </c>
      <c r="G1" s="2">
        <v>29</v>
      </c>
      <c r="H1" s="2">
        <v>1</v>
      </c>
      <c r="I1" s="2" t="s">
        <v>359</v>
      </c>
      <c r="J1" s="2" t="s">
        <v>30</v>
      </c>
      <c r="K1" s="2" t="s">
        <v>360</v>
      </c>
      <c r="L1" s="2">
        <v>1191</v>
      </c>
      <c r="N1" s="2">
        <v>1013</v>
      </c>
      <c r="O1" s="2" t="s">
        <v>361</v>
      </c>
      <c r="P1" s="2" t="s">
        <v>361</v>
      </c>
      <c r="Q1" s="2">
        <v>1</v>
      </c>
      <c r="X1" s="2">
        <v>0.79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1</v>
      </c>
      <c r="AE1" s="2">
        <v>1</v>
      </c>
      <c r="AF1" s="2" t="s">
        <v>30</v>
      </c>
      <c r="AG1" s="2">
        <v>0.79</v>
      </c>
      <c r="AH1" s="2">
        <v>2</v>
      </c>
      <c r="AI1" s="2">
        <v>52262509</v>
      </c>
      <c r="AJ1" s="2">
        <v>1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</row>
    <row r="2" spans="1:44" x14ac:dyDescent="0.25">
      <c r="A2" s="2">
        <f>ROW('Source (2)'!A28)</f>
        <v>28</v>
      </c>
      <c r="B2" s="2">
        <v>52262519</v>
      </c>
      <c r="C2" s="2">
        <v>52262508</v>
      </c>
      <c r="D2" s="2">
        <v>49678760</v>
      </c>
      <c r="E2" s="2">
        <v>1</v>
      </c>
      <c r="F2" s="2">
        <v>1</v>
      </c>
      <c r="G2" s="2">
        <v>29</v>
      </c>
      <c r="H2" s="2">
        <v>2</v>
      </c>
      <c r="I2" s="2" t="s">
        <v>80</v>
      </c>
      <c r="J2" s="2" t="s">
        <v>362</v>
      </c>
      <c r="K2" s="2" t="s">
        <v>81</v>
      </c>
      <c r="L2" s="2">
        <v>1368</v>
      </c>
      <c r="N2" s="2">
        <v>1011</v>
      </c>
      <c r="O2" s="2" t="s">
        <v>82</v>
      </c>
      <c r="P2" s="2" t="s">
        <v>82</v>
      </c>
      <c r="Q2" s="2">
        <v>1</v>
      </c>
      <c r="X2" s="2">
        <v>0.13</v>
      </c>
      <c r="Y2" s="2">
        <v>0</v>
      </c>
      <c r="Z2" s="2">
        <v>1208.6099999999999</v>
      </c>
      <c r="AA2" s="2">
        <v>484.58</v>
      </c>
      <c r="AB2" s="2">
        <v>0</v>
      </c>
      <c r="AC2" s="2">
        <v>0</v>
      </c>
      <c r="AD2" s="2">
        <v>1</v>
      </c>
      <c r="AE2" s="2">
        <v>0</v>
      </c>
      <c r="AF2" s="2" t="s">
        <v>30</v>
      </c>
      <c r="AG2" s="2">
        <v>0.13</v>
      </c>
      <c r="AH2" s="2">
        <v>2</v>
      </c>
      <c r="AI2" s="2">
        <v>52262511</v>
      </c>
      <c r="AJ2" s="2">
        <v>2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</row>
    <row r="3" spans="1:44" x14ac:dyDescent="0.25">
      <c r="A3" s="2">
        <f>ROW('Source (2)'!A28)</f>
        <v>28</v>
      </c>
      <c r="B3" s="2">
        <v>52262518</v>
      </c>
      <c r="C3" s="2">
        <v>52262508</v>
      </c>
      <c r="D3" s="2">
        <v>49678446</v>
      </c>
      <c r="E3" s="2">
        <v>1</v>
      </c>
      <c r="F3" s="2">
        <v>1</v>
      </c>
      <c r="G3" s="2">
        <v>29</v>
      </c>
      <c r="H3" s="2">
        <v>2</v>
      </c>
      <c r="I3" s="2" t="s">
        <v>83</v>
      </c>
      <c r="J3" s="2" t="s">
        <v>363</v>
      </c>
      <c r="K3" s="2" t="s">
        <v>84</v>
      </c>
      <c r="L3" s="2">
        <v>1368</v>
      </c>
      <c r="N3" s="2">
        <v>1011</v>
      </c>
      <c r="O3" s="2" t="s">
        <v>82</v>
      </c>
      <c r="P3" s="2" t="s">
        <v>82</v>
      </c>
      <c r="Q3" s="2">
        <v>1</v>
      </c>
      <c r="X3" s="2">
        <v>0.13</v>
      </c>
      <c r="Y3" s="2">
        <v>0</v>
      </c>
      <c r="Z3" s="2">
        <v>987.45</v>
      </c>
      <c r="AA3" s="2">
        <v>437.55</v>
      </c>
      <c r="AB3" s="2">
        <v>0</v>
      </c>
      <c r="AC3" s="2">
        <v>0</v>
      </c>
      <c r="AD3" s="2">
        <v>1</v>
      </c>
      <c r="AE3" s="2">
        <v>0</v>
      </c>
      <c r="AF3" s="2" t="s">
        <v>30</v>
      </c>
      <c r="AG3" s="2">
        <v>0.13</v>
      </c>
      <c r="AH3" s="2">
        <v>2</v>
      </c>
      <c r="AI3" s="2">
        <v>52262510</v>
      </c>
      <c r="AJ3" s="2">
        <v>3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</row>
    <row r="4" spans="1:44" x14ac:dyDescent="0.25">
      <c r="A4" s="2">
        <f>ROW('Source (2)'!A28)</f>
        <v>28</v>
      </c>
      <c r="B4" s="2">
        <v>52262520</v>
      </c>
      <c r="C4" s="2">
        <v>52262508</v>
      </c>
      <c r="D4" s="2">
        <v>49679291</v>
      </c>
      <c r="E4" s="2">
        <v>1</v>
      </c>
      <c r="F4" s="2">
        <v>1</v>
      </c>
      <c r="G4" s="2">
        <v>29</v>
      </c>
      <c r="H4" s="2">
        <v>2</v>
      </c>
      <c r="I4" s="2" t="s">
        <v>91</v>
      </c>
      <c r="J4" s="2" t="s">
        <v>364</v>
      </c>
      <c r="K4" s="2" t="s">
        <v>92</v>
      </c>
      <c r="L4" s="2">
        <v>1368</v>
      </c>
      <c r="N4" s="2">
        <v>1011</v>
      </c>
      <c r="O4" s="2" t="s">
        <v>82</v>
      </c>
      <c r="P4" s="2" t="s">
        <v>82</v>
      </c>
      <c r="Q4" s="2">
        <v>1</v>
      </c>
      <c r="X4" s="2">
        <v>0.26</v>
      </c>
      <c r="Y4" s="2">
        <v>0</v>
      </c>
      <c r="Z4" s="2">
        <v>6.02</v>
      </c>
      <c r="AA4" s="2">
        <v>0.02</v>
      </c>
      <c r="AB4" s="2">
        <v>0</v>
      </c>
      <c r="AC4" s="2">
        <v>0</v>
      </c>
      <c r="AD4" s="2">
        <v>1</v>
      </c>
      <c r="AE4" s="2">
        <v>0</v>
      </c>
      <c r="AF4" s="2" t="s">
        <v>30</v>
      </c>
      <c r="AG4" s="2">
        <v>0.26</v>
      </c>
      <c r="AH4" s="2">
        <v>2</v>
      </c>
      <c r="AI4" s="2">
        <v>52262512</v>
      </c>
      <c r="AJ4" s="2">
        <v>4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</row>
    <row r="5" spans="1:44" x14ac:dyDescent="0.25">
      <c r="A5" s="2">
        <f>ROW('Source (2)'!A28)</f>
        <v>28</v>
      </c>
      <c r="B5" s="2">
        <v>52262521</v>
      </c>
      <c r="C5" s="2">
        <v>52262508</v>
      </c>
      <c r="D5" s="2">
        <v>49678662</v>
      </c>
      <c r="E5" s="2">
        <v>1</v>
      </c>
      <c r="F5" s="2">
        <v>1</v>
      </c>
      <c r="G5" s="2">
        <v>29</v>
      </c>
      <c r="H5" s="2">
        <v>2</v>
      </c>
      <c r="I5" s="2" t="s">
        <v>93</v>
      </c>
      <c r="J5" s="2" t="s">
        <v>365</v>
      </c>
      <c r="K5" s="2" t="s">
        <v>94</v>
      </c>
      <c r="L5" s="2">
        <v>1368</v>
      </c>
      <c r="N5" s="2">
        <v>1011</v>
      </c>
      <c r="O5" s="2" t="s">
        <v>82</v>
      </c>
      <c r="P5" s="2" t="s">
        <v>82</v>
      </c>
      <c r="Q5" s="2">
        <v>1</v>
      </c>
      <c r="X5" s="2">
        <v>0.25</v>
      </c>
      <c r="Y5" s="2">
        <v>0</v>
      </c>
      <c r="Z5" s="2">
        <v>7834.05</v>
      </c>
      <c r="AA5" s="2">
        <v>1037.76</v>
      </c>
      <c r="AB5" s="2">
        <v>0</v>
      </c>
      <c r="AC5" s="2">
        <v>0</v>
      </c>
      <c r="AD5" s="2">
        <v>1</v>
      </c>
      <c r="AE5" s="2">
        <v>0</v>
      </c>
      <c r="AF5" s="2" t="s">
        <v>30</v>
      </c>
      <c r="AG5" s="2">
        <v>0.25</v>
      </c>
      <c r="AH5" s="2">
        <v>2</v>
      </c>
      <c r="AI5" s="2">
        <v>52262513</v>
      </c>
      <c r="AJ5" s="2">
        <v>5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</row>
    <row r="6" spans="1:44" x14ac:dyDescent="0.25">
      <c r="A6" s="2">
        <f>ROW('Source (2)'!A28)</f>
        <v>28</v>
      </c>
      <c r="B6" s="2">
        <v>52262522</v>
      </c>
      <c r="C6" s="2">
        <v>52262508</v>
      </c>
      <c r="D6" s="2">
        <v>49678657</v>
      </c>
      <c r="E6" s="2">
        <v>1</v>
      </c>
      <c r="F6" s="2">
        <v>1</v>
      </c>
      <c r="G6" s="2">
        <v>29</v>
      </c>
      <c r="H6" s="2">
        <v>2</v>
      </c>
      <c r="I6" s="2" t="s">
        <v>103</v>
      </c>
      <c r="J6" s="2" t="s">
        <v>366</v>
      </c>
      <c r="K6" s="2" t="s">
        <v>104</v>
      </c>
      <c r="L6" s="2">
        <v>1368</v>
      </c>
      <c r="N6" s="2">
        <v>1011</v>
      </c>
      <c r="O6" s="2" t="s">
        <v>82</v>
      </c>
      <c r="P6" s="2" t="s">
        <v>82</v>
      </c>
      <c r="Q6" s="2">
        <v>1</v>
      </c>
      <c r="X6" s="2">
        <v>0.25</v>
      </c>
      <c r="Y6" s="2">
        <v>0</v>
      </c>
      <c r="Z6" s="2">
        <v>1383.17</v>
      </c>
      <c r="AA6" s="2">
        <v>522.72</v>
      </c>
      <c r="AB6" s="2">
        <v>0</v>
      </c>
      <c r="AC6" s="2">
        <v>0</v>
      </c>
      <c r="AD6" s="2">
        <v>1</v>
      </c>
      <c r="AE6" s="2">
        <v>0</v>
      </c>
      <c r="AF6" s="2" t="s">
        <v>30</v>
      </c>
      <c r="AG6" s="2">
        <v>0.25</v>
      </c>
      <c r="AH6" s="2">
        <v>2</v>
      </c>
      <c r="AI6" s="2">
        <v>52262514</v>
      </c>
      <c r="AJ6" s="2">
        <v>6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</row>
    <row r="7" spans="1:44" x14ac:dyDescent="0.25">
      <c r="A7" s="2">
        <f>ROW('Source (2)'!A28)</f>
        <v>28</v>
      </c>
      <c r="B7" s="2">
        <v>52262523</v>
      </c>
      <c r="C7" s="2">
        <v>52262508</v>
      </c>
      <c r="D7" s="2">
        <v>49681352</v>
      </c>
      <c r="E7" s="2">
        <v>1</v>
      </c>
      <c r="F7" s="2">
        <v>1</v>
      </c>
      <c r="G7" s="2">
        <v>29</v>
      </c>
      <c r="H7" s="2">
        <v>3</v>
      </c>
      <c r="I7" s="2" t="s">
        <v>111</v>
      </c>
      <c r="J7" s="2" t="s">
        <v>367</v>
      </c>
      <c r="K7" s="2" t="s">
        <v>112</v>
      </c>
      <c r="L7" s="2">
        <v>1339</v>
      </c>
      <c r="N7" s="2">
        <v>1007</v>
      </c>
      <c r="O7" s="2" t="s">
        <v>62</v>
      </c>
      <c r="P7" s="2" t="s">
        <v>62</v>
      </c>
      <c r="Q7" s="2">
        <v>1</v>
      </c>
      <c r="X7" s="2">
        <v>0.26700000000000002</v>
      </c>
      <c r="Y7" s="2">
        <v>36.31</v>
      </c>
      <c r="Z7" s="2">
        <v>0</v>
      </c>
      <c r="AA7" s="2">
        <v>0</v>
      </c>
      <c r="AB7" s="2">
        <v>0</v>
      </c>
      <c r="AC7" s="2">
        <v>0</v>
      </c>
      <c r="AD7" s="2">
        <v>1</v>
      </c>
      <c r="AE7" s="2">
        <v>0</v>
      </c>
      <c r="AF7" s="2" t="s">
        <v>30</v>
      </c>
      <c r="AG7" s="2">
        <v>0.26700000000000002</v>
      </c>
      <c r="AH7" s="2">
        <v>2</v>
      </c>
      <c r="AI7" s="2">
        <v>52262515</v>
      </c>
      <c r="AJ7" s="2">
        <v>7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</row>
    <row r="8" spans="1:44" x14ac:dyDescent="0.25">
      <c r="A8" s="2">
        <f>ROW('Source (2)'!A28)</f>
        <v>28</v>
      </c>
      <c r="B8" s="2">
        <v>52262524</v>
      </c>
      <c r="C8" s="2">
        <v>52262508</v>
      </c>
      <c r="D8" s="2">
        <v>49682077</v>
      </c>
      <c r="E8" s="2">
        <v>1</v>
      </c>
      <c r="F8" s="2">
        <v>1</v>
      </c>
      <c r="G8" s="2">
        <v>29</v>
      </c>
      <c r="H8" s="2">
        <v>3</v>
      </c>
      <c r="I8" s="2" t="s">
        <v>113</v>
      </c>
      <c r="J8" s="2" t="s">
        <v>368</v>
      </c>
      <c r="K8" s="2" t="s">
        <v>114</v>
      </c>
      <c r="L8" s="2">
        <v>1354</v>
      </c>
      <c r="N8" s="2">
        <v>1010</v>
      </c>
      <c r="O8" s="2" t="s">
        <v>67</v>
      </c>
      <c r="P8" s="2" t="s">
        <v>67</v>
      </c>
      <c r="Q8" s="2">
        <v>1</v>
      </c>
      <c r="X8" s="2">
        <v>2.5</v>
      </c>
      <c r="Y8" s="2">
        <v>256.22000000000003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0</v>
      </c>
      <c r="AF8" s="2" t="s">
        <v>30</v>
      </c>
      <c r="AG8" s="2">
        <v>2.5</v>
      </c>
      <c r="AH8" s="2">
        <v>2</v>
      </c>
      <c r="AI8" s="2">
        <v>52262516</v>
      </c>
      <c r="AJ8" s="2">
        <v>8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</row>
    <row r="9" spans="1:44" x14ac:dyDescent="0.25">
      <c r="A9" s="2">
        <f>ROW('Source (2)'!A29)</f>
        <v>29</v>
      </c>
      <c r="B9" s="2">
        <v>52262531</v>
      </c>
      <c r="C9" s="2">
        <v>52262525</v>
      </c>
      <c r="D9" s="2">
        <v>49677488</v>
      </c>
      <c r="E9" s="2">
        <v>29</v>
      </c>
      <c r="F9" s="2">
        <v>1</v>
      </c>
      <c r="G9" s="2">
        <v>29</v>
      </c>
      <c r="H9" s="2">
        <v>1</v>
      </c>
      <c r="I9" s="2" t="s">
        <v>359</v>
      </c>
      <c r="J9" s="2" t="s">
        <v>30</v>
      </c>
      <c r="K9" s="2" t="s">
        <v>360</v>
      </c>
      <c r="L9" s="2">
        <v>1191</v>
      </c>
      <c r="N9" s="2">
        <v>1013</v>
      </c>
      <c r="O9" s="2" t="s">
        <v>361</v>
      </c>
      <c r="P9" s="2" t="s">
        <v>361</v>
      </c>
      <c r="Q9" s="2">
        <v>1</v>
      </c>
      <c r="X9" s="2">
        <v>0.04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1</v>
      </c>
      <c r="AE9" s="2">
        <v>1</v>
      </c>
      <c r="AF9" s="2" t="s">
        <v>30</v>
      </c>
      <c r="AG9" s="2">
        <v>0.04</v>
      </c>
      <c r="AH9" s="2">
        <v>2</v>
      </c>
      <c r="AI9" s="2">
        <v>52262526</v>
      </c>
      <c r="AJ9" s="2">
        <v>9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</row>
    <row r="10" spans="1:44" x14ac:dyDescent="0.25">
      <c r="A10" s="2">
        <f>ROW('Source (2)'!A29)</f>
        <v>29</v>
      </c>
      <c r="B10" s="2">
        <v>52262532</v>
      </c>
      <c r="C10" s="2">
        <v>52262525</v>
      </c>
      <c r="D10" s="2">
        <v>49678662</v>
      </c>
      <c r="E10" s="2">
        <v>1</v>
      </c>
      <c r="F10" s="2">
        <v>1</v>
      </c>
      <c r="G10" s="2">
        <v>29</v>
      </c>
      <c r="H10" s="2">
        <v>2</v>
      </c>
      <c r="I10" s="2" t="s">
        <v>93</v>
      </c>
      <c r="J10" s="2" t="s">
        <v>365</v>
      </c>
      <c r="K10" s="2" t="s">
        <v>94</v>
      </c>
      <c r="L10" s="2">
        <v>1368</v>
      </c>
      <c r="N10" s="2">
        <v>1011</v>
      </c>
      <c r="O10" s="2" t="s">
        <v>82</v>
      </c>
      <c r="P10" s="2" t="s">
        <v>82</v>
      </c>
      <c r="Q10" s="2">
        <v>1</v>
      </c>
      <c r="X10" s="2">
        <v>0.04</v>
      </c>
      <c r="Y10" s="2">
        <v>0</v>
      </c>
      <c r="Z10" s="2">
        <v>7834.05</v>
      </c>
      <c r="AA10" s="2">
        <v>1037.76</v>
      </c>
      <c r="AB10" s="2">
        <v>0</v>
      </c>
      <c r="AC10" s="2">
        <v>0</v>
      </c>
      <c r="AD10" s="2">
        <v>1</v>
      </c>
      <c r="AE10" s="2">
        <v>0</v>
      </c>
      <c r="AF10" s="2" t="s">
        <v>30</v>
      </c>
      <c r="AG10" s="2">
        <v>0.04</v>
      </c>
      <c r="AH10" s="2">
        <v>2</v>
      </c>
      <c r="AI10" s="2">
        <v>52262527</v>
      </c>
      <c r="AJ10" s="2">
        <v>10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</row>
    <row r="11" spans="1:44" x14ac:dyDescent="0.25">
      <c r="A11" s="2">
        <f>ROW('Source (2)'!A29)</f>
        <v>29</v>
      </c>
      <c r="B11" s="2">
        <v>52262533</v>
      </c>
      <c r="C11" s="2">
        <v>52262525</v>
      </c>
      <c r="D11" s="2">
        <v>49678657</v>
      </c>
      <c r="E11" s="2">
        <v>1</v>
      </c>
      <c r="F11" s="2">
        <v>1</v>
      </c>
      <c r="G11" s="2">
        <v>29</v>
      </c>
      <c r="H11" s="2">
        <v>2</v>
      </c>
      <c r="I11" s="2" t="s">
        <v>103</v>
      </c>
      <c r="J11" s="2" t="s">
        <v>366</v>
      </c>
      <c r="K11" s="2" t="s">
        <v>104</v>
      </c>
      <c r="L11" s="2">
        <v>1368</v>
      </c>
      <c r="N11" s="2">
        <v>1011</v>
      </c>
      <c r="O11" s="2" t="s">
        <v>82</v>
      </c>
      <c r="P11" s="2" t="s">
        <v>82</v>
      </c>
      <c r="Q11" s="2">
        <v>1</v>
      </c>
      <c r="X11" s="2">
        <v>0.04</v>
      </c>
      <c r="Y11" s="2">
        <v>0</v>
      </c>
      <c r="Z11" s="2">
        <v>1383.17</v>
      </c>
      <c r="AA11" s="2">
        <v>522.72</v>
      </c>
      <c r="AB11" s="2">
        <v>0</v>
      </c>
      <c r="AC11" s="2">
        <v>0</v>
      </c>
      <c r="AD11" s="2">
        <v>1</v>
      </c>
      <c r="AE11" s="2">
        <v>0</v>
      </c>
      <c r="AF11" s="2" t="s">
        <v>30</v>
      </c>
      <c r="AG11" s="2">
        <v>0.04</v>
      </c>
      <c r="AH11" s="2">
        <v>2</v>
      </c>
      <c r="AI11" s="2">
        <v>52262528</v>
      </c>
      <c r="AJ11" s="2">
        <v>11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</row>
    <row r="12" spans="1:44" x14ac:dyDescent="0.25">
      <c r="A12" s="2">
        <f>ROW('Source (2)'!A29)</f>
        <v>29</v>
      </c>
      <c r="B12" s="2">
        <v>52262534</v>
      </c>
      <c r="C12" s="2">
        <v>52262525</v>
      </c>
      <c r="D12" s="2">
        <v>49681352</v>
      </c>
      <c r="E12" s="2">
        <v>1</v>
      </c>
      <c r="F12" s="2">
        <v>1</v>
      </c>
      <c r="G12" s="2">
        <v>29</v>
      </c>
      <c r="H12" s="2">
        <v>3</v>
      </c>
      <c r="I12" s="2" t="s">
        <v>111</v>
      </c>
      <c r="J12" s="2" t="s">
        <v>367</v>
      </c>
      <c r="K12" s="2" t="s">
        <v>112</v>
      </c>
      <c r="L12" s="2">
        <v>1339</v>
      </c>
      <c r="N12" s="2">
        <v>1007</v>
      </c>
      <c r="O12" s="2" t="s">
        <v>62</v>
      </c>
      <c r="P12" s="2" t="s">
        <v>62</v>
      </c>
      <c r="Q12" s="2">
        <v>1</v>
      </c>
      <c r="X12" s="2">
        <v>4.4999999999999998E-2</v>
      </c>
      <c r="Y12" s="2">
        <v>36.31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  <c r="AE12" s="2">
        <v>0</v>
      </c>
      <c r="AF12" s="2" t="s">
        <v>30</v>
      </c>
      <c r="AG12" s="2">
        <v>4.4999999999999998E-2</v>
      </c>
      <c r="AH12" s="2">
        <v>2</v>
      </c>
      <c r="AI12" s="2">
        <v>52262529</v>
      </c>
      <c r="AJ12" s="2">
        <v>12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</row>
    <row r="13" spans="1:44" x14ac:dyDescent="0.25">
      <c r="A13" s="2">
        <f>ROW('Source (2)'!A29)</f>
        <v>29</v>
      </c>
      <c r="B13" s="2">
        <v>52262535</v>
      </c>
      <c r="C13" s="2">
        <v>52262525</v>
      </c>
      <c r="D13" s="2">
        <v>49682077</v>
      </c>
      <c r="E13" s="2">
        <v>1</v>
      </c>
      <c r="F13" s="2">
        <v>1</v>
      </c>
      <c r="G13" s="2">
        <v>29</v>
      </c>
      <c r="H13" s="2">
        <v>3</v>
      </c>
      <c r="I13" s="2" t="s">
        <v>113</v>
      </c>
      <c r="J13" s="2" t="s">
        <v>368</v>
      </c>
      <c r="K13" s="2" t="s">
        <v>114</v>
      </c>
      <c r="L13" s="2">
        <v>1354</v>
      </c>
      <c r="N13" s="2">
        <v>1010</v>
      </c>
      <c r="O13" s="2" t="s">
        <v>67</v>
      </c>
      <c r="P13" s="2" t="s">
        <v>67</v>
      </c>
      <c r="Q13" s="2">
        <v>1</v>
      </c>
      <c r="X13" s="2">
        <v>0.41</v>
      </c>
      <c r="Y13" s="2">
        <v>256.22000000000003</v>
      </c>
      <c r="Z13" s="2">
        <v>0</v>
      </c>
      <c r="AA13" s="2">
        <v>0</v>
      </c>
      <c r="AB13" s="2">
        <v>0</v>
      </c>
      <c r="AC13" s="2">
        <v>0</v>
      </c>
      <c r="AD13" s="2">
        <v>1</v>
      </c>
      <c r="AE13" s="2">
        <v>0</v>
      </c>
      <c r="AF13" s="2" t="s">
        <v>30</v>
      </c>
      <c r="AG13" s="2">
        <v>0.41</v>
      </c>
      <c r="AH13" s="2">
        <v>2</v>
      </c>
      <c r="AI13" s="2">
        <v>52262530</v>
      </c>
      <c r="AJ13" s="2">
        <v>13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</row>
    <row r="14" spans="1:44" x14ac:dyDescent="0.25">
      <c r="A14" s="2">
        <f>ROW('Source (2)'!A30)</f>
        <v>30</v>
      </c>
      <c r="B14" s="2">
        <v>52262547</v>
      </c>
      <c r="C14" s="2">
        <v>52262536</v>
      </c>
      <c r="D14" s="2">
        <v>49677488</v>
      </c>
      <c r="E14" s="2">
        <v>29</v>
      </c>
      <c r="F14" s="2">
        <v>1</v>
      </c>
      <c r="G14" s="2">
        <v>29</v>
      </c>
      <c r="H14" s="2">
        <v>1</v>
      </c>
      <c r="I14" s="2" t="s">
        <v>359</v>
      </c>
      <c r="J14" s="2" t="s">
        <v>30</v>
      </c>
      <c r="K14" s="2" t="s">
        <v>360</v>
      </c>
      <c r="L14" s="2">
        <v>1191</v>
      </c>
      <c r="N14" s="2">
        <v>1013</v>
      </c>
      <c r="O14" s="2" t="s">
        <v>361</v>
      </c>
      <c r="P14" s="2" t="s">
        <v>361</v>
      </c>
      <c r="Q14" s="2">
        <v>1</v>
      </c>
      <c r="X14" s="2">
        <v>87.29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</v>
      </c>
      <c r="AE14" s="2">
        <v>1</v>
      </c>
      <c r="AF14" s="2" t="s">
        <v>30</v>
      </c>
      <c r="AG14" s="2">
        <v>87.29</v>
      </c>
      <c r="AH14" s="2">
        <v>2</v>
      </c>
      <c r="AI14" s="2">
        <v>52262537</v>
      </c>
      <c r="AJ14" s="2">
        <v>14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</row>
    <row r="15" spans="1:44" x14ac:dyDescent="0.25">
      <c r="A15" s="2">
        <f>ROW('Source (2)'!A30)</f>
        <v>30</v>
      </c>
      <c r="B15" s="2">
        <v>52262548</v>
      </c>
      <c r="C15" s="2">
        <v>52262536</v>
      </c>
      <c r="D15" s="2">
        <v>49678449</v>
      </c>
      <c r="E15" s="2">
        <v>1</v>
      </c>
      <c r="F15" s="2">
        <v>1</v>
      </c>
      <c r="G15" s="2">
        <v>29</v>
      </c>
      <c r="H15" s="2">
        <v>2</v>
      </c>
      <c r="I15" s="2" t="s">
        <v>89</v>
      </c>
      <c r="J15" s="2" t="s">
        <v>369</v>
      </c>
      <c r="K15" s="2" t="s">
        <v>90</v>
      </c>
      <c r="L15" s="2">
        <v>1368</v>
      </c>
      <c r="N15" s="2">
        <v>1011</v>
      </c>
      <c r="O15" s="2" t="s">
        <v>82</v>
      </c>
      <c r="P15" s="2" t="s">
        <v>82</v>
      </c>
      <c r="Q15" s="2">
        <v>1</v>
      </c>
      <c r="X15" s="2">
        <v>1.59</v>
      </c>
      <c r="Y15" s="2">
        <v>0</v>
      </c>
      <c r="Z15" s="2">
        <v>780.77</v>
      </c>
      <c r="AA15" s="2">
        <v>433.88</v>
      </c>
      <c r="AB15" s="2">
        <v>0</v>
      </c>
      <c r="AC15" s="2">
        <v>0</v>
      </c>
      <c r="AD15" s="2">
        <v>1</v>
      </c>
      <c r="AE15" s="2">
        <v>0</v>
      </c>
      <c r="AF15" s="2" t="s">
        <v>30</v>
      </c>
      <c r="AG15" s="2">
        <v>1.59</v>
      </c>
      <c r="AH15" s="2">
        <v>2</v>
      </c>
      <c r="AI15" s="2">
        <v>52262538</v>
      </c>
      <c r="AJ15" s="2">
        <v>15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</row>
    <row r="16" spans="1:44" x14ac:dyDescent="0.25">
      <c r="A16" s="2">
        <f>ROW('Source (2)'!A30)</f>
        <v>30</v>
      </c>
      <c r="B16" s="2">
        <v>52262549</v>
      </c>
      <c r="C16" s="2">
        <v>52262536</v>
      </c>
      <c r="D16" s="2">
        <v>49678608</v>
      </c>
      <c r="E16" s="2">
        <v>1</v>
      </c>
      <c r="F16" s="2">
        <v>1</v>
      </c>
      <c r="G16" s="2">
        <v>29</v>
      </c>
      <c r="H16" s="2">
        <v>2</v>
      </c>
      <c r="I16" s="2" t="s">
        <v>95</v>
      </c>
      <c r="J16" s="2" t="s">
        <v>370</v>
      </c>
      <c r="K16" s="2" t="s">
        <v>96</v>
      </c>
      <c r="L16" s="2">
        <v>1368</v>
      </c>
      <c r="N16" s="2">
        <v>1011</v>
      </c>
      <c r="O16" s="2" t="s">
        <v>82</v>
      </c>
      <c r="P16" s="2" t="s">
        <v>82</v>
      </c>
      <c r="Q16" s="2">
        <v>1</v>
      </c>
      <c r="X16" s="2">
        <v>5.15</v>
      </c>
      <c r="Y16" s="2">
        <v>0</v>
      </c>
      <c r="Z16" s="2">
        <v>1331.87</v>
      </c>
      <c r="AA16" s="2">
        <v>518.54999999999995</v>
      </c>
      <c r="AB16" s="2">
        <v>0</v>
      </c>
      <c r="AC16" s="2">
        <v>0</v>
      </c>
      <c r="AD16" s="2">
        <v>1</v>
      </c>
      <c r="AE16" s="2">
        <v>0</v>
      </c>
      <c r="AF16" s="2" t="s">
        <v>30</v>
      </c>
      <c r="AG16" s="2">
        <v>5.15</v>
      </c>
      <c r="AH16" s="2">
        <v>2</v>
      </c>
      <c r="AI16" s="2">
        <v>52262539</v>
      </c>
      <c r="AJ16" s="2">
        <v>16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</row>
    <row r="17" spans="1:44" x14ac:dyDescent="0.25">
      <c r="A17" s="2">
        <f>ROW('Source (2)'!A30)</f>
        <v>30</v>
      </c>
      <c r="B17" s="2">
        <v>52262550</v>
      </c>
      <c r="C17" s="2">
        <v>52262536</v>
      </c>
      <c r="D17" s="2">
        <v>49678594</v>
      </c>
      <c r="E17" s="2">
        <v>1</v>
      </c>
      <c r="F17" s="2">
        <v>1</v>
      </c>
      <c r="G17" s="2">
        <v>29</v>
      </c>
      <c r="H17" s="2">
        <v>2</v>
      </c>
      <c r="I17" s="2" t="s">
        <v>97</v>
      </c>
      <c r="J17" s="2" t="s">
        <v>371</v>
      </c>
      <c r="K17" s="2" t="s">
        <v>98</v>
      </c>
      <c r="L17" s="2">
        <v>1368</v>
      </c>
      <c r="N17" s="2">
        <v>1011</v>
      </c>
      <c r="O17" s="2" t="s">
        <v>82</v>
      </c>
      <c r="P17" s="2" t="s">
        <v>82</v>
      </c>
      <c r="Q17" s="2">
        <v>1</v>
      </c>
      <c r="X17" s="2">
        <v>11.26</v>
      </c>
      <c r="Y17" s="2">
        <v>0</v>
      </c>
      <c r="Z17" s="2">
        <v>1364.68</v>
      </c>
      <c r="AA17" s="2">
        <v>556.52</v>
      </c>
      <c r="AB17" s="2">
        <v>0</v>
      </c>
      <c r="AC17" s="2">
        <v>0</v>
      </c>
      <c r="AD17" s="2">
        <v>1</v>
      </c>
      <c r="AE17" s="2">
        <v>0</v>
      </c>
      <c r="AF17" s="2" t="s">
        <v>30</v>
      </c>
      <c r="AG17" s="2">
        <v>11.26</v>
      </c>
      <c r="AH17" s="2">
        <v>2</v>
      </c>
      <c r="AI17" s="2">
        <v>52262540</v>
      </c>
      <c r="AJ17" s="2">
        <v>17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</row>
    <row r="18" spans="1:44" x14ac:dyDescent="0.25">
      <c r="A18" s="2">
        <f>ROW('Source (2)'!A30)</f>
        <v>30</v>
      </c>
      <c r="B18" s="2">
        <v>52262551</v>
      </c>
      <c r="C18" s="2">
        <v>52262536</v>
      </c>
      <c r="D18" s="2">
        <v>49678595</v>
      </c>
      <c r="E18" s="2">
        <v>1</v>
      </c>
      <c r="F18" s="2">
        <v>1</v>
      </c>
      <c r="G18" s="2">
        <v>29</v>
      </c>
      <c r="H18" s="2">
        <v>2</v>
      </c>
      <c r="I18" s="2" t="s">
        <v>99</v>
      </c>
      <c r="J18" s="2" t="s">
        <v>372</v>
      </c>
      <c r="K18" s="2" t="s">
        <v>100</v>
      </c>
      <c r="L18" s="2">
        <v>1368</v>
      </c>
      <c r="N18" s="2">
        <v>1011</v>
      </c>
      <c r="O18" s="2" t="s">
        <v>82</v>
      </c>
      <c r="P18" s="2" t="s">
        <v>82</v>
      </c>
      <c r="Q18" s="2">
        <v>1</v>
      </c>
      <c r="X18" s="2">
        <v>32.19</v>
      </c>
      <c r="Y18" s="2">
        <v>0</v>
      </c>
      <c r="Z18" s="2">
        <v>1888.15</v>
      </c>
      <c r="AA18" s="2">
        <v>756.58</v>
      </c>
      <c r="AB18" s="2">
        <v>0</v>
      </c>
      <c r="AC18" s="2">
        <v>0</v>
      </c>
      <c r="AD18" s="2">
        <v>1</v>
      </c>
      <c r="AE18" s="2">
        <v>0</v>
      </c>
      <c r="AF18" s="2" t="s">
        <v>30</v>
      </c>
      <c r="AG18" s="2">
        <v>32.19</v>
      </c>
      <c r="AH18" s="2">
        <v>2</v>
      </c>
      <c r="AI18" s="2">
        <v>52262541</v>
      </c>
      <c r="AJ18" s="2">
        <v>18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</row>
    <row r="19" spans="1:44" x14ac:dyDescent="0.25">
      <c r="A19" s="2">
        <f>ROW('Source (2)'!A30)</f>
        <v>30</v>
      </c>
      <c r="B19" s="2">
        <v>52262552</v>
      </c>
      <c r="C19" s="2">
        <v>52262536</v>
      </c>
      <c r="D19" s="2">
        <v>49678632</v>
      </c>
      <c r="E19" s="2">
        <v>1</v>
      </c>
      <c r="F19" s="2">
        <v>1</v>
      </c>
      <c r="G19" s="2">
        <v>29</v>
      </c>
      <c r="H19" s="2">
        <v>2</v>
      </c>
      <c r="I19" s="2" t="s">
        <v>101</v>
      </c>
      <c r="J19" s="2" t="s">
        <v>373</v>
      </c>
      <c r="K19" s="2" t="s">
        <v>102</v>
      </c>
      <c r="L19" s="2">
        <v>1368</v>
      </c>
      <c r="N19" s="2">
        <v>1011</v>
      </c>
      <c r="O19" s="2" t="s">
        <v>82</v>
      </c>
      <c r="P19" s="2" t="s">
        <v>82</v>
      </c>
      <c r="Q19" s="2">
        <v>1</v>
      </c>
      <c r="X19" s="2">
        <v>5.81</v>
      </c>
      <c r="Y19" s="2">
        <v>0</v>
      </c>
      <c r="Z19" s="2">
        <v>1586.43</v>
      </c>
      <c r="AA19" s="2">
        <v>752.49</v>
      </c>
      <c r="AB19" s="2">
        <v>0</v>
      </c>
      <c r="AC19" s="2">
        <v>0</v>
      </c>
      <c r="AD19" s="2">
        <v>1</v>
      </c>
      <c r="AE19" s="2">
        <v>0</v>
      </c>
      <c r="AF19" s="2" t="s">
        <v>30</v>
      </c>
      <c r="AG19" s="2">
        <v>5.81</v>
      </c>
      <c r="AH19" s="2">
        <v>2</v>
      </c>
      <c r="AI19" s="2">
        <v>52262542</v>
      </c>
      <c r="AJ19" s="2">
        <v>19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</row>
    <row r="20" spans="1:44" x14ac:dyDescent="0.25">
      <c r="A20" s="2">
        <f>ROW('Source (2)'!A30)</f>
        <v>30</v>
      </c>
      <c r="B20" s="2">
        <v>52262553</v>
      </c>
      <c r="C20" s="2">
        <v>52262536</v>
      </c>
      <c r="D20" s="2">
        <v>49680618</v>
      </c>
      <c r="E20" s="2">
        <v>1</v>
      </c>
      <c r="F20" s="2">
        <v>1</v>
      </c>
      <c r="G20" s="2">
        <v>29</v>
      </c>
      <c r="H20" s="2">
        <v>3</v>
      </c>
      <c r="I20" s="2" t="s">
        <v>191</v>
      </c>
      <c r="J20" s="2" t="s">
        <v>193</v>
      </c>
      <c r="K20" s="2" t="s">
        <v>192</v>
      </c>
      <c r="L20" s="2">
        <v>1339</v>
      </c>
      <c r="N20" s="2">
        <v>1007</v>
      </c>
      <c r="O20" s="2" t="s">
        <v>62</v>
      </c>
      <c r="P20" s="2" t="s">
        <v>62</v>
      </c>
      <c r="Q20" s="2">
        <v>1</v>
      </c>
      <c r="X20" s="2">
        <v>11.5</v>
      </c>
      <c r="Y20" s="2">
        <v>1610.75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 t="s">
        <v>30</v>
      </c>
      <c r="AG20" s="2">
        <v>11.5</v>
      </c>
      <c r="AH20" s="2">
        <v>2</v>
      </c>
      <c r="AI20" s="2">
        <v>52262543</v>
      </c>
      <c r="AJ20" s="2">
        <v>21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</row>
    <row r="21" spans="1:44" x14ac:dyDescent="0.25">
      <c r="A21" s="2">
        <f>ROW('Source (2)'!A30)</f>
        <v>30</v>
      </c>
      <c r="B21" s="2">
        <v>52262554</v>
      </c>
      <c r="C21" s="2">
        <v>52262536</v>
      </c>
      <c r="D21" s="2">
        <v>49680619</v>
      </c>
      <c r="E21" s="2">
        <v>1</v>
      </c>
      <c r="F21" s="2">
        <v>1</v>
      </c>
      <c r="G21" s="2">
        <v>29</v>
      </c>
      <c r="H21" s="2">
        <v>3</v>
      </c>
      <c r="I21" s="2" t="s">
        <v>194</v>
      </c>
      <c r="J21" s="2" t="s">
        <v>196</v>
      </c>
      <c r="K21" s="2" t="s">
        <v>195</v>
      </c>
      <c r="L21" s="2">
        <v>1339</v>
      </c>
      <c r="N21" s="2">
        <v>1007</v>
      </c>
      <c r="O21" s="2" t="s">
        <v>62</v>
      </c>
      <c r="P21" s="2" t="s">
        <v>62</v>
      </c>
      <c r="Q21" s="2">
        <v>1</v>
      </c>
      <c r="X21" s="2">
        <v>55</v>
      </c>
      <c r="Y21" s="2">
        <v>1542.75</v>
      </c>
      <c r="Z21" s="2">
        <v>0</v>
      </c>
      <c r="AA21" s="2">
        <v>0</v>
      </c>
      <c r="AB21" s="2">
        <v>0</v>
      </c>
      <c r="AC21" s="2">
        <v>0</v>
      </c>
      <c r="AD21" s="2">
        <v>1</v>
      </c>
      <c r="AE21" s="2">
        <v>0</v>
      </c>
      <c r="AF21" s="2" t="s">
        <v>30</v>
      </c>
      <c r="AG21" s="2">
        <v>55</v>
      </c>
      <c r="AH21" s="2">
        <v>2</v>
      </c>
      <c r="AI21" s="2">
        <v>52262544</v>
      </c>
      <c r="AJ21" s="2">
        <v>22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</row>
    <row r="22" spans="1:44" x14ac:dyDescent="0.25">
      <c r="A22" s="2">
        <f>ROW('Source (2)'!A30)</f>
        <v>30</v>
      </c>
      <c r="B22" s="2">
        <v>52262555</v>
      </c>
      <c r="C22" s="2">
        <v>52262536</v>
      </c>
      <c r="D22" s="2">
        <v>49681352</v>
      </c>
      <c r="E22" s="2">
        <v>1</v>
      </c>
      <c r="F22" s="2">
        <v>1</v>
      </c>
      <c r="G22" s="2">
        <v>29</v>
      </c>
      <c r="H22" s="2">
        <v>3</v>
      </c>
      <c r="I22" s="2" t="s">
        <v>111</v>
      </c>
      <c r="J22" s="2" t="s">
        <v>367</v>
      </c>
      <c r="K22" s="2" t="s">
        <v>112</v>
      </c>
      <c r="L22" s="2">
        <v>1339</v>
      </c>
      <c r="N22" s="2">
        <v>1007</v>
      </c>
      <c r="O22" s="2" t="s">
        <v>62</v>
      </c>
      <c r="P22" s="2" t="s">
        <v>62</v>
      </c>
      <c r="Q22" s="2">
        <v>1</v>
      </c>
      <c r="X22" s="2">
        <v>25</v>
      </c>
      <c r="Y22" s="2">
        <v>36.31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  <c r="AE22" s="2">
        <v>0</v>
      </c>
      <c r="AF22" s="2" t="s">
        <v>30</v>
      </c>
      <c r="AG22" s="2">
        <v>25</v>
      </c>
      <c r="AH22" s="2">
        <v>2</v>
      </c>
      <c r="AI22" s="2">
        <v>52262545</v>
      </c>
      <c r="AJ22" s="2">
        <v>23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</row>
    <row r="23" spans="1:44" x14ac:dyDescent="0.25">
      <c r="A23" s="2">
        <f>ROW('Source (2)'!A34)</f>
        <v>34</v>
      </c>
      <c r="B23" s="2">
        <v>52262562</v>
      </c>
      <c r="C23" s="2">
        <v>52262559</v>
      </c>
      <c r="D23" s="2">
        <v>49679217</v>
      </c>
      <c r="E23" s="2">
        <v>1</v>
      </c>
      <c r="F23" s="2">
        <v>1</v>
      </c>
      <c r="G23" s="2">
        <v>29</v>
      </c>
      <c r="H23" s="2">
        <v>2</v>
      </c>
      <c r="I23" s="2" t="s">
        <v>85</v>
      </c>
      <c r="J23" s="2" t="s">
        <v>374</v>
      </c>
      <c r="K23" s="2" t="s">
        <v>86</v>
      </c>
      <c r="L23" s="2">
        <v>1368</v>
      </c>
      <c r="N23" s="2">
        <v>1011</v>
      </c>
      <c r="O23" s="2" t="s">
        <v>82</v>
      </c>
      <c r="P23" s="2" t="s">
        <v>82</v>
      </c>
      <c r="Q23" s="2">
        <v>1</v>
      </c>
      <c r="X23" s="2">
        <v>0.02</v>
      </c>
      <c r="Y23" s="2">
        <v>0</v>
      </c>
      <c r="Z23" s="2">
        <v>1070.1199999999999</v>
      </c>
      <c r="AA23" s="2">
        <v>332.66</v>
      </c>
      <c r="AB23" s="2">
        <v>0</v>
      </c>
      <c r="AC23" s="2">
        <v>0</v>
      </c>
      <c r="AD23" s="2">
        <v>1</v>
      </c>
      <c r="AE23" s="2">
        <v>0</v>
      </c>
      <c r="AF23" s="2" t="s">
        <v>30</v>
      </c>
      <c r="AG23" s="2">
        <v>0.02</v>
      </c>
      <c r="AH23" s="2">
        <v>2</v>
      </c>
      <c r="AI23" s="2">
        <v>52262560</v>
      </c>
      <c r="AJ23" s="2">
        <v>24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</row>
    <row r="24" spans="1:44" x14ac:dyDescent="0.25">
      <c r="A24" s="2">
        <f>ROW('Source (2)'!A34)</f>
        <v>34</v>
      </c>
      <c r="B24" s="2">
        <v>52262563</v>
      </c>
      <c r="C24" s="2">
        <v>52262559</v>
      </c>
      <c r="D24" s="2">
        <v>49679218</v>
      </c>
      <c r="E24" s="2">
        <v>1</v>
      </c>
      <c r="F24" s="2">
        <v>1</v>
      </c>
      <c r="G24" s="2">
        <v>29</v>
      </c>
      <c r="H24" s="2">
        <v>2</v>
      </c>
      <c r="I24" s="2" t="s">
        <v>87</v>
      </c>
      <c r="J24" s="2" t="s">
        <v>375</v>
      </c>
      <c r="K24" s="2" t="s">
        <v>88</v>
      </c>
      <c r="L24" s="2">
        <v>1368</v>
      </c>
      <c r="N24" s="2">
        <v>1011</v>
      </c>
      <c r="O24" s="2" t="s">
        <v>82</v>
      </c>
      <c r="P24" s="2" t="s">
        <v>82</v>
      </c>
      <c r="Q24" s="2">
        <v>1</v>
      </c>
      <c r="X24" s="2">
        <v>1.7999999999999999E-2</v>
      </c>
      <c r="Y24" s="2">
        <v>0</v>
      </c>
      <c r="Z24" s="2">
        <v>1080.76</v>
      </c>
      <c r="AA24" s="2">
        <v>332.99</v>
      </c>
      <c r="AB24" s="2">
        <v>0</v>
      </c>
      <c r="AC24" s="2">
        <v>0</v>
      </c>
      <c r="AD24" s="2">
        <v>1</v>
      </c>
      <c r="AE24" s="2">
        <v>0</v>
      </c>
      <c r="AF24" s="2" t="s">
        <v>30</v>
      </c>
      <c r="AG24" s="2">
        <v>1.7999999999999999E-2</v>
      </c>
      <c r="AH24" s="2">
        <v>2</v>
      </c>
      <c r="AI24" s="2">
        <v>52262561</v>
      </c>
      <c r="AJ24" s="2">
        <v>25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</row>
    <row r="25" spans="1:44" x14ac:dyDescent="0.25">
      <c r="A25" s="2">
        <f>ROW('Source (2)'!A35)</f>
        <v>35</v>
      </c>
      <c r="B25" s="2">
        <v>52262567</v>
      </c>
      <c r="C25" s="2">
        <v>52262564</v>
      </c>
      <c r="D25" s="2">
        <v>49679217</v>
      </c>
      <c r="E25" s="2">
        <v>1</v>
      </c>
      <c r="F25" s="2">
        <v>1</v>
      </c>
      <c r="G25" s="2">
        <v>29</v>
      </c>
      <c r="H25" s="2">
        <v>2</v>
      </c>
      <c r="I25" s="2" t="s">
        <v>85</v>
      </c>
      <c r="J25" s="2" t="s">
        <v>374</v>
      </c>
      <c r="K25" s="2" t="s">
        <v>86</v>
      </c>
      <c r="L25" s="2">
        <v>1368</v>
      </c>
      <c r="N25" s="2">
        <v>1011</v>
      </c>
      <c r="O25" s="2" t="s">
        <v>82</v>
      </c>
      <c r="P25" s="2" t="s">
        <v>82</v>
      </c>
      <c r="Q25" s="2">
        <v>1</v>
      </c>
      <c r="X25" s="2">
        <v>0.01</v>
      </c>
      <c r="Y25" s="2">
        <v>0</v>
      </c>
      <c r="Z25" s="2">
        <v>1070.1199999999999</v>
      </c>
      <c r="AA25" s="2">
        <v>332.66</v>
      </c>
      <c r="AB25" s="2">
        <v>0</v>
      </c>
      <c r="AC25" s="2">
        <v>0</v>
      </c>
      <c r="AD25" s="2">
        <v>1</v>
      </c>
      <c r="AE25" s="2">
        <v>0</v>
      </c>
      <c r="AF25" s="2" t="s">
        <v>207</v>
      </c>
      <c r="AG25" s="2">
        <v>0.52</v>
      </c>
      <c r="AH25" s="2">
        <v>2</v>
      </c>
      <c r="AI25" s="2">
        <v>52262565</v>
      </c>
      <c r="AJ25" s="2">
        <v>26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</row>
    <row r="26" spans="1:44" x14ac:dyDescent="0.25">
      <c r="A26" s="2">
        <f>ROW('Source (2)'!A35)</f>
        <v>35</v>
      </c>
      <c r="B26" s="2">
        <v>52262568</v>
      </c>
      <c r="C26" s="2">
        <v>52262564</v>
      </c>
      <c r="D26" s="2">
        <v>49679218</v>
      </c>
      <c r="E26" s="2">
        <v>1</v>
      </c>
      <c r="F26" s="2">
        <v>1</v>
      </c>
      <c r="G26" s="2">
        <v>29</v>
      </c>
      <c r="H26" s="2">
        <v>2</v>
      </c>
      <c r="I26" s="2" t="s">
        <v>87</v>
      </c>
      <c r="J26" s="2" t="s">
        <v>375</v>
      </c>
      <c r="K26" s="2" t="s">
        <v>88</v>
      </c>
      <c r="L26" s="2">
        <v>1368</v>
      </c>
      <c r="N26" s="2">
        <v>1011</v>
      </c>
      <c r="O26" s="2" t="s">
        <v>82</v>
      </c>
      <c r="P26" s="2" t="s">
        <v>82</v>
      </c>
      <c r="Q26" s="2">
        <v>1</v>
      </c>
      <c r="X26" s="2">
        <v>8.0000000000000002E-3</v>
      </c>
      <c r="Y26" s="2">
        <v>0</v>
      </c>
      <c r="Z26" s="2">
        <v>1080.76</v>
      </c>
      <c r="AA26" s="2">
        <v>332.99</v>
      </c>
      <c r="AB26" s="2">
        <v>0</v>
      </c>
      <c r="AC26" s="2">
        <v>0</v>
      </c>
      <c r="AD26" s="2">
        <v>1</v>
      </c>
      <c r="AE26" s="2">
        <v>0</v>
      </c>
      <c r="AF26" s="2" t="s">
        <v>207</v>
      </c>
      <c r="AG26" s="2">
        <v>0.41599999999999998</v>
      </c>
      <c r="AH26" s="2">
        <v>2</v>
      </c>
      <c r="AI26" s="2">
        <v>52262566</v>
      </c>
      <c r="AJ26" s="2">
        <v>27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</row>
    <row r="27" spans="1:44" x14ac:dyDescent="0.25">
      <c r="A27" s="2">
        <f>ROW('Source (2)'!A36)</f>
        <v>36</v>
      </c>
      <c r="B27" s="2">
        <v>52262575</v>
      </c>
      <c r="C27" s="2">
        <v>52262569</v>
      </c>
      <c r="D27" s="2">
        <v>49677488</v>
      </c>
      <c r="E27" s="2">
        <v>29</v>
      </c>
      <c r="F27" s="2">
        <v>1</v>
      </c>
      <c r="G27" s="2">
        <v>29</v>
      </c>
      <c r="H27" s="2">
        <v>1</v>
      </c>
      <c r="I27" s="2" t="s">
        <v>359</v>
      </c>
      <c r="J27" s="2" t="s">
        <v>30</v>
      </c>
      <c r="K27" s="2" t="s">
        <v>360</v>
      </c>
      <c r="L27" s="2">
        <v>1191</v>
      </c>
      <c r="N27" s="2">
        <v>1013</v>
      </c>
      <c r="O27" s="2" t="s">
        <v>361</v>
      </c>
      <c r="P27" s="2" t="s">
        <v>361</v>
      </c>
      <c r="Q27" s="2">
        <v>1</v>
      </c>
      <c r="X27" s="2">
        <v>10.3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1</v>
      </c>
      <c r="AE27" s="2">
        <v>1</v>
      </c>
      <c r="AF27" s="2" t="s">
        <v>30</v>
      </c>
      <c r="AG27" s="2">
        <v>10.3</v>
      </c>
      <c r="AH27" s="2">
        <v>2</v>
      </c>
      <c r="AI27" s="2">
        <v>52262570</v>
      </c>
      <c r="AJ27" s="2">
        <v>28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</row>
    <row r="28" spans="1:44" x14ac:dyDescent="0.25">
      <c r="A28" s="2">
        <f>ROW('Source (2)'!A36)</f>
        <v>36</v>
      </c>
      <c r="B28" s="2">
        <v>52262576</v>
      </c>
      <c r="C28" s="2">
        <v>52262569</v>
      </c>
      <c r="D28" s="2">
        <v>49678594</v>
      </c>
      <c r="E28" s="2">
        <v>1</v>
      </c>
      <c r="F28" s="2">
        <v>1</v>
      </c>
      <c r="G28" s="2">
        <v>29</v>
      </c>
      <c r="H28" s="2">
        <v>2</v>
      </c>
      <c r="I28" s="2" t="s">
        <v>97</v>
      </c>
      <c r="J28" s="2" t="s">
        <v>371</v>
      </c>
      <c r="K28" s="2" t="s">
        <v>98</v>
      </c>
      <c r="L28" s="2">
        <v>1368</v>
      </c>
      <c r="N28" s="2">
        <v>1011</v>
      </c>
      <c r="O28" s="2" t="s">
        <v>82</v>
      </c>
      <c r="P28" s="2" t="s">
        <v>82</v>
      </c>
      <c r="Q28" s="2">
        <v>1</v>
      </c>
      <c r="X28" s="2">
        <v>0.89</v>
      </c>
      <c r="Y28" s="2">
        <v>0</v>
      </c>
      <c r="Z28" s="2">
        <v>1364.68</v>
      </c>
      <c r="AA28" s="2">
        <v>556.52</v>
      </c>
      <c r="AB28" s="2">
        <v>0</v>
      </c>
      <c r="AC28" s="2">
        <v>0</v>
      </c>
      <c r="AD28" s="2">
        <v>1</v>
      </c>
      <c r="AE28" s="2">
        <v>0</v>
      </c>
      <c r="AF28" s="2" t="s">
        <v>30</v>
      </c>
      <c r="AG28" s="2">
        <v>0.89</v>
      </c>
      <c r="AH28" s="2">
        <v>2</v>
      </c>
      <c r="AI28" s="2">
        <v>52262571</v>
      </c>
      <c r="AJ28" s="2">
        <v>29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</row>
    <row r="29" spans="1:44" x14ac:dyDescent="0.25">
      <c r="A29" s="2">
        <f>ROW('Source (2)'!A36)</f>
        <v>36</v>
      </c>
      <c r="B29" s="2">
        <v>52262577</v>
      </c>
      <c r="C29" s="2">
        <v>52262569</v>
      </c>
      <c r="D29" s="2">
        <v>49679414</v>
      </c>
      <c r="E29" s="2">
        <v>1</v>
      </c>
      <c r="F29" s="2">
        <v>1</v>
      </c>
      <c r="G29" s="2">
        <v>29</v>
      </c>
      <c r="H29" s="2">
        <v>3</v>
      </c>
      <c r="I29" s="2" t="s">
        <v>109</v>
      </c>
      <c r="J29" s="2" t="s">
        <v>376</v>
      </c>
      <c r="K29" s="2" t="s">
        <v>110</v>
      </c>
      <c r="L29" s="2">
        <v>1348</v>
      </c>
      <c r="N29" s="2">
        <v>1009</v>
      </c>
      <c r="O29" s="2" t="s">
        <v>63</v>
      </c>
      <c r="P29" s="2" t="s">
        <v>63</v>
      </c>
      <c r="Q29" s="2">
        <v>1000</v>
      </c>
      <c r="X29" s="2">
        <v>0.06</v>
      </c>
      <c r="Y29" s="2">
        <v>34834.18</v>
      </c>
      <c r="Z29" s="2">
        <v>0</v>
      </c>
      <c r="AA29" s="2">
        <v>0</v>
      </c>
      <c r="AB29" s="2">
        <v>0</v>
      </c>
      <c r="AC29" s="2">
        <v>0</v>
      </c>
      <c r="AD29" s="2">
        <v>1</v>
      </c>
      <c r="AE29" s="2">
        <v>0</v>
      </c>
      <c r="AF29" s="2" t="s">
        <v>30</v>
      </c>
      <c r="AG29" s="2">
        <v>0.06</v>
      </c>
      <c r="AH29" s="2">
        <v>2</v>
      </c>
      <c r="AI29" s="2">
        <v>52262572</v>
      </c>
      <c r="AJ29" s="2">
        <v>30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</row>
    <row r="30" spans="1:44" x14ac:dyDescent="0.25">
      <c r="A30" s="2">
        <f>ROW('Source (2)'!A36)</f>
        <v>36</v>
      </c>
      <c r="B30" s="2">
        <v>52262578</v>
      </c>
      <c r="C30" s="2">
        <v>52262569</v>
      </c>
      <c r="D30" s="2">
        <v>49682551</v>
      </c>
      <c r="E30" s="2">
        <v>1</v>
      </c>
      <c r="F30" s="2">
        <v>1</v>
      </c>
      <c r="G30" s="2">
        <v>29</v>
      </c>
      <c r="H30" s="2">
        <v>3</v>
      </c>
      <c r="I30" s="2" t="s">
        <v>160</v>
      </c>
      <c r="J30" s="2" t="s">
        <v>213</v>
      </c>
      <c r="K30" s="2" t="s">
        <v>212</v>
      </c>
      <c r="L30" s="2">
        <v>1348</v>
      </c>
      <c r="N30" s="2">
        <v>1009</v>
      </c>
      <c r="O30" s="2" t="s">
        <v>63</v>
      </c>
      <c r="P30" s="2" t="s">
        <v>63</v>
      </c>
      <c r="Q30" s="2">
        <v>1000</v>
      </c>
      <c r="X30" s="2">
        <v>7.14</v>
      </c>
      <c r="Y30" s="2">
        <v>2954.24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  <c r="AF30" s="2" t="s">
        <v>30</v>
      </c>
      <c r="AG30" s="2">
        <v>7.14</v>
      </c>
      <c r="AH30" s="2">
        <v>2</v>
      </c>
      <c r="AI30" s="2">
        <v>52262573</v>
      </c>
      <c r="AJ30" s="2">
        <v>31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</row>
    <row r="31" spans="1:44" x14ac:dyDescent="0.25">
      <c r="A31" s="2">
        <f>ROW('Source (2)'!A84)</f>
        <v>84</v>
      </c>
      <c r="B31" s="2">
        <v>52262600</v>
      </c>
      <c r="C31" s="2">
        <v>52262581</v>
      </c>
      <c r="D31" s="2">
        <v>49677488</v>
      </c>
      <c r="E31" s="2">
        <v>29</v>
      </c>
      <c r="F31" s="2">
        <v>1</v>
      </c>
      <c r="G31" s="2">
        <v>29</v>
      </c>
      <c r="H31" s="2">
        <v>1</v>
      </c>
      <c r="I31" s="2" t="s">
        <v>359</v>
      </c>
      <c r="J31" s="2" t="s">
        <v>30</v>
      </c>
      <c r="K31" s="2" t="s">
        <v>360</v>
      </c>
      <c r="L31" s="2">
        <v>1191</v>
      </c>
      <c r="N31" s="2">
        <v>1013</v>
      </c>
      <c r="O31" s="2" t="s">
        <v>361</v>
      </c>
      <c r="P31" s="2" t="s">
        <v>361</v>
      </c>
      <c r="Q31" s="2">
        <v>1</v>
      </c>
      <c r="X31" s="2">
        <v>0.66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</v>
      </c>
      <c r="AE31" s="2">
        <v>1</v>
      </c>
      <c r="AF31" s="2" t="s">
        <v>30</v>
      </c>
      <c r="AG31" s="2">
        <v>0.66</v>
      </c>
      <c r="AH31" s="2">
        <v>2</v>
      </c>
      <c r="AI31" s="2">
        <v>52262582</v>
      </c>
      <c r="AJ31" s="2">
        <v>33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</row>
    <row r="32" spans="1:44" x14ac:dyDescent="0.25">
      <c r="A32" s="2">
        <f>ROW('Source (2)'!A84)</f>
        <v>84</v>
      </c>
      <c r="B32" s="2">
        <v>52262601</v>
      </c>
      <c r="C32" s="2">
        <v>52262581</v>
      </c>
      <c r="D32" s="2">
        <v>49678762</v>
      </c>
      <c r="E32" s="2">
        <v>1</v>
      </c>
      <c r="F32" s="2">
        <v>1</v>
      </c>
      <c r="G32" s="2">
        <v>29</v>
      </c>
      <c r="H32" s="2">
        <v>2</v>
      </c>
      <c r="I32" s="2" t="s">
        <v>116</v>
      </c>
      <c r="J32" s="2" t="s">
        <v>377</v>
      </c>
      <c r="K32" s="2" t="s">
        <v>117</v>
      </c>
      <c r="L32" s="2">
        <v>1368</v>
      </c>
      <c r="N32" s="2">
        <v>1011</v>
      </c>
      <c r="O32" s="2" t="s">
        <v>82</v>
      </c>
      <c r="P32" s="2" t="s">
        <v>82</v>
      </c>
      <c r="Q32" s="2">
        <v>1</v>
      </c>
      <c r="X32" s="2">
        <v>0.13200000000000001</v>
      </c>
      <c r="Y32" s="2">
        <v>0</v>
      </c>
      <c r="Z32" s="2">
        <v>493.52</v>
      </c>
      <c r="AA32" s="2">
        <v>377.79</v>
      </c>
      <c r="AB32" s="2">
        <v>0</v>
      </c>
      <c r="AC32" s="2">
        <v>0</v>
      </c>
      <c r="AD32" s="2">
        <v>1</v>
      </c>
      <c r="AE32" s="2">
        <v>0</v>
      </c>
      <c r="AF32" s="2" t="s">
        <v>30</v>
      </c>
      <c r="AG32" s="2">
        <v>0.13200000000000001</v>
      </c>
      <c r="AH32" s="2">
        <v>2</v>
      </c>
      <c r="AI32" s="2">
        <v>52262583</v>
      </c>
      <c r="AJ32" s="2">
        <v>34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</row>
    <row r="33" spans="1:44" x14ac:dyDescent="0.25">
      <c r="A33" s="2">
        <f>ROW('Source (2)'!A84)</f>
        <v>84</v>
      </c>
      <c r="B33" s="2">
        <v>52262602</v>
      </c>
      <c r="C33" s="2">
        <v>52262581</v>
      </c>
      <c r="D33" s="2">
        <v>49679228</v>
      </c>
      <c r="E33" s="2">
        <v>1</v>
      </c>
      <c r="F33" s="2">
        <v>1</v>
      </c>
      <c r="G33" s="2">
        <v>29</v>
      </c>
      <c r="H33" s="2">
        <v>2</v>
      </c>
      <c r="I33" s="2" t="s">
        <v>118</v>
      </c>
      <c r="J33" s="2" t="s">
        <v>378</v>
      </c>
      <c r="K33" s="2" t="s">
        <v>119</v>
      </c>
      <c r="L33" s="2">
        <v>1368</v>
      </c>
      <c r="N33" s="2">
        <v>1011</v>
      </c>
      <c r="O33" s="2" t="s">
        <v>82</v>
      </c>
      <c r="P33" s="2" t="s">
        <v>82</v>
      </c>
      <c r="Q33" s="2">
        <v>1</v>
      </c>
      <c r="X33" s="2">
        <v>0.05</v>
      </c>
      <c r="Y33" s="2">
        <v>0</v>
      </c>
      <c r="Z33" s="2">
        <v>1153.51</v>
      </c>
      <c r="AA33" s="2">
        <v>408.74</v>
      </c>
      <c r="AB33" s="2">
        <v>0</v>
      </c>
      <c r="AC33" s="2">
        <v>0</v>
      </c>
      <c r="AD33" s="2">
        <v>1</v>
      </c>
      <c r="AE33" s="2">
        <v>0</v>
      </c>
      <c r="AF33" s="2" t="s">
        <v>30</v>
      </c>
      <c r="AG33" s="2">
        <v>0.05</v>
      </c>
      <c r="AH33" s="2">
        <v>2</v>
      </c>
      <c r="AI33" s="2">
        <v>52262584</v>
      </c>
      <c r="AJ33" s="2">
        <v>35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</row>
    <row r="34" spans="1:44" x14ac:dyDescent="0.25">
      <c r="A34" s="2">
        <f>ROW('Source (2)'!A84)</f>
        <v>84</v>
      </c>
      <c r="B34" s="2">
        <v>52262603</v>
      </c>
      <c r="C34" s="2">
        <v>52262581</v>
      </c>
      <c r="D34" s="2">
        <v>49679291</v>
      </c>
      <c r="E34" s="2">
        <v>1</v>
      </c>
      <c r="F34" s="2">
        <v>1</v>
      </c>
      <c r="G34" s="2">
        <v>29</v>
      </c>
      <c r="H34" s="2">
        <v>2</v>
      </c>
      <c r="I34" s="2" t="s">
        <v>91</v>
      </c>
      <c r="J34" s="2" t="s">
        <v>364</v>
      </c>
      <c r="K34" s="2" t="s">
        <v>92</v>
      </c>
      <c r="L34" s="2">
        <v>1368</v>
      </c>
      <c r="N34" s="2">
        <v>1011</v>
      </c>
      <c r="O34" s="2" t="s">
        <v>82</v>
      </c>
      <c r="P34" s="2" t="s">
        <v>82</v>
      </c>
      <c r="Q34" s="2">
        <v>1</v>
      </c>
      <c r="X34" s="2">
        <v>0.13200000000000001</v>
      </c>
      <c r="Y34" s="2">
        <v>0</v>
      </c>
      <c r="Z34" s="2">
        <v>6.02</v>
      </c>
      <c r="AA34" s="2">
        <v>0.02</v>
      </c>
      <c r="AB34" s="2">
        <v>0</v>
      </c>
      <c r="AC34" s="2">
        <v>0</v>
      </c>
      <c r="AD34" s="2">
        <v>1</v>
      </c>
      <c r="AE34" s="2">
        <v>0</v>
      </c>
      <c r="AF34" s="2" t="s">
        <v>30</v>
      </c>
      <c r="AG34" s="2">
        <v>0.13200000000000001</v>
      </c>
      <c r="AH34" s="2">
        <v>2</v>
      </c>
      <c r="AI34" s="2">
        <v>52262585</v>
      </c>
      <c r="AJ34" s="2">
        <v>36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</row>
    <row r="35" spans="1:44" x14ac:dyDescent="0.25">
      <c r="A35" s="2">
        <f>ROW('Source (2)'!A84)</f>
        <v>84</v>
      </c>
      <c r="B35" s="2">
        <v>52262604</v>
      </c>
      <c r="C35" s="2">
        <v>52262581</v>
      </c>
      <c r="D35" s="2">
        <v>49678516</v>
      </c>
      <c r="E35" s="2">
        <v>1</v>
      </c>
      <c r="F35" s="2">
        <v>1</v>
      </c>
      <c r="G35" s="2">
        <v>29</v>
      </c>
      <c r="H35" s="2">
        <v>2</v>
      </c>
      <c r="I35" s="2" t="s">
        <v>120</v>
      </c>
      <c r="J35" s="2" t="s">
        <v>379</v>
      </c>
      <c r="K35" s="2" t="s">
        <v>121</v>
      </c>
      <c r="L35" s="2">
        <v>1368</v>
      </c>
      <c r="N35" s="2">
        <v>1011</v>
      </c>
      <c r="O35" s="2" t="s">
        <v>82</v>
      </c>
      <c r="P35" s="2" t="s">
        <v>82</v>
      </c>
      <c r="Q35" s="2">
        <v>1</v>
      </c>
      <c r="X35" s="2">
        <v>8.8999999999999996E-2</v>
      </c>
      <c r="Y35" s="2">
        <v>0</v>
      </c>
      <c r="Z35" s="2">
        <v>857.91</v>
      </c>
      <c r="AA35" s="2">
        <v>479.87</v>
      </c>
      <c r="AB35" s="2">
        <v>0</v>
      </c>
      <c r="AC35" s="2">
        <v>0</v>
      </c>
      <c r="AD35" s="2">
        <v>1</v>
      </c>
      <c r="AE35" s="2">
        <v>0</v>
      </c>
      <c r="AF35" s="2" t="s">
        <v>30</v>
      </c>
      <c r="AG35" s="2">
        <v>8.8999999999999996E-2</v>
      </c>
      <c r="AH35" s="2">
        <v>2</v>
      </c>
      <c r="AI35" s="2">
        <v>52262586</v>
      </c>
      <c r="AJ35" s="2">
        <v>37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</row>
    <row r="36" spans="1:44" x14ac:dyDescent="0.25">
      <c r="A36" s="2">
        <f>ROW('Source (2)'!A84)</f>
        <v>84</v>
      </c>
      <c r="B36" s="2">
        <v>52262605</v>
      </c>
      <c r="C36" s="2">
        <v>52262581</v>
      </c>
      <c r="D36" s="2">
        <v>49682289</v>
      </c>
      <c r="E36" s="2">
        <v>1</v>
      </c>
      <c r="F36" s="2">
        <v>1</v>
      </c>
      <c r="G36" s="2">
        <v>29</v>
      </c>
      <c r="H36" s="2">
        <v>3</v>
      </c>
      <c r="I36" s="2" t="s">
        <v>124</v>
      </c>
      <c r="J36" s="2" t="s">
        <v>380</v>
      </c>
      <c r="K36" s="2" t="s">
        <v>125</v>
      </c>
      <c r="L36" s="2">
        <v>1339</v>
      </c>
      <c r="N36" s="2">
        <v>1007</v>
      </c>
      <c r="O36" s="2" t="s">
        <v>62</v>
      </c>
      <c r="P36" s="2" t="s">
        <v>62</v>
      </c>
      <c r="Q36" s="2">
        <v>1</v>
      </c>
      <c r="X36" s="2">
        <v>5.8999999999999997E-2</v>
      </c>
      <c r="Y36" s="2">
        <v>3886.23</v>
      </c>
      <c r="Z36" s="2">
        <v>0</v>
      </c>
      <c r="AA36" s="2">
        <v>0</v>
      </c>
      <c r="AB36" s="2">
        <v>0</v>
      </c>
      <c r="AC36" s="2">
        <v>0</v>
      </c>
      <c r="AD36" s="2">
        <v>1</v>
      </c>
      <c r="AE36" s="2">
        <v>0</v>
      </c>
      <c r="AF36" s="2" t="s">
        <v>30</v>
      </c>
      <c r="AG36" s="2">
        <v>5.8999999999999997E-2</v>
      </c>
      <c r="AH36" s="2">
        <v>2</v>
      </c>
      <c r="AI36" s="2">
        <v>52262587</v>
      </c>
      <c r="AJ36" s="2">
        <v>38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</row>
    <row r="37" spans="1:44" x14ac:dyDescent="0.25">
      <c r="A37" s="2">
        <f>ROW('Source (2)'!A84)</f>
        <v>84</v>
      </c>
      <c r="B37" s="2">
        <v>52262606</v>
      </c>
      <c r="C37" s="2">
        <v>52262581</v>
      </c>
      <c r="D37" s="2">
        <v>49682398</v>
      </c>
      <c r="E37" s="2">
        <v>1</v>
      </c>
      <c r="F37" s="2">
        <v>1</v>
      </c>
      <c r="G37" s="2">
        <v>29</v>
      </c>
      <c r="H37" s="2">
        <v>3</v>
      </c>
      <c r="I37" s="2" t="s">
        <v>286</v>
      </c>
      <c r="J37" s="2" t="s">
        <v>288</v>
      </c>
      <c r="K37" s="2" t="s">
        <v>287</v>
      </c>
      <c r="L37" s="2">
        <v>1339</v>
      </c>
      <c r="N37" s="2">
        <v>1007</v>
      </c>
      <c r="O37" s="2" t="s">
        <v>62</v>
      </c>
      <c r="P37" s="2" t="s">
        <v>62</v>
      </c>
      <c r="Q37" s="2">
        <v>1</v>
      </c>
      <c r="X37" s="2">
        <v>5.9999999999999995E-4</v>
      </c>
      <c r="Y37" s="2">
        <v>3427.48</v>
      </c>
      <c r="Z37" s="2">
        <v>0</v>
      </c>
      <c r="AA37" s="2">
        <v>0</v>
      </c>
      <c r="AB37" s="2">
        <v>0</v>
      </c>
      <c r="AC37" s="2">
        <v>0</v>
      </c>
      <c r="AD37" s="2">
        <v>1</v>
      </c>
      <c r="AE37" s="2">
        <v>0</v>
      </c>
      <c r="AF37" s="2" t="s">
        <v>30</v>
      </c>
      <c r="AG37" s="2">
        <v>5.9999999999999995E-4</v>
      </c>
      <c r="AH37" s="2">
        <v>2</v>
      </c>
      <c r="AI37" s="2">
        <v>52262588</v>
      </c>
      <c r="AJ37" s="2">
        <v>39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</row>
    <row r="38" spans="1:44" x14ac:dyDescent="0.25">
      <c r="A38" s="2">
        <f>ROW('Source (2)'!A84)</f>
        <v>84</v>
      </c>
      <c r="B38" s="2">
        <v>52262607</v>
      </c>
      <c r="C38" s="2">
        <v>52262581</v>
      </c>
      <c r="D38" s="2">
        <v>49683146</v>
      </c>
      <c r="E38" s="2">
        <v>1</v>
      </c>
      <c r="F38" s="2">
        <v>1</v>
      </c>
      <c r="G38" s="2">
        <v>29</v>
      </c>
      <c r="H38" s="2">
        <v>3</v>
      </c>
      <c r="I38" s="2" t="s">
        <v>128</v>
      </c>
      <c r="J38" s="2" t="s">
        <v>381</v>
      </c>
      <c r="K38" s="2" t="s">
        <v>129</v>
      </c>
      <c r="L38" s="2">
        <v>1339</v>
      </c>
      <c r="N38" s="2">
        <v>1007</v>
      </c>
      <c r="O38" s="2" t="s">
        <v>62</v>
      </c>
      <c r="P38" s="2" t="s">
        <v>62</v>
      </c>
      <c r="Q38" s="2">
        <v>1</v>
      </c>
      <c r="X38" s="2">
        <v>4.36E-2</v>
      </c>
      <c r="Y38" s="2">
        <v>7871.69</v>
      </c>
      <c r="Z38" s="2">
        <v>0</v>
      </c>
      <c r="AA38" s="2">
        <v>0</v>
      </c>
      <c r="AB38" s="2">
        <v>0</v>
      </c>
      <c r="AC38" s="2">
        <v>0</v>
      </c>
      <c r="AD38" s="2">
        <v>1</v>
      </c>
      <c r="AE38" s="2">
        <v>0</v>
      </c>
      <c r="AF38" s="2" t="s">
        <v>30</v>
      </c>
      <c r="AG38" s="2">
        <v>4.36E-2</v>
      </c>
      <c r="AH38" s="2">
        <v>2</v>
      </c>
      <c r="AI38" s="2">
        <v>52262589</v>
      </c>
      <c r="AJ38" s="2">
        <v>40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</row>
    <row r="39" spans="1:44" x14ac:dyDescent="0.25">
      <c r="A39" s="2">
        <f>ROW('Source (2)'!A84)</f>
        <v>84</v>
      </c>
      <c r="B39" s="2">
        <v>52262608</v>
      </c>
      <c r="C39" s="2">
        <v>52262581</v>
      </c>
      <c r="D39" s="2">
        <v>49677490</v>
      </c>
      <c r="E39" s="2">
        <v>29</v>
      </c>
      <c r="F39" s="2">
        <v>1</v>
      </c>
      <c r="G39" s="2">
        <v>29</v>
      </c>
      <c r="H39" s="2">
        <v>3</v>
      </c>
      <c r="I39" s="2" t="s">
        <v>289</v>
      </c>
      <c r="J39" s="2" t="s">
        <v>30</v>
      </c>
      <c r="K39" s="2" t="s">
        <v>290</v>
      </c>
      <c r="L39" s="2">
        <v>1348</v>
      </c>
      <c r="N39" s="2">
        <v>1009</v>
      </c>
      <c r="O39" s="2" t="s">
        <v>63</v>
      </c>
      <c r="P39" s="2" t="s">
        <v>63</v>
      </c>
      <c r="Q39" s="2">
        <v>1000</v>
      </c>
      <c r="X39" s="2">
        <v>0.246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1</v>
      </c>
      <c r="AE39" s="2">
        <v>0</v>
      </c>
      <c r="AF39" s="2" t="s">
        <v>30</v>
      </c>
      <c r="AG39" s="2">
        <v>0.246</v>
      </c>
      <c r="AH39" s="2">
        <v>2</v>
      </c>
      <c r="AI39" s="2">
        <v>52262590</v>
      </c>
      <c r="AJ39" s="2">
        <v>41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</row>
    <row r="40" spans="1:44" x14ac:dyDescent="0.25">
      <c r="A40" s="2">
        <f>ROW('Source (2)'!A87)</f>
        <v>87</v>
      </c>
      <c r="B40" s="2">
        <v>52262616</v>
      </c>
      <c r="C40" s="2">
        <v>52262611</v>
      </c>
      <c r="D40" s="2">
        <v>49679217</v>
      </c>
      <c r="E40" s="2">
        <v>1</v>
      </c>
      <c r="F40" s="2">
        <v>1</v>
      </c>
      <c r="G40" s="2">
        <v>29</v>
      </c>
      <c r="H40" s="2">
        <v>2</v>
      </c>
      <c r="I40" s="2" t="s">
        <v>85</v>
      </c>
      <c r="J40" s="2" t="s">
        <v>374</v>
      </c>
      <c r="K40" s="2" t="s">
        <v>86</v>
      </c>
      <c r="L40" s="2">
        <v>1368</v>
      </c>
      <c r="N40" s="2">
        <v>1011</v>
      </c>
      <c r="O40" s="2" t="s">
        <v>82</v>
      </c>
      <c r="P40" s="2" t="s">
        <v>82</v>
      </c>
      <c r="Q40" s="2">
        <v>1</v>
      </c>
      <c r="X40" s="2">
        <v>0.02</v>
      </c>
      <c r="Y40" s="2">
        <v>0</v>
      </c>
      <c r="Z40" s="2">
        <v>1070.1199999999999</v>
      </c>
      <c r="AA40" s="2">
        <v>332.66</v>
      </c>
      <c r="AB40" s="2">
        <v>0</v>
      </c>
      <c r="AC40" s="2">
        <v>0</v>
      </c>
      <c r="AD40" s="2">
        <v>1</v>
      </c>
      <c r="AE40" s="2">
        <v>0</v>
      </c>
      <c r="AF40" s="2" t="s">
        <v>30</v>
      </c>
      <c r="AG40" s="2">
        <v>0.02</v>
      </c>
      <c r="AH40" s="2">
        <v>2</v>
      </c>
      <c r="AI40" s="2">
        <v>52262612</v>
      </c>
      <c r="AJ40" s="2">
        <v>42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</row>
    <row r="41" spans="1:44" x14ac:dyDescent="0.25">
      <c r="A41" s="2">
        <f>ROW('Source (2)'!A87)</f>
        <v>87</v>
      </c>
      <c r="B41" s="2">
        <v>52262617</v>
      </c>
      <c r="C41" s="2">
        <v>52262611</v>
      </c>
      <c r="D41" s="2">
        <v>49679218</v>
      </c>
      <c r="E41" s="2">
        <v>1</v>
      </c>
      <c r="F41" s="2">
        <v>1</v>
      </c>
      <c r="G41" s="2">
        <v>29</v>
      </c>
      <c r="H41" s="2">
        <v>2</v>
      </c>
      <c r="I41" s="2" t="s">
        <v>87</v>
      </c>
      <c r="J41" s="2" t="s">
        <v>375</v>
      </c>
      <c r="K41" s="2" t="s">
        <v>88</v>
      </c>
      <c r="L41" s="2">
        <v>1368</v>
      </c>
      <c r="N41" s="2">
        <v>1011</v>
      </c>
      <c r="O41" s="2" t="s">
        <v>82</v>
      </c>
      <c r="P41" s="2" t="s">
        <v>82</v>
      </c>
      <c r="Q41" s="2">
        <v>1</v>
      </c>
      <c r="X41" s="2">
        <v>1.7999999999999999E-2</v>
      </c>
      <c r="Y41" s="2">
        <v>0</v>
      </c>
      <c r="Z41" s="2">
        <v>1080.76</v>
      </c>
      <c r="AA41" s="2">
        <v>332.99</v>
      </c>
      <c r="AB41" s="2">
        <v>0</v>
      </c>
      <c r="AC41" s="2">
        <v>0</v>
      </c>
      <c r="AD41" s="2">
        <v>1</v>
      </c>
      <c r="AE41" s="2">
        <v>0</v>
      </c>
      <c r="AF41" s="2" t="s">
        <v>30</v>
      </c>
      <c r="AG41" s="2">
        <v>1.7999999999999999E-2</v>
      </c>
      <c r="AH41" s="2">
        <v>2</v>
      </c>
      <c r="AI41" s="2">
        <v>52262613</v>
      </c>
      <c r="AJ41" s="2">
        <v>43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</row>
    <row r="42" spans="1:44" x14ac:dyDescent="0.25">
      <c r="A42" s="2">
        <f>ROW('Source (2)'!A88)</f>
        <v>88</v>
      </c>
      <c r="B42" s="2">
        <v>52262623</v>
      </c>
      <c r="C42" s="2">
        <v>52262618</v>
      </c>
      <c r="D42" s="2">
        <v>49679217</v>
      </c>
      <c r="E42" s="2">
        <v>1</v>
      </c>
      <c r="F42" s="2">
        <v>1</v>
      </c>
      <c r="G42" s="2">
        <v>29</v>
      </c>
      <c r="H42" s="2">
        <v>2</v>
      </c>
      <c r="I42" s="2" t="s">
        <v>85</v>
      </c>
      <c r="J42" s="2" t="s">
        <v>374</v>
      </c>
      <c r="K42" s="2" t="s">
        <v>86</v>
      </c>
      <c r="L42" s="2">
        <v>1368</v>
      </c>
      <c r="N42" s="2">
        <v>1011</v>
      </c>
      <c r="O42" s="2" t="s">
        <v>82</v>
      </c>
      <c r="P42" s="2" t="s">
        <v>82</v>
      </c>
      <c r="Q42" s="2">
        <v>1</v>
      </c>
      <c r="X42" s="2">
        <v>0.01</v>
      </c>
      <c r="Y42" s="2">
        <v>0</v>
      </c>
      <c r="Z42" s="2">
        <v>1070.1199999999999</v>
      </c>
      <c r="AA42" s="2">
        <v>332.66</v>
      </c>
      <c r="AB42" s="2">
        <v>0</v>
      </c>
      <c r="AC42" s="2">
        <v>0</v>
      </c>
      <c r="AD42" s="2">
        <v>1</v>
      </c>
      <c r="AE42" s="2">
        <v>0</v>
      </c>
      <c r="AF42" s="2" t="s">
        <v>207</v>
      </c>
      <c r="AG42" s="2">
        <v>0.52</v>
      </c>
      <c r="AH42" s="2">
        <v>2</v>
      </c>
      <c r="AI42" s="2">
        <v>52262619</v>
      </c>
      <c r="AJ42" s="2">
        <v>44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</row>
    <row r="43" spans="1:44" x14ac:dyDescent="0.25">
      <c r="A43" s="2">
        <f>ROW('Source (2)'!A88)</f>
        <v>88</v>
      </c>
      <c r="B43" s="2">
        <v>52262624</v>
      </c>
      <c r="C43" s="2">
        <v>52262618</v>
      </c>
      <c r="D43" s="2">
        <v>49679218</v>
      </c>
      <c r="E43" s="2">
        <v>1</v>
      </c>
      <c r="F43" s="2">
        <v>1</v>
      </c>
      <c r="G43" s="2">
        <v>29</v>
      </c>
      <c r="H43" s="2">
        <v>2</v>
      </c>
      <c r="I43" s="2" t="s">
        <v>87</v>
      </c>
      <c r="J43" s="2" t="s">
        <v>375</v>
      </c>
      <c r="K43" s="2" t="s">
        <v>88</v>
      </c>
      <c r="L43" s="2">
        <v>1368</v>
      </c>
      <c r="N43" s="2">
        <v>1011</v>
      </c>
      <c r="O43" s="2" t="s">
        <v>82</v>
      </c>
      <c r="P43" s="2" t="s">
        <v>82</v>
      </c>
      <c r="Q43" s="2">
        <v>1</v>
      </c>
      <c r="X43" s="2">
        <v>8.0000000000000002E-3</v>
      </c>
      <c r="Y43" s="2">
        <v>0</v>
      </c>
      <c r="Z43" s="2">
        <v>1080.76</v>
      </c>
      <c r="AA43" s="2">
        <v>332.99</v>
      </c>
      <c r="AB43" s="2">
        <v>0</v>
      </c>
      <c r="AC43" s="2">
        <v>0</v>
      </c>
      <c r="AD43" s="2">
        <v>1</v>
      </c>
      <c r="AE43" s="2">
        <v>0</v>
      </c>
      <c r="AF43" s="2" t="s">
        <v>207</v>
      </c>
      <c r="AG43" s="2">
        <v>0.41599999999999998</v>
      </c>
      <c r="AH43" s="2">
        <v>2</v>
      </c>
      <c r="AI43" s="2">
        <v>52262620</v>
      </c>
      <c r="AJ43" s="2">
        <v>45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</row>
    <row r="44" spans="1:44" x14ac:dyDescent="0.25">
      <c r="A44" s="2">
        <f>ROW('Source (2)'!A89)</f>
        <v>89</v>
      </c>
      <c r="B44" s="2">
        <v>52262634</v>
      </c>
      <c r="C44" s="2">
        <v>52262625</v>
      </c>
      <c r="D44" s="2">
        <v>49677488</v>
      </c>
      <c r="E44" s="2">
        <v>29</v>
      </c>
      <c r="F44" s="2">
        <v>1</v>
      </c>
      <c r="G44" s="2">
        <v>29</v>
      </c>
      <c r="H44" s="2">
        <v>1</v>
      </c>
      <c r="I44" s="2" t="s">
        <v>359</v>
      </c>
      <c r="J44" s="2" t="s">
        <v>30</v>
      </c>
      <c r="K44" s="2" t="s">
        <v>360</v>
      </c>
      <c r="L44" s="2">
        <v>1191</v>
      </c>
      <c r="N44" s="2">
        <v>1013</v>
      </c>
      <c r="O44" s="2" t="s">
        <v>361</v>
      </c>
      <c r="P44" s="2" t="s">
        <v>361</v>
      </c>
      <c r="Q44" s="2">
        <v>1</v>
      </c>
      <c r="X44" s="2">
        <v>80.27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</v>
      </c>
      <c r="AE44" s="2">
        <v>1</v>
      </c>
      <c r="AF44" s="2" t="s">
        <v>30</v>
      </c>
      <c r="AG44" s="2">
        <v>80.27</v>
      </c>
      <c r="AH44" s="2">
        <v>2</v>
      </c>
      <c r="AI44" s="2">
        <v>52262626</v>
      </c>
      <c r="AJ44" s="2">
        <v>46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</row>
    <row r="45" spans="1:44" x14ac:dyDescent="0.25">
      <c r="A45" s="2">
        <f>ROW('Source (2)'!A89)</f>
        <v>89</v>
      </c>
      <c r="B45" s="2">
        <v>52262635</v>
      </c>
      <c r="C45" s="2">
        <v>52262625</v>
      </c>
      <c r="D45" s="2">
        <v>49682322</v>
      </c>
      <c r="E45" s="2">
        <v>1</v>
      </c>
      <c r="F45" s="2">
        <v>1</v>
      </c>
      <c r="G45" s="2">
        <v>29</v>
      </c>
      <c r="H45" s="2">
        <v>3</v>
      </c>
      <c r="I45" s="2" t="s">
        <v>126</v>
      </c>
      <c r="J45" s="2" t="s">
        <v>382</v>
      </c>
      <c r="K45" s="2" t="s">
        <v>127</v>
      </c>
      <c r="L45" s="2">
        <v>1339</v>
      </c>
      <c r="N45" s="2">
        <v>1007</v>
      </c>
      <c r="O45" s="2" t="s">
        <v>62</v>
      </c>
      <c r="P45" s="2" t="s">
        <v>62</v>
      </c>
      <c r="Q45" s="2">
        <v>1</v>
      </c>
      <c r="X45" s="2">
        <v>5.9</v>
      </c>
      <c r="Y45" s="2">
        <v>3917.3</v>
      </c>
      <c r="Z45" s="2">
        <v>0</v>
      </c>
      <c r="AA45" s="2">
        <v>0</v>
      </c>
      <c r="AB45" s="2">
        <v>0</v>
      </c>
      <c r="AC45" s="2">
        <v>0</v>
      </c>
      <c r="AD45" s="2">
        <v>1</v>
      </c>
      <c r="AE45" s="2">
        <v>0</v>
      </c>
      <c r="AF45" s="2" t="s">
        <v>30</v>
      </c>
      <c r="AG45" s="2">
        <v>5.9</v>
      </c>
      <c r="AH45" s="2">
        <v>2</v>
      </c>
      <c r="AI45" s="2">
        <v>52262627</v>
      </c>
      <c r="AJ45" s="2">
        <v>47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</row>
    <row r="46" spans="1:44" x14ac:dyDescent="0.25">
      <c r="A46" s="2">
        <f>ROW('Source (2)'!A89)</f>
        <v>89</v>
      </c>
      <c r="B46" s="2">
        <v>52262636</v>
      </c>
      <c r="C46" s="2">
        <v>52262625</v>
      </c>
      <c r="D46" s="2">
        <v>49682398</v>
      </c>
      <c r="E46" s="2">
        <v>1</v>
      </c>
      <c r="F46" s="2">
        <v>1</v>
      </c>
      <c r="G46" s="2">
        <v>29</v>
      </c>
      <c r="H46" s="2">
        <v>3</v>
      </c>
      <c r="I46" s="2" t="s">
        <v>286</v>
      </c>
      <c r="J46" s="2" t="s">
        <v>288</v>
      </c>
      <c r="K46" s="2" t="s">
        <v>287</v>
      </c>
      <c r="L46" s="2">
        <v>1339</v>
      </c>
      <c r="N46" s="2">
        <v>1007</v>
      </c>
      <c r="O46" s="2" t="s">
        <v>62</v>
      </c>
      <c r="P46" s="2" t="s">
        <v>62</v>
      </c>
      <c r="Q46" s="2">
        <v>1</v>
      </c>
      <c r="X46" s="2">
        <v>0.06</v>
      </c>
      <c r="Y46" s="2">
        <v>3427.48</v>
      </c>
      <c r="Z46" s="2">
        <v>0</v>
      </c>
      <c r="AA46" s="2">
        <v>0</v>
      </c>
      <c r="AB46" s="2">
        <v>0</v>
      </c>
      <c r="AC46" s="2">
        <v>0</v>
      </c>
      <c r="AD46" s="2">
        <v>1</v>
      </c>
      <c r="AE46" s="2">
        <v>0</v>
      </c>
      <c r="AF46" s="2" t="s">
        <v>30</v>
      </c>
      <c r="AG46" s="2">
        <v>0.06</v>
      </c>
      <c r="AH46" s="2">
        <v>2</v>
      </c>
      <c r="AI46" s="2">
        <v>52262628</v>
      </c>
      <c r="AJ46" s="2">
        <v>48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</row>
    <row r="47" spans="1:44" x14ac:dyDescent="0.25">
      <c r="A47" s="2">
        <f>ROW('Source (2)'!A89)</f>
        <v>89</v>
      </c>
      <c r="B47" s="2">
        <v>52262637</v>
      </c>
      <c r="C47" s="2">
        <v>52262625</v>
      </c>
      <c r="D47" s="2">
        <v>49683146</v>
      </c>
      <c r="E47" s="2">
        <v>1</v>
      </c>
      <c r="F47" s="2">
        <v>1</v>
      </c>
      <c r="G47" s="2">
        <v>29</v>
      </c>
      <c r="H47" s="2">
        <v>3</v>
      </c>
      <c r="I47" s="2" t="s">
        <v>128</v>
      </c>
      <c r="J47" s="2" t="s">
        <v>381</v>
      </c>
      <c r="K47" s="2" t="s">
        <v>129</v>
      </c>
      <c r="L47" s="2">
        <v>1339</v>
      </c>
      <c r="N47" s="2">
        <v>1007</v>
      </c>
      <c r="O47" s="2" t="s">
        <v>62</v>
      </c>
      <c r="P47" s="2" t="s">
        <v>62</v>
      </c>
      <c r="Q47" s="2">
        <v>1</v>
      </c>
      <c r="X47" s="2">
        <v>4.3</v>
      </c>
      <c r="Y47" s="2">
        <v>7871.69</v>
      </c>
      <c r="Z47" s="2">
        <v>0</v>
      </c>
      <c r="AA47" s="2">
        <v>0</v>
      </c>
      <c r="AB47" s="2">
        <v>0</v>
      </c>
      <c r="AC47" s="2">
        <v>0</v>
      </c>
      <c r="AD47" s="2">
        <v>1</v>
      </c>
      <c r="AE47" s="2">
        <v>0</v>
      </c>
      <c r="AF47" s="2" t="s">
        <v>30</v>
      </c>
      <c r="AG47" s="2">
        <v>4.3</v>
      </c>
      <c r="AH47" s="2">
        <v>2</v>
      </c>
      <c r="AI47" s="2">
        <v>52262629</v>
      </c>
      <c r="AJ47" s="2">
        <v>49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</row>
    <row r="48" spans="1:44" x14ac:dyDescent="0.25">
      <c r="A48" s="2">
        <f>ROW('Source (2)'!A91)</f>
        <v>91</v>
      </c>
      <c r="B48" s="2">
        <v>52262644</v>
      </c>
      <c r="C48" s="2">
        <v>52262639</v>
      </c>
      <c r="D48" s="2">
        <v>49677488</v>
      </c>
      <c r="E48" s="2">
        <v>29</v>
      </c>
      <c r="F48" s="2">
        <v>1</v>
      </c>
      <c r="G48" s="2">
        <v>29</v>
      </c>
      <c r="H48" s="2">
        <v>1</v>
      </c>
      <c r="I48" s="2" t="s">
        <v>359</v>
      </c>
      <c r="J48" s="2" t="s">
        <v>30</v>
      </c>
      <c r="K48" s="2" t="s">
        <v>360</v>
      </c>
      <c r="L48" s="2">
        <v>1191</v>
      </c>
      <c r="N48" s="2">
        <v>1013</v>
      </c>
      <c r="O48" s="2" t="s">
        <v>361</v>
      </c>
      <c r="P48" s="2" t="s">
        <v>361</v>
      </c>
      <c r="Q48" s="2">
        <v>1</v>
      </c>
      <c r="X48" s="2">
        <v>1.1499999999999999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</v>
      </c>
      <c r="AE48" s="2">
        <v>1</v>
      </c>
      <c r="AF48" s="2" t="s">
        <v>30</v>
      </c>
      <c r="AG48" s="2">
        <v>1.1499999999999999</v>
      </c>
      <c r="AH48" s="2">
        <v>2</v>
      </c>
      <c r="AI48" s="2">
        <v>52262640</v>
      </c>
      <c r="AJ48" s="2">
        <v>50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</row>
    <row r="49" spans="1:44" x14ac:dyDescent="0.25">
      <c r="A49" s="2">
        <f>ROW('Source (2)'!A91)</f>
        <v>91</v>
      </c>
      <c r="B49" s="2">
        <v>52262645</v>
      </c>
      <c r="C49" s="2">
        <v>52262639</v>
      </c>
      <c r="D49" s="2">
        <v>49682152</v>
      </c>
      <c r="E49" s="2">
        <v>1</v>
      </c>
      <c r="F49" s="2">
        <v>1</v>
      </c>
      <c r="G49" s="2">
        <v>29</v>
      </c>
      <c r="H49" s="2">
        <v>3</v>
      </c>
      <c r="I49" s="2" t="s">
        <v>122</v>
      </c>
      <c r="J49" s="2" t="s">
        <v>383</v>
      </c>
      <c r="K49" s="2" t="s">
        <v>123</v>
      </c>
      <c r="L49" s="2">
        <v>1354</v>
      </c>
      <c r="N49" s="2">
        <v>1010</v>
      </c>
      <c r="O49" s="2" t="s">
        <v>67</v>
      </c>
      <c r="P49" s="2" t="s">
        <v>67</v>
      </c>
      <c r="Q49" s="2">
        <v>1</v>
      </c>
      <c r="X49" s="2">
        <v>100.1</v>
      </c>
      <c r="Y49" s="2">
        <v>140.25</v>
      </c>
      <c r="Z49" s="2">
        <v>0</v>
      </c>
      <c r="AA49" s="2">
        <v>0</v>
      </c>
      <c r="AB49" s="2">
        <v>0</v>
      </c>
      <c r="AC49" s="2">
        <v>0</v>
      </c>
      <c r="AD49" s="2">
        <v>1</v>
      </c>
      <c r="AE49" s="2">
        <v>0</v>
      </c>
      <c r="AF49" s="2" t="s">
        <v>30</v>
      </c>
      <c r="AG49" s="2">
        <v>100.1</v>
      </c>
      <c r="AH49" s="2">
        <v>2</v>
      </c>
      <c r="AI49" s="2">
        <v>52262641</v>
      </c>
      <c r="AJ49" s="2">
        <v>51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</row>
    <row r="50" spans="1:44" x14ac:dyDescent="0.25">
      <c r="A50" s="2">
        <f>ROW('Source (2)'!A184)</f>
        <v>184</v>
      </c>
      <c r="B50" s="2">
        <v>52264481</v>
      </c>
      <c r="C50" s="2">
        <v>52264476</v>
      </c>
      <c r="D50" s="2">
        <v>49677488</v>
      </c>
      <c r="E50" s="2">
        <v>29</v>
      </c>
      <c r="F50" s="2">
        <v>1</v>
      </c>
      <c r="G50" s="2">
        <v>29</v>
      </c>
      <c r="H50" s="2">
        <v>1</v>
      </c>
      <c r="I50" s="2" t="s">
        <v>359</v>
      </c>
      <c r="J50" s="2" t="s">
        <v>30</v>
      </c>
      <c r="K50" s="2" t="s">
        <v>360</v>
      </c>
      <c r="L50" s="2">
        <v>1191</v>
      </c>
      <c r="N50" s="2">
        <v>1013</v>
      </c>
      <c r="O50" s="2" t="s">
        <v>361</v>
      </c>
      <c r="P50" s="2" t="s">
        <v>361</v>
      </c>
      <c r="Q50" s="2">
        <v>1</v>
      </c>
      <c r="X50" s="2">
        <v>30.8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</v>
      </c>
      <c r="AE50" s="2">
        <v>1</v>
      </c>
      <c r="AF50" s="2" t="s">
        <v>30</v>
      </c>
      <c r="AG50" s="2">
        <v>30.8</v>
      </c>
      <c r="AH50" s="2">
        <v>2</v>
      </c>
      <c r="AI50" s="2">
        <v>52264477</v>
      </c>
      <c r="AJ50" s="2">
        <v>52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</row>
    <row r="51" spans="1:44" x14ac:dyDescent="0.25">
      <c r="A51" s="2">
        <f>ROW('Source (2)'!A184)</f>
        <v>184</v>
      </c>
      <c r="B51" s="2">
        <v>52264482</v>
      </c>
      <c r="C51" s="2">
        <v>52264476</v>
      </c>
      <c r="D51" s="2">
        <v>49679009</v>
      </c>
      <c r="E51" s="2">
        <v>1</v>
      </c>
      <c r="F51" s="2">
        <v>1</v>
      </c>
      <c r="G51" s="2">
        <v>29</v>
      </c>
      <c r="H51" s="2">
        <v>2</v>
      </c>
      <c r="I51" s="2" t="s">
        <v>134</v>
      </c>
      <c r="J51" s="2" t="s">
        <v>384</v>
      </c>
      <c r="K51" s="2" t="s">
        <v>135</v>
      </c>
      <c r="L51" s="2">
        <v>1368</v>
      </c>
      <c r="N51" s="2">
        <v>1011</v>
      </c>
      <c r="O51" s="2" t="s">
        <v>82</v>
      </c>
      <c r="P51" s="2" t="s">
        <v>82</v>
      </c>
      <c r="Q51" s="2">
        <v>1</v>
      </c>
      <c r="X51" s="2">
        <v>0.06</v>
      </c>
      <c r="Y51" s="2">
        <v>0</v>
      </c>
      <c r="Z51" s="2">
        <v>17.07</v>
      </c>
      <c r="AA51" s="2">
        <v>1.45</v>
      </c>
      <c r="AB51" s="2">
        <v>0</v>
      </c>
      <c r="AC51" s="2">
        <v>0</v>
      </c>
      <c r="AD51" s="2">
        <v>1</v>
      </c>
      <c r="AE51" s="2">
        <v>0</v>
      </c>
      <c r="AF51" s="2" t="s">
        <v>30</v>
      </c>
      <c r="AG51" s="2">
        <v>0.06</v>
      </c>
      <c r="AH51" s="2">
        <v>2</v>
      </c>
      <c r="AI51" s="2">
        <v>52264478</v>
      </c>
      <c r="AJ51" s="2">
        <v>53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</row>
    <row r="52" spans="1:44" x14ac:dyDescent="0.25">
      <c r="A52" s="2">
        <f>ROW('Source (2)'!A184)</f>
        <v>184</v>
      </c>
      <c r="B52" s="2">
        <v>52264483</v>
      </c>
      <c r="C52" s="2">
        <v>52264476</v>
      </c>
      <c r="D52" s="2">
        <v>49678455</v>
      </c>
      <c r="E52" s="2">
        <v>1</v>
      </c>
      <c r="F52" s="2">
        <v>1</v>
      </c>
      <c r="G52" s="2">
        <v>29</v>
      </c>
      <c r="H52" s="2">
        <v>2</v>
      </c>
      <c r="I52" s="2" t="s">
        <v>136</v>
      </c>
      <c r="J52" s="2" t="s">
        <v>385</v>
      </c>
      <c r="K52" s="2" t="s">
        <v>137</v>
      </c>
      <c r="L52" s="2">
        <v>1368</v>
      </c>
      <c r="N52" s="2">
        <v>1011</v>
      </c>
      <c r="O52" s="2" t="s">
        <v>82</v>
      </c>
      <c r="P52" s="2" t="s">
        <v>82</v>
      </c>
      <c r="Q52" s="2">
        <v>1</v>
      </c>
      <c r="X52" s="2">
        <v>0.06</v>
      </c>
      <c r="Y52" s="2">
        <v>0</v>
      </c>
      <c r="Z52" s="2">
        <v>1060.5899999999999</v>
      </c>
      <c r="AA52" s="2">
        <v>378.83</v>
      </c>
      <c r="AB52" s="2">
        <v>0</v>
      </c>
      <c r="AC52" s="2">
        <v>0</v>
      </c>
      <c r="AD52" s="2">
        <v>1</v>
      </c>
      <c r="AE52" s="2">
        <v>0</v>
      </c>
      <c r="AF52" s="2" t="s">
        <v>30</v>
      </c>
      <c r="AG52" s="2">
        <v>0.06</v>
      </c>
      <c r="AH52" s="2">
        <v>2</v>
      </c>
      <c r="AI52" s="2">
        <v>52264479</v>
      </c>
      <c r="AJ52" s="2">
        <v>54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</row>
    <row r="53" spans="1:44" x14ac:dyDescent="0.25">
      <c r="A53" s="2">
        <f>ROW('Source (2)'!A184)</f>
        <v>184</v>
      </c>
      <c r="B53" s="2">
        <v>52264484</v>
      </c>
      <c r="C53" s="2">
        <v>52264476</v>
      </c>
      <c r="D53" s="2">
        <v>49683083</v>
      </c>
      <c r="E53" s="2">
        <v>1</v>
      </c>
      <c r="F53" s="2">
        <v>1</v>
      </c>
      <c r="G53" s="2">
        <v>29</v>
      </c>
      <c r="H53" s="2">
        <v>3</v>
      </c>
      <c r="I53" s="2" t="s">
        <v>141</v>
      </c>
      <c r="J53" s="2" t="s">
        <v>386</v>
      </c>
      <c r="K53" s="2" t="s">
        <v>142</v>
      </c>
      <c r="L53" s="2">
        <v>1339</v>
      </c>
      <c r="N53" s="2">
        <v>1007</v>
      </c>
      <c r="O53" s="2" t="s">
        <v>62</v>
      </c>
      <c r="P53" s="2" t="s">
        <v>62</v>
      </c>
      <c r="Q53" s="2">
        <v>1</v>
      </c>
      <c r="X53" s="2">
        <v>15</v>
      </c>
      <c r="Y53" s="2">
        <v>790.5</v>
      </c>
      <c r="Z53" s="2">
        <v>0</v>
      </c>
      <c r="AA53" s="2">
        <v>0</v>
      </c>
      <c r="AB53" s="2">
        <v>0</v>
      </c>
      <c r="AC53" s="2">
        <v>0</v>
      </c>
      <c r="AD53" s="2">
        <v>1</v>
      </c>
      <c r="AE53" s="2">
        <v>0</v>
      </c>
      <c r="AF53" s="2" t="s">
        <v>30</v>
      </c>
      <c r="AG53" s="2">
        <v>15</v>
      </c>
      <c r="AH53" s="2">
        <v>2</v>
      </c>
      <c r="AI53" s="2">
        <v>52264480</v>
      </c>
      <c r="AJ53" s="2">
        <v>55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</row>
    <row r="54" spans="1:44" x14ac:dyDescent="0.25">
      <c r="A54" s="2">
        <f>ROW('Source (2)'!A185)</f>
        <v>185</v>
      </c>
      <c r="B54" s="2">
        <v>52264488</v>
      </c>
      <c r="C54" s="2">
        <v>52264485</v>
      </c>
      <c r="D54" s="2">
        <v>49677488</v>
      </c>
      <c r="E54" s="2">
        <v>29</v>
      </c>
      <c r="F54" s="2">
        <v>1</v>
      </c>
      <c r="G54" s="2">
        <v>29</v>
      </c>
      <c r="H54" s="2">
        <v>1</v>
      </c>
      <c r="I54" s="2" t="s">
        <v>359</v>
      </c>
      <c r="J54" s="2" t="s">
        <v>30</v>
      </c>
      <c r="K54" s="2" t="s">
        <v>360</v>
      </c>
      <c r="L54" s="2">
        <v>1191</v>
      </c>
      <c r="N54" s="2">
        <v>1013</v>
      </c>
      <c r="O54" s="2" t="s">
        <v>361</v>
      </c>
      <c r="P54" s="2" t="s">
        <v>361</v>
      </c>
      <c r="Q54" s="2">
        <v>1</v>
      </c>
      <c r="X54" s="2">
        <v>46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1</v>
      </c>
      <c r="AE54" s="2">
        <v>1</v>
      </c>
      <c r="AF54" s="2" t="s">
        <v>30</v>
      </c>
      <c r="AG54" s="2">
        <v>46</v>
      </c>
      <c r="AH54" s="2">
        <v>2</v>
      </c>
      <c r="AI54" s="2">
        <v>52264486</v>
      </c>
      <c r="AJ54" s="2">
        <v>56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</row>
    <row r="55" spans="1:44" x14ac:dyDescent="0.25">
      <c r="A55" s="2">
        <f>ROW('Source (2)'!A185)</f>
        <v>185</v>
      </c>
      <c r="B55" s="2">
        <v>52264489</v>
      </c>
      <c r="C55" s="2">
        <v>52264485</v>
      </c>
      <c r="D55" s="2">
        <v>49683083</v>
      </c>
      <c r="E55" s="2">
        <v>1</v>
      </c>
      <c r="F55" s="2">
        <v>1</v>
      </c>
      <c r="G55" s="2">
        <v>29</v>
      </c>
      <c r="H55" s="2">
        <v>3</v>
      </c>
      <c r="I55" s="2" t="s">
        <v>141</v>
      </c>
      <c r="J55" s="2" t="s">
        <v>386</v>
      </c>
      <c r="K55" s="2" t="s">
        <v>142</v>
      </c>
      <c r="L55" s="2">
        <v>1339</v>
      </c>
      <c r="N55" s="2">
        <v>1007</v>
      </c>
      <c r="O55" s="2" t="s">
        <v>62</v>
      </c>
      <c r="P55" s="2" t="s">
        <v>62</v>
      </c>
      <c r="Q55" s="2">
        <v>1</v>
      </c>
      <c r="X55" s="2">
        <v>15</v>
      </c>
      <c r="Y55" s="2">
        <v>790.5</v>
      </c>
      <c r="Z55" s="2">
        <v>0</v>
      </c>
      <c r="AA55" s="2">
        <v>0</v>
      </c>
      <c r="AB55" s="2">
        <v>0</v>
      </c>
      <c r="AC55" s="2">
        <v>0</v>
      </c>
      <c r="AD55" s="2">
        <v>1</v>
      </c>
      <c r="AE55" s="2">
        <v>0</v>
      </c>
      <c r="AF55" s="2" t="s">
        <v>30</v>
      </c>
      <c r="AG55" s="2">
        <v>15</v>
      </c>
      <c r="AH55" s="2">
        <v>2</v>
      </c>
      <c r="AI55" s="2">
        <v>52264487</v>
      </c>
      <c r="AJ55" s="2">
        <v>57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</row>
    <row r="56" spans="1:44" x14ac:dyDescent="0.25">
      <c r="A56" s="2">
        <f>ROW('Source (2)'!A186)</f>
        <v>186</v>
      </c>
      <c r="B56" s="2">
        <v>52264493</v>
      </c>
      <c r="C56" s="2">
        <v>52264490</v>
      </c>
      <c r="D56" s="2">
        <v>49677488</v>
      </c>
      <c r="E56" s="2">
        <v>29</v>
      </c>
      <c r="F56" s="2">
        <v>1</v>
      </c>
      <c r="G56" s="2">
        <v>29</v>
      </c>
      <c r="H56" s="2">
        <v>1</v>
      </c>
      <c r="I56" s="2" t="s">
        <v>359</v>
      </c>
      <c r="J56" s="2" t="s">
        <v>30</v>
      </c>
      <c r="K56" s="2" t="s">
        <v>360</v>
      </c>
      <c r="L56" s="2">
        <v>1191</v>
      </c>
      <c r="N56" s="2">
        <v>1013</v>
      </c>
      <c r="O56" s="2" t="s">
        <v>361</v>
      </c>
      <c r="P56" s="2" t="s">
        <v>361</v>
      </c>
      <c r="Q56" s="2">
        <v>1</v>
      </c>
      <c r="X56" s="2">
        <v>6.29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1</v>
      </c>
      <c r="AE56" s="2">
        <v>1</v>
      </c>
      <c r="AF56" s="2" t="s">
        <v>30</v>
      </c>
      <c r="AG56" s="2">
        <v>6.29</v>
      </c>
      <c r="AH56" s="2">
        <v>2</v>
      </c>
      <c r="AI56" s="2">
        <v>52264491</v>
      </c>
      <c r="AJ56" s="2">
        <v>58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</row>
    <row r="57" spans="1:44" x14ac:dyDescent="0.25">
      <c r="A57" s="2">
        <f>ROW('Source (2)'!A186)</f>
        <v>186</v>
      </c>
      <c r="B57" s="2">
        <v>52264494</v>
      </c>
      <c r="C57" s="2">
        <v>52264490</v>
      </c>
      <c r="D57" s="2">
        <v>49683083</v>
      </c>
      <c r="E57" s="2">
        <v>1</v>
      </c>
      <c r="F57" s="2">
        <v>1</v>
      </c>
      <c r="G57" s="2">
        <v>29</v>
      </c>
      <c r="H57" s="2">
        <v>3</v>
      </c>
      <c r="I57" s="2" t="s">
        <v>141</v>
      </c>
      <c r="J57" s="2" t="s">
        <v>386</v>
      </c>
      <c r="K57" s="2" t="s">
        <v>142</v>
      </c>
      <c r="L57" s="2">
        <v>1339</v>
      </c>
      <c r="N57" s="2">
        <v>1007</v>
      </c>
      <c r="O57" s="2" t="s">
        <v>62</v>
      </c>
      <c r="P57" s="2" t="s">
        <v>62</v>
      </c>
      <c r="Q57" s="2">
        <v>1</v>
      </c>
      <c r="X57" s="2">
        <v>5</v>
      </c>
      <c r="Y57" s="2">
        <v>790.5</v>
      </c>
      <c r="Z57" s="2">
        <v>0</v>
      </c>
      <c r="AA57" s="2">
        <v>0</v>
      </c>
      <c r="AB57" s="2">
        <v>0</v>
      </c>
      <c r="AC57" s="2">
        <v>0</v>
      </c>
      <c r="AD57" s="2">
        <v>1</v>
      </c>
      <c r="AE57" s="2">
        <v>0</v>
      </c>
      <c r="AF57" s="2" t="s">
        <v>30</v>
      </c>
      <c r="AG57" s="2">
        <v>5</v>
      </c>
      <c r="AH57" s="2">
        <v>2</v>
      </c>
      <c r="AI57" s="2">
        <v>52264492</v>
      </c>
      <c r="AJ57" s="2">
        <v>59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</row>
    <row r="58" spans="1:44" x14ac:dyDescent="0.25">
      <c r="A58" s="2">
        <f>ROW('Source (2)'!A187)</f>
        <v>187</v>
      </c>
      <c r="B58" s="2">
        <v>52264499</v>
      </c>
      <c r="C58" s="2">
        <v>52264495</v>
      </c>
      <c r="D58" s="2">
        <v>49677488</v>
      </c>
      <c r="E58" s="2">
        <v>29</v>
      </c>
      <c r="F58" s="2">
        <v>1</v>
      </c>
      <c r="G58" s="2">
        <v>29</v>
      </c>
      <c r="H58" s="2">
        <v>1</v>
      </c>
      <c r="I58" s="2" t="s">
        <v>359</v>
      </c>
      <c r="J58" s="2" t="s">
        <v>30</v>
      </c>
      <c r="K58" s="2" t="s">
        <v>360</v>
      </c>
      <c r="L58" s="2">
        <v>1191</v>
      </c>
      <c r="N58" s="2">
        <v>1013</v>
      </c>
      <c r="O58" s="2" t="s">
        <v>361</v>
      </c>
      <c r="P58" s="2" t="s">
        <v>361</v>
      </c>
      <c r="Q58" s="2">
        <v>1</v>
      </c>
      <c r="X58" s="2">
        <v>6.04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1</v>
      </c>
      <c r="AE58" s="2">
        <v>1</v>
      </c>
      <c r="AF58" s="2" t="s">
        <v>30</v>
      </c>
      <c r="AG58" s="2">
        <v>6.04</v>
      </c>
      <c r="AH58" s="2">
        <v>2</v>
      </c>
      <c r="AI58" s="2">
        <v>52264496</v>
      </c>
      <c r="AJ58" s="2">
        <v>60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</row>
    <row r="59" spans="1:44" x14ac:dyDescent="0.25">
      <c r="A59" s="2">
        <f>ROW('Source (2)'!A187)</f>
        <v>187</v>
      </c>
      <c r="B59" s="2">
        <v>52264500</v>
      </c>
      <c r="C59" s="2">
        <v>52264495</v>
      </c>
      <c r="D59" s="2">
        <v>49681352</v>
      </c>
      <c r="E59" s="2">
        <v>1</v>
      </c>
      <c r="F59" s="2">
        <v>1</v>
      </c>
      <c r="G59" s="2">
        <v>29</v>
      </c>
      <c r="H59" s="2">
        <v>3</v>
      </c>
      <c r="I59" s="2" t="s">
        <v>111</v>
      </c>
      <c r="J59" s="2" t="s">
        <v>367</v>
      </c>
      <c r="K59" s="2" t="s">
        <v>112</v>
      </c>
      <c r="L59" s="2">
        <v>1339</v>
      </c>
      <c r="N59" s="2">
        <v>1007</v>
      </c>
      <c r="O59" s="2" t="s">
        <v>62</v>
      </c>
      <c r="P59" s="2" t="s">
        <v>62</v>
      </c>
      <c r="Q59" s="2">
        <v>1</v>
      </c>
      <c r="X59" s="2">
        <v>10</v>
      </c>
      <c r="Y59" s="2">
        <v>36.31</v>
      </c>
      <c r="Z59" s="2">
        <v>0</v>
      </c>
      <c r="AA59" s="2">
        <v>0</v>
      </c>
      <c r="AB59" s="2">
        <v>0</v>
      </c>
      <c r="AC59" s="2">
        <v>0</v>
      </c>
      <c r="AD59" s="2">
        <v>1</v>
      </c>
      <c r="AE59" s="2">
        <v>0</v>
      </c>
      <c r="AF59" s="2" t="s">
        <v>30</v>
      </c>
      <c r="AG59" s="2">
        <v>10</v>
      </c>
      <c r="AH59" s="2">
        <v>2</v>
      </c>
      <c r="AI59" s="2">
        <v>52264497</v>
      </c>
      <c r="AJ59" s="2">
        <v>61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</row>
    <row r="60" spans="1:44" x14ac:dyDescent="0.25">
      <c r="A60" s="2">
        <f>ROW('Source (2)'!A187)</f>
        <v>187</v>
      </c>
      <c r="B60" s="2">
        <v>52264501</v>
      </c>
      <c r="C60" s="2">
        <v>52264495</v>
      </c>
      <c r="D60" s="2">
        <v>49683088</v>
      </c>
      <c r="E60" s="2">
        <v>1</v>
      </c>
      <c r="F60" s="2">
        <v>1</v>
      </c>
      <c r="G60" s="2">
        <v>29</v>
      </c>
      <c r="H60" s="2">
        <v>3</v>
      </c>
      <c r="I60" s="2" t="s">
        <v>138</v>
      </c>
      <c r="J60" s="2" t="s">
        <v>387</v>
      </c>
      <c r="K60" s="2" t="s">
        <v>139</v>
      </c>
      <c r="L60" s="2">
        <v>1346</v>
      </c>
      <c r="N60" s="2">
        <v>1009</v>
      </c>
      <c r="O60" s="2" t="s">
        <v>140</v>
      </c>
      <c r="P60" s="2" t="s">
        <v>140</v>
      </c>
      <c r="Q60" s="2">
        <v>1</v>
      </c>
      <c r="X60" s="2">
        <v>4</v>
      </c>
      <c r="Y60" s="2">
        <v>331.36</v>
      </c>
      <c r="Z60" s="2">
        <v>0</v>
      </c>
      <c r="AA60" s="2">
        <v>0</v>
      </c>
      <c r="AB60" s="2">
        <v>0</v>
      </c>
      <c r="AC60" s="2">
        <v>0</v>
      </c>
      <c r="AD60" s="2">
        <v>1</v>
      </c>
      <c r="AE60" s="2">
        <v>0</v>
      </c>
      <c r="AF60" s="2" t="s">
        <v>30</v>
      </c>
      <c r="AG60" s="2">
        <v>4</v>
      </c>
      <c r="AH60" s="2">
        <v>2</v>
      </c>
      <c r="AI60" s="2">
        <v>52264498</v>
      </c>
      <c r="AJ60" s="2">
        <v>62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F475A-5B8F-47F5-9AE1-4E0D869D3B0F}">
  <sheetPr>
    <pageSetUpPr fitToPage="1"/>
  </sheetPr>
  <dimension ref="A1:E65"/>
  <sheetViews>
    <sheetView zoomScaleNormal="100" workbookViewId="0"/>
  </sheetViews>
  <sheetFormatPr defaultColWidth="9.1796875" defaultRowHeight="12.5" x14ac:dyDescent="0.25"/>
  <cols>
    <col min="1" max="1" width="6.7265625" style="2" customWidth="1"/>
    <col min="2" max="2" width="75.7265625" style="2" customWidth="1"/>
    <col min="3" max="5" width="15.7265625" style="2" customWidth="1"/>
    <col min="6" max="29" width="9.1796875" style="2"/>
    <col min="30" max="32" width="0" style="2" hidden="1" customWidth="1"/>
    <col min="33" max="16384" width="9.1796875" style="2"/>
  </cols>
  <sheetData>
    <row r="1" spans="1:5" x14ac:dyDescent="0.25">
      <c r="A1" s="1" t="str">
        <f>Source!B1</f>
        <v>Smeta.RU  (495) 974-1589</v>
      </c>
    </row>
    <row r="2" spans="1:5" ht="14" x14ac:dyDescent="0.3">
      <c r="C2" s="4"/>
      <c r="D2" s="4"/>
    </row>
    <row r="3" spans="1:5" ht="14" x14ac:dyDescent="0.3">
      <c r="C3" s="4"/>
      <c r="D3" s="23" t="s">
        <v>0</v>
      </c>
    </row>
    <row r="4" spans="1:5" ht="14" x14ac:dyDescent="0.3">
      <c r="C4" s="23"/>
      <c r="D4" s="23"/>
    </row>
    <row r="5" spans="1:5" ht="14" x14ac:dyDescent="0.3">
      <c r="C5" s="69" t="s">
        <v>47</v>
      </c>
      <c r="D5" s="69"/>
    </row>
    <row r="6" spans="1:5" ht="14" x14ac:dyDescent="0.3">
      <c r="C6" s="23"/>
      <c r="D6" s="23"/>
    </row>
    <row r="7" spans="1:5" ht="14" x14ac:dyDescent="0.3">
      <c r="C7" s="69" t="s">
        <v>47</v>
      </c>
      <c r="D7" s="69"/>
    </row>
    <row r="8" spans="1:5" ht="14" x14ac:dyDescent="0.3">
      <c r="C8" s="23"/>
      <c r="D8" s="23"/>
    </row>
    <row r="9" spans="1:5" ht="14" x14ac:dyDescent="0.3">
      <c r="C9" s="23" t="s">
        <v>48</v>
      </c>
      <c r="D9" s="4"/>
    </row>
    <row r="10" spans="1:5" ht="14" x14ac:dyDescent="0.3">
      <c r="A10" s="4"/>
      <c r="B10" s="4"/>
      <c r="C10" s="4"/>
      <c r="D10" s="4"/>
      <c r="E10" s="4"/>
    </row>
    <row r="11" spans="1:5" ht="15.5" x14ac:dyDescent="0.35">
      <c r="A11" s="86" t="str">
        <f>CONCATENATE("Дефектный акт ", IF(Source!AN15&lt;&gt;"", Source!AN15," "))</f>
        <v xml:space="preserve">Дефектный акт  </v>
      </c>
      <c r="B11" s="86"/>
      <c r="C11" s="86"/>
      <c r="D11" s="86"/>
      <c r="E11" s="4"/>
    </row>
    <row r="12" spans="1:5" ht="14" x14ac:dyDescent="0.3">
      <c r="A12" s="87" t="str">
        <f>CONCATENATE("На капитальный ремонт ", Source!F12, " ", Source!G12)</f>
        <v>На капитальный ремонт Г43 в ценах 2022г. Г19 к.1 -ремонт АБП</v>
      </c>
      <c r="B12" s="87"/>
      <c r="C12" s="87"/>
      <c r="D12" s="87"/>
      <c r="E12" s="4"/>
    </row>
    <row r="13" spans="1:5" ht="14" x14ac:dyDescent="0.3">
      <c r="A13" s="4"/>
      <c r="B13" s="4"/>
      <c r="C13" s="4"/>
      <c r="D13" s="4"/>
      <c r="E13" s="4"/>
    </row>
    <row r="14" spans="1:5" ht="14" x14ac:dyDescent="0.3">
      <c r="A14" s="4"/>
      <c r="B14" s="24" t="s">
        <v>49</v>
      </c>
      <c r="C14" s="4"/>
      <c r="D14" s="4"/>
      <c r="E14" s="4"/>
    </row>
    <row r="15" spans="1:5" ht="14" x14ac:dyDescent="0.3">
      <c r="A15" s="4"/>
      <c r="B15" s="24" t="s">
        <v>50</v>
      </c>
      <c r="C15" s="4"/>
      <c r="D15" s="4"/>
      <c r="E15" s="4"/>
    </row>
    <row r="16" spans="1:5" ht="14" x14ac:dyDescent="0.3">
      <c r="A16" s="4"/>
      <c r="B16" s="24" t="s">
        <v>51</v>
      </c>
      <c r="C16" s="4"/>
      <c r="D16" s="4"/>
      <c r="E16" s="4"/>
    </row>
    <row r="17" spans="1:5" ht="28" x14ac:dyDescent="0.25">
      <c r="A17" s="8" t="s">
        <v>52</v>
      </c>
      <c r="B17" s="8" t="s">
        <v>8</v>
      </c>
      <c r="C17" s="8" t="s">
        <v>9</v>
      </c>
      <c r="D17" s="8" t="s">
        <v>53</v>
      </c>
      <c r="E17" s="25" t="s">
        <v>54</v>
      </c>
    </row>
    <row r="18" spans="1:5" ht="14" x14ac:dyDescent="0.3">
      <c r="A18" s="26">
        <v>1</v>
      </c>
      <c r="B18" s="26">
        <v>2</v>
      </c>
      <c r="C18" s="26">
        <v>3</v>
      </c>
      <c r="D18" s="26">
        <v>4</v>
      </c>
      <c r="E18" s="26">
        <v>5</v>
      </c>
    </row>
    <row r="19" spans="1:5" ht="16.5" x14ac:dyDescent="0.35">
      <c r="A19" s="85" t="str">
        <f>CONCATENATE("Локальная смета: ", Source!G20)</f>
        <v>Локальная смета: Новая локальная смета</v>
      </c>
      <c r="B19" s="85"/>
      <c r="C19" s="85"/>
      <c r="D19" s="85"/>
      <c r="E19" s="85"/>
    </row>
    <row r="20" spans="1:5" ht="16.5" x14ac:dyDescent="0.35">
      <c r="A20" s="85" t="str">
        <f>CONCATENATE("Раздел: ", Source!G24)</f>
        <v>Раздел: Ремонт дорожно-тропиночной сети с асфальтобетонным покрытием  - 2513 м2</v>
      </c>
      <c r="B20" s="85"/>
      <c r="C20" s="85"/>
      <c r="D20" s="85"/>
      <c r="E20" s="85"/>
    </row>
    <row r="21" spans="1:5" ht="42" x14ac:dyDescent="0.3">
      <c r="A21" s="27">
        <v>1</v>
      </c>
      <c r="B21" s="28" t="str">
        <f>Source!G28</f>
        <v>Срезка поверхностного слоя асфальтобетонных дорожных покрытий методом холодного фрезерования при ширине барабана фрезы 2000 (2100) мм толщиной 6 см, без препятствий</v>
      </c>
      <c r="C21" s="29" t="str">
        <f>Source!H28</f>
        <v>100 м2</v>
      </c>
      <c r="D21" s="30">
        <f>Source!I28</f>
        <v>25.13</v>
      </c>
      <c r="E21" s="28"/>
    </row>
    <row r="22" spans="1:5" ht="42" x14ac:dyDescent="0.3">
      <c r="A22" s="27">
        <v>2</v>
      </c>
      <c r="B22" s="28" t="str">
        <f>Source!G29</f>
        <v>Срезка поверхностного слоя асфальтобетонных дорожных покрытий методом холодного фрезерования при ширине барабана фрезы 2000 (2100) мм, добавляется или исключается на 1 см</v>
      </c>
      <c r="C22" s="29" t="str">
        <f>Source!H29</f>
        <v>100 м2</v>
      </c>
      <c r="D22" s="30">
        <f>Source!I29</f>
        <v>-25.13</v>
      </c>
      <c r="E22" s="28"/>
    </row>
    <row r="23" spans="1:5" ht="28" x14ac:dyDescent="0.3">
      <c r="A23" s="27">
        <v>3</v>
      </c>
      <c r="B23" s="28" t="str">
        <f>Source!G30</f>
        <v>Исправление профиля щебеночных оснований с добавлением нового материала (2513м2х0,3=753,9м2)</v>
      </c>
      <c r="C23" s="29" t="str">
        <f>Source!H30</f>
        <v>1000 м2</v>
      </c>
      <c r="D23" s="30">
        <f>Source!I30</f>
        <v>0.75390000000000001</v>
      </c>
      <c r="E23" s="28"/>
    </row>
    <row r="24" spans="1:5" ht="28" x14ac:dyDescent="0.3">
      <c r="A24" s="27">
        <v>3.1</v>
      </c>
      <c r="B24" s="28" t="str">
        <f>Source!G31</f>
        <v>Щебень из естественного камня для строительных работ, марка 1200-800, фракция 10-20 мм</v>
      </c>
      <c r="C24" s="29" t="str">
        <f>Source!H31</f>
        <v>м3</v>
      </c>
      <c r="D24" s="30">
        <f>Source!I31</f>
        <v>-8.6698500000000003</v>
      </c>
      <c r="E24" s="28"/>
    </row>
    <row r="25" spans="1:5" ht="28" x14ac:dyDescent="0.3">
      <c r="A25" s="27">
        <v>3.2</v>
      </c>
      <c r="B25" s="28" t="str">
        <f>Source!G32</f>
        <v>Щебень из естественного камня для строительных работ, марка 1200-800, фракция 20-40 мм</v>
      </c>
      <c r="C25" s="29" t="str">
        <f>Source!H32</f>
        <v>м3</v>
      </c>
      <c r="D25" s="30">
        <f>Source!I32</f>
        <v>-41.464500000000001</v>
      </c>
      <c r="E25" s="28"/>
    </row>
    <row r="26" spans="1:5" ht="28" x14ac:dyDescent="0.3">
      <c r="A26" s="27">
        <v>3.3</v>
      </c>
      <c r="B26" s="28" t="str">
        <f>Source!G33</f>
        <v>Щебень из естественного камня для строительных работ, марка 600-400, фракция 20-40 мм</v>
      </c>
      <c r="C26" s="29" t="str">
        <f>Source!H33</f>
        <v>м3</v>
      </c>
      <c r="D26" s="30">
        <f>Source!I33</f>
        <v>41.464500000000001</v>
      </c>
      <c r="E26" s="28"/>
    </row>
    <row r="27" spans="1:5" ht="42" x14ac:dyDescent="0.3">
      <c r="A27" s="27">
        <v>4</v>
      </c>
      <c r="B27" s="28" t="str">
        <f>Source!G34</f>
        <v>Перевозка строительного мусора автосамосвалами грузоподъемностью до 10 т на расстояние 1 км - при механизированной погрузке (2513м2*0,05*2,4т=301,56т)</v>
      </c>
      <c r="C27" s="29" t="str">
        <f>Source!H34</f>
        <v>т</v>
      </c>
      <c r="D27" s="30">
        <f>Source!I34</f>
        <v>301.56</v>
      </c>
      <c r="E27" s="28"/>
    </row>
    <row r="28" spans="1:5" ht="28" x14ac:dyDescent="0.3">
      <c r="A28" s="27">
        <v>5</v>
      </c>
      <c r="B28" s="28" t="str">
        <f>Source!G35</f>
        <v>Перевозка строительного мусора автосамосвалами грузоподъемностью до 10 т - добавляется на каждый последующий 1 км до 100 км</v>
      </c>
      <c r="C28" s="29" t="str">
        <f>Source!H35</f>
        <v>т</v>
      </c>
      <c r="D28" s="30">
        <f>Source!I35</f>
        <v>301.56</v>
      </c>
      <c r="E28" s="28"/>
    </row>
    <row r="29" spans="1:5" ht="42" x14ac:dyDescent="0.3">
      <c r="A29" s="27">
        <v>6</v>
      </c>
      <c r="B29" s="28" t="str">
        <f>Source!G36</f>
        <v>Устройство асфальтобетонных покрытий дорожек и тротуаров двухслойных, верхний слой из песчаной асфальтобетонной смеси толщиной 3 см (толщина 5 см)</v>
      </c>
      <c r="C29" s="29" t="str">
        <f>Source!H36</f>
        <v>100 м2</v>
      </c>
      <c r="D29" s="30">
        <f>Source!I36</f>
        <v>25.13</v>
      </c>
      <c r="E29" s="28"/>
    </row>
    <row r="30" spans="1:5" ht="14" x14ac:dyDescent="0.3">
      <c r="A30" s="27">
        <v>6.1</v>
      </c>
      <c r="B30" s="28" t="str">
        <f>Source!G37</f>
        <v>Смеси асфальтобетонные дорожные горячие песчаные, тип Д, марка III</v>
      </c>
      <c r="C30" s="29" t="str">
        <f>Source!H37</f>
        <v>т</v>
      </c>
      <c r="D30" s="30">
        <f>Source!I37</f>
        <v>-179.4282</v>
      </c>
      <c r="E30" s="28"/>
    </row>
    <row r="31" spans="1:5" ht="14" x14ac:dyDescent="0.3">
      <c r="A31" s="27">
        <v>6.2</v>
      </c>
      <c r="B31" s="28" t="str">
        <f>Source!G38</f>
        <v>Смеси асфальтобетонные дорожные горячие песчаные, тип Д, марка II</v>
      </c>
      <c r="C31" s="29" t="str">
        <f>Source!H38</f>
        <v>т</v>
      </c>
      <c r="D31" s="30">
        <f>Source!I38</f>
        <v>293.26710000000003</v>
      </c>
      <c r="E31" s="28"/>
    </row>
    <row r="32" spans="1:5" ht="16.5" x14ac:dyDescent="0.35">
      <c r="A32" s="85" t="str">
        <f>CONCATENATE("Раздел: ", Source!G80)</f>
        <v>Раздел: Устройство бортового камня</v>
      </c>
      <c r="B32" s="85"/>
      <c r="C32" s="85"/>
      <c r="D32" s="85"/>
      <c r="E32" s="85"/>
    </row>
    <row r="33" spans="1:5" ht="14" x14ac:dyDescent="0.3">
      <c r="A33" s="27">
        <v>7</v>
      </c>
      <c r="B33" s="28" t="str">
        <f>Source!G84</f>
        <v>Замена бортового камня бетонного во дворовых территориях</v>
      </c>
      <c r="C33" s="29" t="str">
        <f>Source!H84</f>
        <v>м</v>
      </c>
      <c r="D33" s="30">
        <f>Source!I84</f>
        <v>348</v>
      </c>
      <c r="E33" s="28"/>
    </row>
    <row r="34" spans="1:5" ht="14" x14ac:dyDescent="0.3">
      <c r="A34" s="27">
        <v>7.1</v>
      </c>
      <c r="B34" s="28" t="str">
        <f>Source!G85</f>
        <v>Растворы цементные, марка 100</v>
      </c>
      <c r="C34" s="29" t="str">
        <f>Source!H85</f>
        <v>м3</v>
      </c>
      <c r="D34" s="30">
        <f>Source!I85</f>
        <v>-0.20880000000000001</v>
      </c>
      <c r="E34" s="28"/>
    </row>
    <row r="35" spans="1:5" ht="14" x14ac:dyDescent="0.3">
      <c r="A35" s="27">
        <v>7.2</v>
      </c>
      <c r="B35" s="28" t="str">
        <f>Source!G86</f>
        <v>Масса мусора</v>
      </c>
      <c r="C35" s="29" t="str">
        <f>Source!H86</f>
        <v>т</v>
      </c>
      <c r="D35" s="30">
        <f>Source!I86</f>
        <v>-85.608000000000004</v>
      </c>
      <c r="E35" s="28"/>
    </row>
    <row r="36" spans="1:5" ht="28" x14ac:dyDescent="0.3">
      <c r="A36" s="27">
        <v>8</v>
      </c>
      <c r="B36" s="28" t="str">
        <f>Source!G87</f>
        <v>Перевозка строительного мусора автосамосвалами грузоподъемностью до 10 т на расстояние 1 км - при механизированной погрузке</v>
      </c>
      <c r="C36" s="29" t="str">
        <f>Source!H87</f>
        <v>т</v>
      </c>
      <c r="D36" s="30">
        <f>Source!I87</f>
        <v>85.608000000000004</v>
      </c>
      <c r="E36" s="28"/>
    </row>
    <row r="37" spans="1:5" ht="28" x14ac:dyDescent="0.3">
      <c r="A37" s="27">
        <v>9</v>
      </c>
      <c r="B37" s="28" t="str">
        <f>Source!G88</f>
        <v>Перевозка строительного мусора автосамосвалами грузоподъемностью до 10 т - добавляется на каждый последующий 1 км до 100 км</v>
      </c>
      <c r="C37" s="29" t="str">
        <f>Source!H88</f>
        <v>т</v>
      </c>
      <c r="D37" s="30">
        <f>Source!I88</f>
        <v>85.608000000000004</v>
      </c>
      <c r="E37" s="28"/>
    </row>
    <row r="38" spans="1:5" ht="28" x14ac:dyDescent="0.3">
      <c r="A38" s="27">
        <v>10</v>
      </c>
      <c r="B38" s="28" t="str">
        <f>Source!G89</f>
        <v>Установка бортовых камней бетонных марки БР 100.30.15 при других видах покрытий</v>
      </c>
      <c r="C38" s="29" t="str">
        <f>Source!H89</f>
        <v>100 м</v>
      </c>
      <c r="D38" s="30">
        <f>Source!I89</f>
        <v>3.42</v>
      </c>
      <c r="E38" s="28"/>
    </row>
    <row r="39" spans="1:5" ht="14" x14ac:dyDescent="0.3">
      <c r="A39" s="27">
        <v>10.1</v>
      </c>
      <c r="B39" s="28" t="str">
        <f>Source!G90</f>
        <v>Растворы цементные, марка 100</v>
      </c>
      <c r="C39" s="29" t="str">
        <f>Source!H90</f>
        <v>м3</v>
      </c>
      <c r="D39" s="30">
        <f>Source!I90</f>
        <v>-0.20519999999999999</v>
      </c>
      <c r="E39" s="28"/>
    </row>
    <row r="40" spans="1:5" ht="42" x14ac:dyDescent="0.3">
      <c r="A40" s="27">
        <v>11</v>
      </c>
      <c r="B40" s="28" t="str">
        <f>Source!G91</f>
        <v>Устройство демпфирующего теплоизоляционного материала типа "Изолонтейп Дор" между бортовыми камнями при установке и ремонте бетонного или гранитного бортового камня</v>
      </c>
      <c r="C40" s="29" t="str">
        <f>Source!H91</f>
        <v>100 шт.</v>
      </c>
      <c r="D40" s="30">
        <f>Source!I91</f>
        <v>6.9</v>
      </c>
      <c r="E40" s="28"/>
    </row>
    <row r="41" spans="1:5" ht="16.5" x14ac:dyDescent="0.35">
      <c r="A41" s="85" t="str">
        <f>CONCATENATE("Раздел: ", Source!G133)</f>
        <v>Раздел: Устройство малых архитектурных форм</v>
      </c>
      <c r="B41" s="85"/>
      <c r="C41" s="85"/>
      <c r="D41" s="85"/>
      <c r="E41" s="85"/>
    </row>
    <row r="42" spans="1:5" ht="42" x14ac:dyDescent="0.3">
      <c r="A42" s="27">
        <v>12</v>
      </c>
      <c r="B42" s="28" t="str">
        <f>Source!G137</f>
        <v>Диван ДП-6 деревянный на каркасе из металлического уголка с ножками из металлической трубы, окрашенный цветными эмалями, размеры 2000х900х650 мм</v>
      </c>
      <c r="C42" s="29" t="str">
        <f>Source!H137</f>
        <v>шт.</v>
      </c>
      <c r="D42" s="30">
        <f>Source!I137</f>
        <v>0</v>
      </c>
      <c r="E42" s="28"/>
    </row>
    <row r="43" spans="1:5" ht="28" x14ac:dyDescent="0.3">
      <c r="A43" s="27">
        <v>13</v>
      </c>
      <c r="B43" s="28" t="str">
        <f>Source!G138</f>
        <v>Урна опрокидывающаяся металлическая круглая на ножках из стальной трубы, 300х300х950 мм</v>
      </c>
      <c r="C43" s="29" t="str">
        <f>Source!H138</f>
        <v>шт.</v>
      </c>
      <c r="D43" s="30">
        <f>Source!I138</f>
        <v>0</v>
      </c>
      <c r="E43" s="28"/>
    </row>
    <row r="44" spans="1:5" ht="16.5" x14ac:dyDescent="0.35">
      <c r="A44" s="85" t="str">
        <f>CONCATENATE("Раздел: ", Source!G180)</f>
        <v>Раздел: Ремонт газонов -300м2</v>
      </c>
      <c r="B44" s="85"/>
      <c r="C44" s="85"/>
      <c r="D44" s="85"/>
      <c r="E44" s="85"/>
    </row>
    <row r="45" spans="1:5" ht="28" x14ac:dyDescent="0.3">
      <c r="A45" s="27">
        <v>14</v>
      </c>
      <c r="B45" s="28" t="str">
        <f>Source!G184</f>
        <v>Подготовка почвы для устройства партерного и обыкновенного газонов с внесением растительной земли слоем 15 см механизированным способом</v>
      </c>
      <c r="C45" s="29" t="str">
        <f>Source!H184</f>
        <v>100 м2</v>
      </c>
      <c r="D45" s="30">
        <f>Source!I184</f>
        <v>2.25</v>
      </c>
      <c r="E45" s="28"/>
    </row>
    <row r="46" spans="1:5" ht="28" x14ac:dyDescent="0.3">
      <c r="A46" s="27">
        <v>15</v>
      </c>
      <c r="B46" s="28" t="str">
        <f>Source!G185</f>
        <v>Подготовка почвы для устройства партерного и обыкновенного газонов с внесением растительной земли слоем 15 см вручную</v>
      </c>
      <c r="C46" s="29" t="str">
        <f>Source!H185</f>
        <v>100 м2</v>
      </c>
      <c r="D46" s="30">
        <f>Source!I185</f>
        <v>0.75</v>
      </c>
      <c r="E46" s="28"/>
    </row>
    <row r="47" spans="1:5" ht="28" x14ac:dyDescent="0.3">
      <c r="A47" s="27">
        <v>16</v>
      </c>
      <c r="B47" s="28" t="str">
        <f>Source!G186</f>
        <v>Подготовка почвы для устройства партерного и обыкновенного газонов на каждые 5 см изменения толщины слоя добавлять или исключать</v>
      </c>
      <c r="C47" s="29" t="str">
        <f>Source!H186</f>
        <v>100 м2</v>
      </c>
      <c r="D47" s="30">
        <f>Source!I186</f>
        <v>-3</v>
      </c>
      <c r="E47" s="28"/>
    </row>
    <row r="48" spans="1:5" ht="14" x14ac:dyDescent="0.3">
      <c r="A48" s="27">
        <v>17</v>
      </c>
      <c r="B48" s="28" t="str">
        <f>Source!G187</f>
        <v>Посев газонов партерных, мавританских, и обыкновенных вручную</v>
      </c>
      <c r="C48" s="29" t="str">
        <f>Source!H187</f>
        <v>100 м2</v>
      </c>
      <c r="D48" s="30">
        <f>Source!I187</f>
        <v>3</v>
      </c>
      <c r="E48" s="28"/>
    </row>
    <row r="49" spans="1:5" ht="16.5" x14ac:dyDescent="0.35">
      <c r="A49" s="85" t="str">
        <f>CONCATENATE("Раздел: ", Source!G219)</f>
        <v>Раздел: Устройство дорожно-тропиночной сети с асфальтобетонным покрытием -42 м2</v>
      </c>
      <c r="B49" s="85"/>
      <c r="C49" s="85"/>
      <c r="D49" s="85"/>
      <c r="E49" s="85"/>
    </row>
    <row r="50" spans="1:5" ht="42" x14ac:dyDescent="0.3">
      <c r="A50" s="27">
        <v>18</v>
      </c>
      <c r="B50" s="28" t="str">
        <f>Source!G223</f>
        <v>Разработка грунта с погрузкой на автомобили-самосвалы экскаваторами с ковшом вместимостью 0,5 м3, группа грунтов 1-3  (42 м2х0,25=10,5 м3х0,9=9,45м3)</v>
      </c>
      <c r="C50" s="29" t="str">
        <f>Source!H223</f>
        <v>100 м3</v>
      </c>
      <c r="D50" s="30">
        <f>Source!I223</f>
        <v>9.4500000000000001E-2</v>
      </c>
      <c r="E50" s="28"/>
    </row>
    <row r="51" spans="1:5" ht="28" x14ac:dyDescent="0.3">
      <c r="A51" s="27">
        <v>19</v>
      </c>
      <c r="B51" s="28" t="str">
        <f>Source!G224</f>
        <v>Разработка грунта вручную в траншеях глубиной до 2 м без креплений с откосами, группа грунтов 1-3 (42 м2х0,25=10,5 м3х0,1=1,05м3)</v>
      </c>
      <c r="C51" s="29" t="str">
        <f>Source!H224</f>
        <v>100 м3</v>
      </c>
      <c r="D51" s="30">
        <f>Source!I224</f>
        <v>1.0500000000000001E-2</v>
      </c>
      <c r="E51" s="28"/>
    </row>
    <row r="52" spans="1:5" ht="42" x14ac:dyDescent="0.3">
      <c r="A52" s="27">
        <v>20</v>
      </c>
      <c r="B52" s="28" t="str">
        <f>Source!G225</f>
        <v>Разработка грунта с погрузкой на автомобили-самосвалы экскаваторами с ковшом вместимостью 0,5 м3, группа грунтов 1-3  (1,05м3*0,9=0,945м3-погрузка грунта разработанного вручную)</v>
      </c>
      <c r="C52" s="29" t="str">
        <f>Source!H225</f>
        <v>100 м3</v>
      </c>
      <c r="D52" s="30">
        <f>Source!I225</f>
        <v>9.4500000000000001E-3</v>
      </c>
      <c r="E52" s="28"/>
    </row>
    <row r="53" spans="1:5" ht="28" x14ac:dyDescent="0.3">
      <c r="A53" s="27">
        <v>21</v>
      </c>
      <c r="B53" s="28" t="str">
        <f>Source!G226</f>
        <v>Погрузка грунта вручную в автомобили-самосвалы с выгрузкой (1,05м3х0,1=0,105м3)</v>
      </c>
      <c r="C53" s="29" t="str">
        <f>Source!H226</f>
        <v>100 м3</v>
      </c>
      <c r="D53" s="30">
        <f>Source!I226</f>
        <v>1.0499999999999999E-3</v>
      </c>
      <c r="E53" s="28"/>
    </row>
    <row r="54" spans="1:5" ht="28" x14ac:dyDescent="0.3">
      <c r="A54" s="27">
        <v>22</v>
      </c>
      <c r="B54" s="28" t="str">
        <f>Source!G227</f>
        <v>Перевозка грунта автосамосвалами грузоподъемностью до 10 т на расстояние 1 км</v>
      </c>
      <c r="C54" s="29" t="str">
        <f>Source!H227</f>
        <v>м3</v>
      </c>
      <c r="D54" s="30">
        <f>Source!I227</f>
        <v>10.5</v>
      </c>
      <c r="E54" s="28"/>
    </row>
    <row r="55" spans="1:5" ht="28" x14ac:dyDescent="0.3">
      <c r="A55" s="27">
        <v>23</v>
      </c>
      <c r="B55" s="28" t="str">
        <f>Source!G228</f>
        <v>Перевозка грунта автосамосвалами грузоподъемностью до 10 т - добавляется на каждый последующий 1 км до 100 км (к поз. 49-3401-1-1)</v>
      </c>
      <c r="C55" s="29" t="str">
        <f>Source!H228</f>
        <v>м3</v>
      </c>
      <c r="D55" s="30">
        <f>Source!I228</f>
        <v>10.5</v>
      </c>
      <c r="E55" s="28"/>
    </row>
    <row r="56" spans="1:5" ht="28" x14ac:dyDescent="0.3">
      <c r="A56" s="27">
        <v>24</v>
      </c>
      <c r="B56" s="28" t="str">
        <f>Source!G229</f>
        <v>Устройство подстилающих и выравнивающих слоев оснований из песка (10см)</v>
      </c>
      <c r="C56" s="29" t="str">
        <f>Source!H229</f>
        <v>100 м3</v>
      </c>
      <c r="D56" s="30">
        <f>Source!I229</f>
        <v>4.2000000000000003E-2</v>
      </c>
      <c r="E56" s="28"/>
    </row>
    <row r="57" spans="1:5" ht="28" x14ac:dyDescent="0.3">
      <c r="A57" s="27">
        <v>25</v>
      </c>
      <c r="B57" s="28" t="str">
        <f>Source!G230</f>
        <v>Устройство подстилающих и выравнивающих слоев оснований из щебня (10 см)</v>
      </c>
      <c r="C57" s="29" t="str">
        <f>Source!H230</f>
        <v>100 м3</v>
      </c>
      <c r="D57" s="30">
        <f>Source!I230</f>
        <v>4.2000000000000003E-2</v>
      </c>
      <c r="E57" s="28"/>
    </row>
    <row r="58" spans="1:5" ht="28" x14ac:dyDescent="0.3">
      <c r="A58" s="27">
        <v>25.1</v>
      </c>
      <c r="B58" s="28" t="str">
        <f>Source!G231</f>
        <v>Щебень из естественного камня для строительных работ, марка 1200-800, фракция 20-40 мм</v>
      </c>
      <c r="C58" s="29" t="str">
        <f>Source!H231</f>
        <v>м3</v>
      </c>
      <c r="D58" s="30">
        <f>Source!I231</f>
        <v>-5.2919999999999998</v>
      </c>
      <c r="E58" s="28"/>
    </row>
    <row r="59" spans="1:5" ht="28" x14ac:dyDescent="0.3">
      <c r="A59" s="27">
        <v>25.2</v>
      </c>
      <c r="B59" s="28" t="str">
        <f>Source!G232</f>
        <v>Щебень из естественного камня для строительных работ, марка 600-400, фракция 20-40 мм</v>
      </c>
      <c r="C59" s="29" t="str">
        <f>Source!H232</f>
        <v>м3</v>
      </c>
      <c r="D59" s="30">
        <f>Source!I232</f>
        <v>5.2919999999999998</v>
      </c>
      <c r="E59" s="28"/>
    </row>
    <row r="60" spans="1:5" ht="28" x14ac:dyDescent="0.3">
      <c r="A60" s="27">
        <v>26</v>
      </c>
      <c r="B60" s="28" t="str">
        <f>Source!G233</f>
        <v>Устройство асфальтобетонных покрытий дорожек и тротуаров двухслойных, верхний слой из песчаной асфальтобетонной смеси толщиной 3 см (5см)</v>
      </c>
      <c r="C60" s="29" t="str">
        <f>Source!H233</f>
        <v>100 м2</v>
      </c>
      <c r="D60" s="30">
        <f>Source!I233</f>
        <v>0.42</v>
      </c>
      <c r="E60" s="28"/>
    </row>
    <row r="61" spans="1:5" ht="14" x14ac:dyDescent="0.3">
      <c r="A61" s="27">
        <v>26.1</v>
      </c>
      <c r="B61" s="28" t="str">
        <f>Source!G234</f>
        <v>Смеси асфальтобетонные дорожные горячие песчаные, тип Д, марка III</v>
      </c>
      <c r="C61" s="29" t="str">
        <f>Source!H234</f>
        <v>т</v>
      </c>
      <c r="D61" s="30">
        <f>Source!I234</f>
        <v>-2.9988000000000001</v>
      </c>
      <c r="E61" s="28"/>
    </row>
    <row r="62" spans="1:5" ht="14" x14ac:dyDescent="0.3">
      <c r="A62" s="31">
        <v>26.2</v>
      </c>
      <c r="B62" s="32" t="str">
        <f>Source!G235</f>
        <v>Смеси асфальтобетонные дорожные горячие песчаные, тип Д, марка II</v>
      </c>
      <c r="C62" s="33" t="str">
        <f>Source!H235</f>
        <v>т</v>
      </c>
      <c r="D62" s="34">
        <f>Source!I235</f>
        <v>4.9013999999999998</v>
      </c>
      <c r="E62" s="32"/>
    </row>
    <row r="65" spans="1:5" ht="14" x14ac:dyDescent="0.3">
      <c r="A65" s="19" t="s">
        <v>55</v>
      </c>
      <c r="B65" s="19"/>
      <c r="C65" s="19" t="s">
        <v>56</v>
      </c>
      <c r="D65" s="19"/>
      <c r="E65" s="19"/>
    </row>
  </sheetData>
  <mergeCells count="10">
    <mergeCell ref="A32:E32"/>
    <mergeCell ref="A41:E41"/>
    <mergeCell ref="A44:E44"/>
    <mergeCell ref="A49:E49"/>
    <mergeCell ref="C5:D5"/>
    <mergeCell ref="C7:D7"/>
    <mergeCell ref="A11:D11"/>
    <mergeCell ref="A12:D12"/>
    <mergeCell ref="A19:E19"/>
    <mergeCell ref="A20:E20"/>
  </mergeCells>
  <pageMargins left="0.4" right="0.2" top="0.2" bottom="0.4" header="0.2" footer="0.2"/>
  <pageSetup paperSize="9" scale="77" fitToHeight="0" orientation="portrait" r:id="rId1"/>
  <headerFooter>
    <oddHeader>&amp;L&amp;8</oddHeader>
    <oddFooter>&amp;R&amp;P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21584-38CF-4D51-9EFB-D21B87BABD7B}">
  <sheetPr>
    <pageSetUpPr fitToPage="1"/>
  </sheetPr>
  <dimension ref="A1:H64"/>
  <sheetViews>
    <sheetView zoomScaleNormal="100" workbookViewId="0"/>
  </sheetViews>
  <sheetFormatPr defaultColWidth="9.1796875" defaultRowHeight="12.5" x14ac:dyDescent="0.25"/>
  <cols>
    <col min="1" max="2" width="6.7265625" style="2" customWidth="1"/>
    <col min="3" max="3" width="75.7265625" style="2" customWidth="1"/>
    <col min="4" max="8" width="15.7265625" style="2" customWidth="1"/>
    <col min="9" max="29" width="9.1796875" style="2"/>
    <col min="30" max="32" width="0" style="2" hidden="1" customWidth="1"/>
    <col min="33" max="16384" width="9.1796875" style="2"/>
  </cols>
  <sheetData>
    <row r="1" spans="1:8" x14ac:dyDescent="0.25">
      <c r="A1" s="1" t="str">
        <f>Source!B1</f>
        <v>Smeta.RU  (495) 974-1589</v>
      </c>
    </row>
    <row r="2" spans="1:8" ht="14" x14ac:dyDescent="0.3">
      <c r="D2" s="4"/>
      <c r="E2" s="4"/>
    </row>
    <row r="3" spans="1:8" ht="14" x14ac:dyDescent="0.3">
      <c r="D3" s="4"/>
      <c r="E3" s="23" t="s">
        <v>0</v>
      </c>
    </row>
    <row r="4" spans="1:8" ht="14" x14ac:dyDescent="0.3">
      <c r="D4" s="23"/>
      <c r="E4" s="23"/>
    </row>
    <row r="5" spans="1:8" ht="14" x14ac:dyDescent="0.3">
      <c r="D5" s="69" t="s">
        <v>47</v>
      </c>
      <c r="E5" s="69"/>
    </row>
    <row r="6" spans="1:8" ht="14" x14ac:dyDescent="0.3">
      <c r="D6" s="23"/>
      <c r="E6" s="23"/>
    </row>
    <row r="7" spans="1:8" ht="14" x14ac:dyDescent="0.3">
      <c r="D7" s="69" t="s">
        <v>47</v>
      </c>
      <c r="E7" s="69"/>
    </row>
    <row r="8" spans="1:8" ht="14" x14ac:dyDescent="0.3">
      <c r="D8" s="23"/>
      <c r="E8" s="23"/>
    </row>
    <row r="9" spans="1:8" ht="14" x14ac:dyDescent="0.3">
      <c r="D9" s="23" t="s">
        <v>48</v>
      </c>
      <c r="E9" s="4"/>
    </row>
    <row r="10" spans="1:8" ht="14" x14ac:dyDescent="0.3">
      <c r="D10" s="4"/>
      <c r="E10" s="4"/>
    </row>
    <row r="12" spans="1:8" ht="15.5" x14ac:dyDescent="0.25">
      <c r="B12" s="88" t="str">
        <f>CONCATENATE("Ведомость объемов работ ", IF(Source!AN15&lt;&gt;"", Source!AN15," "))</f>
        <v xml:space="preserve">Ведомость объемов работ  </v>
      </c>
      <c r="C12" s="88"/>
      <c r="D12" s="88"/>
      <c r="E12" s="88"/>
    </row>
    <row r="13" spans="1:8" ht="14" x14ac:dyDescent="0.25">
      <c r="B13" s="89" t="str">
        <f>CONCATENATE(Source!F12, " ", Source!G12)</f>
        <v>Г43 в ценах 2022г. Г19 к.1 -ремонт АБП</v>
      </c>
      <c r="C13" s="89"/>
      <c r="D13" s="89"/>
      <c r="E13" s="89"/>
    </row>
    <row r="14" spans="1:8" hidden="1" x14ac:dyDescent="0.25"/>
    <row r="16" spans="1:8" ht="70" x14ac:dyDescent="0.25">
      <c r="A16" s="25" t="s">
        <v>52</v>
      </c>
      <c r="B16" s="25" t="s">
        <v>57</v>
      </c>
      <c r="C16" s="25" t="s">
        <v>8</v>
      </c>
      <c r="D16" s="25" t="s">
        <v>9</v>
      </c>
      <c r="E16" s="25" t="s">
        <v>53</v>
      </c>
      <c r="F16" s="25" t="s">
        <v>58</v>
      </c>
      <c r="G16" s="25" t="s">
        <v>59</v>
      </c>
      <c r="H16" s="25" t="s">
        <v>54</v>
      </c>
    </row>
    <row r="17" spans="1:8" ht="14" x14ac:dyDescent="0.25">
      <c r="A17" s="25">
        <v>1</v>
      </c>
      <c r="B17" s="25">
        <v>2</v>
      </c>
      <c r="C17" s="25">
        <v>3</v>
      </c>
      <c r="D17" s="25">
        <v>4</v>
      </c>
      <c r="E17" s="25">
        <v>5</v>
      </c>
      <c r="F17" s="25">
        <v>6</v>
      </c>
      <c r="G17" s="25">
        <v>7</v>
      </c>
      <c r="H17" s="25">
        <v>8</v>
      </c>
    </row>
    <row r="18" spans="1:8" ht="16.5" x14ac:dyDescent="0.35">
      <c r="A18" s="85" t="str">
        <f>CONCATENATE("Локальная смета: ", Source!G20)</f>
        <v>Локальная смета: Новая локальная смета</v>
      </c>
      <c r="B18" s="85"/>
      <c r="C18" s="85"/>
      <c r="D18" s="85"/>
      <c r="E18" s="85"/>
      <c r="F18" s="85"/>
      <c r="G18" s="85"/>
      <c r="H18" s="85"/>
    </row>
    <row r="19" spans="1:8" ht="16.5" x14ac:dyDescent="0.35">
      <c r="A19" s="85" t="str">
        <f>CONCATENATE("Раздел: ", Source!G24)</f>
        <v>Раздел: Ремонт дорожно-тропиночной сети с асфальтобетонным покрытием  - 2513 м2</v>
      </c>
      <c r="B19" s="85"/>
      <c r="C19" s="85"/>
      <c r="D19" s="85"/>
      <c r="E19" s="85"/>
      <c r="F19" s="85"/>
      <c r="G19" s="85"/>
      <c r="H19" s="85"/>
    </row>
    <row r="20" spans="1:8" ht="42" x14ac:dyDescent="0.25">
      <c r="A20" s="25">
        <v>1</v>
      </c>
      <c r="B20" s="25" t="str">
        <f>Source!E28</f>
        <v>1</v>
      </c>
      <c r="C20" s="35" t="str">
        <f>Source!G28</f>
        <v>Срезка поверхностного слоя асфальтобетонных дорожных покрытий методом холодного фрезерования при ширине барабана фрезы 2000 (2100) мм толщиной 6 см, без препятствий</v>
      </c>
      <c r="D20" s="25" t="s">
        <v>60</v>
      </c>
      <c r="E20" s="36">
        <f>Source!I28</f>
        <v>25.13</v>
      </c>
      <c r="F20" s="25" t="str">
        <f>Source!U24</f>
        <v/>
      </c>
      <c r="G20" s="25" t="str">
        <f>"=2513/"&amp;"100"</f>
        <v>=2513/100</v>
      </c>
      <c r="H20" s="35"/>
    </row>
    <row r="21" spans="1:8" ht="42" x14ac:dyDescent="0.25">
      <c r="A21" s="25">
        <v>2</v>
      </c>
      <c r="B21" s="25" t="str">
        <f>Source!E29</f>
        <v>2</v>
      </c>
      <c r="C21" s="35" t="str">
        <f>Source!G29</f>
        <v>Срезка поверхностного слоя асфальтобетонных дорожных покрытий методом холодного фрезерования при ширине барабана фрезы 2000 (2100) мм, добавляется или исключается на 1 см</v>
      </c>
      <c r="D21" s="25" t="s">
        <v>60</v>
      </c>
      <c r="E21" s="36">
        <f>Source!I29</f>
        <v>-25.13</v>
      </c>
      <c r="F21" s="25" t="str">
        <f>Source!U24</f>
        <v/>
      </c>
      <c r="G21" s="25" t="str">
        <f>"=-"&amp;"2513/"&amp;"100"</f>
        <v>=-2513/100</v>
      </c>
      <c r="H21" s="35"/>
    </row>
    <row r="22" spans="1:8" ht="28" x14ac:dyDescent="0.25">
      <c r="A22" s="25">
        <v>3</v>
      </c>
      <c r="B22" s="25" t="str">
        <f>Source!E30</f>
        <v>3</v>
      </c>
      <c r="C22" s="35" t="str">
        <f>Source!G30</f>
        <v>Исправление профиля щебеночных оснований с добавлением нового материала (2513м2х0,3=753,9м2)</v>
      </c>
      <c r="D22" s="25" t="s">
        <v>61</v>
      </c>
      <c r="E22" s="36">
        <f>Source!I30</f>
        <v>0.75390000000000001</v>
      </c>
      <c r="F22" s="25" t="str">
        <f>Source!U24</f>
        <v/>
      </c>
      <c r="G22" s="25" t="str">
        <f>"=753,9/"&amp;"1000"</f>
        <v>=753,9/1000</v>
      </c>
      <c r="H22" s="35"/>
    </row>
    <row r="23" spans="1:8" ht="28" x14ac:dyDescent="0.25">
      <c r="A23" s="25">
        <v>3.1</v>
      </c>
      <c r="B23" s="25" t="str">
        <f>Source!E31</f>
        <v>3,1</v>
      </c>
      <c r="C23" s="35" t="str">
        <f>Source!G31</f>
        <v>Щебень из естественного камня для строительных работ, марка 1200-800, фракция 10-20 мм</v>
      </c>
      <c r="D23" s="25" t="s">
        <v>62</v>
      </c>
      <c r="E23" s="36">
        <f>Source!I31</f>
        <v>-8.6698500000000003</v>
      </c>
      <c r="F23" s="25" t="str">
        <f>Source!U24</f>
        <v/>
      </c>
      <c r="G23" s="25"/>
      <c r="H23" s="35"/>
    </row>
    <row r="24" spans="1:8" ht="28" x14ac:dyDescent="0.25">
      <c r="A24" s="25">
        <v>3.2</v>
      </c>
      <c r="B24" s="25" t="str">
        <f>Source!E32</f>
        <v>3,2</v>
      </c>
      <c r="C24" s="35" t="str">
        <f>Source!G32</f>
        <v>Щебень из естественного камня для строительных работ, марка 1200-800, фракция 20-40 мм</v>
      </c>
      <c r="D24" s="25" t="s">
        <v>62</v>
      </c>
      <c r="E24" s="36">
        <f>Source!I32</f>
        <v>-41.464500000000001</v>
      </c>
      <c r="F24" s="25" t="str">
        <f>Source!U24</f>
        <v/>
      </c>
      <c r="G24" s="25"/>
      <c r="H24" s="35"/>
    </row>
    <row r="25" spans="1:8" ht="28" x14ac:dyDescent="0.25">
      <c r="A25" s="25">
        <v>3.3</v>
      </c>
      <c r="B25" s="25" t="str">
        <f>Source!E33</f>
        <v>3,3</v>
      </c>
      <c r="C25" s="35" t="str">
        <f>Source!G33</f>
        <v>Щебень из естественного камня для строительных работ, марка 600-400, фракция 20-40 мм</v>
      </c>
      <c r="D25" s="25" t="s">
        <v>62</v>
      </c>
      <c r="E25" s="36">
        <f>Source!I33</f>
        <v>41.464500000000001</v>
      </c>
      <c r="F25" s="25" t="str">
        <f>Source!U24</f>
        <v/>
      </c>
      <c r="G25" s="25"/>
      <c r="H25" s="35"/>
    </row>
    <row r="26" spans="1:8" ht="42" x14ac:dyDescent="0.25">
      <c r="A26" s="25">
        <v>4</v>
      </c>
      <c r="B26" s="25" t="str">
        <f>Source!E34</f>
        <v>4</v>
      </c>
      <c r="C26" s="35" t="str">
        <f>Source!G34</f>
        <v>Перевозка строительного мусора автосамосвалами грузоподъемностью до 10 т на расстояние 1 км - при механизированной погрузке (2513м2*0,05*2,4т=301,56т)</v>
      </c>
      <c r="D26" s="25" t="s">
        <v>63</v>
      </c>
      <c r="E26" s="36">
        <f>Source!I34</f>
        <v>301.56</v>
      </c>
      <c r="F26" s="25" t="str">
        <f>Source!U24</f>
        <v/>
      </c>
      <c r="G26" s="25">
        <f>Source!I34</f>
        <v>301.56</v>
      </c>
      <c r="H26" s="35"/>
    </row>
    <row r="27" spans="1:8" ht="28" x14ac:dyDescent="0.25">
      <c r="A27" s="25">
        <v>5</v>
      </c>
      <c r="B27" s="25" t="str">
        <f>Source!E35</f>
        <v>5</v>
      </c>
      <c r="C27" s="35" t="str">
        <f>Source!G35</f>
        <v>Перевозка строительного мусора автосамосвалами грузоподъемностью до 10 т - добавляется на каждый последующий 1 км до 100 км</v>
      </c>
      <c r="D27" s="25" t="s">
        <v>63</v>
      </c>
      <c r="E27" s="36">
        <f>Source!I35</f>
        <v>301.56</v>
      </c>
      <c r="F27" s="25" t="str">
        <f>Source!U24</f>
        <v/>
      </c>
      <c r="G27" s="25">
        <f>Source!I35</f>
        <v>301.56</v>
      </c>
      <c r="H27" s="35"/>
    </row>
    <row r="28" spans="1:8" ht="42" x14ac:dyDescent="0.25">
      <c r="A28" s="25">
        <v>6</v>
      </c>
      <c r="B28" s="25" t="str">
        <f>Source!E36</f>
        <v>6</v>
      </c>
      <c r="C28" s="35" t="str">
        <f>Source!G36</f>
        <v>Устройство асфальтобетонных покрытий дорожек и тротуаров двухслойных, верхний слой из песчаной асфальтобетонной смеси толщиной 3 см (толщина 5 см)</v>
      </c>
      <c r="D28" s="25" t="s">
        <v>60</v>
      </c>
      <c r="E28" s="36">
        <f>Source!I36</f>
        <v>25.13</v>
      </c>
      <c r="F28" s="25" t="str">
        <f>Source!U24</f>
        <v/>
      </c>
      <c r="G28" s="25" t="str">
        <f>"=2513/"&amp;"100"</f>
        <v>=2513/100</v>
      </c>
      <c r="H28" s="35"/>
    </row>
    <row r="29" spans="1:8" ht="14" x14ac:dyDescent="0.25">
      <c r="A29" s="25">
        <v>6.1</v>
      </c>
      <c r="B29" s="25" t="str">
        <f>Source!E37</f>
        <v>6,1</v>
      </c>
      <c r="C29" s="35" t="str">
        <f>Source!G37</f>
        <v>Смеси асфальтобетонные дорожные горячие песчаные, тип Д, марка III</v>
      </c>
      <c r="D29" s="25" t="s">
        <v>63</v>
      </c>
      <c r="E29" s="36">
        <f>Source!I37</f>
        <v>-179.4282</v>
      </c>
      <c r="F29" s="25" t="str">
        <f>Source!U24</f>
        <v/>
      </c>
      <c r="G29" s="25"/>
      <c r="H29" s="35"/>
    </row>
    <row r="30" spans="1:8" ht="14" x14ac:dyDescent="0.25">
      <c r="A30" s="25">
        <v>6.2</v>
      </c>
      <c r="B30" s="25" t="str">
        <f>Source!E38</f>
        <v>6,2</v>
      </c>
      <c r="C30" s="35" t="str">
        <f>Source!G38</f>
        <v>Смеси асфальтобетонные дорожные горячие песчаные, тип Д, марка II</v>
      </c>
      <c r="D30" s="25" t="s">
        <v>63</v>
      </c>
      <c r="E30" s="36">
        <f>Source!I38</f>
        <v>293.26710000000003</v>
      </c>
      <c r="F30" s="25" t="str">
        <f>Source!U24</f>
        <v/>
      </c>
      <c r="G30" s="25"/>
      <c r="H30" s="35"/>
    </row>
    <row r="31" spans="1:8" ht="16.5" x14ac:dyDescent="0.35">
      <c r="A31" s="85" t="str">
        <f>CONCATENATE("Раздел: ", Source!G80)</f>
        <v>Раздел: Устройство бортового камня</v>
      </c>
      <c r="B31" s="85"/>
      <c r="C31" s="85"/>
      <c r="D31" s="85"/>
      <c r="E31" s="85"/>
      <c r="F31" s="85"/>
      <c r="G31" s="85"/>
      <c r="H31" s="85"/>
    </row>
    <row r="32" spans="1:8" ht="14" x14ac:dyDescent="0.25">
      <c r="A32" s="25">
        <v>7</v>
      </c>
      <c r="B32" s="25" t="str">
        <f>Source!E84</f>
        <v>7</v>
      </c>
      <c r="C32" s="35" t="str">
        <f>Source!G84</f>
        <v>Замена бортового камня бетонного во дворовых территориях</v>
      </c>
      <c r="D32" s="25" t="s">
        <v>64</v>
      </c>
      <c r="E32" s="36">
        <f>Source!I84</f>
        <v>348</v>
      </c>
      <c r="F32" s="25" t="str">
        <f>Source!U80</f>
        <v/>
      </c>
      <c r="G32" s="25">
        <f>Source!I84</f>
        <v>348</v>
      </c>
      <c r="H32" s="35"/>
    </row>
    <row r="33" spans="1:8" ht="14" x14ac:dyDescent="0.25">
      <c r="A33" s="25">
        <v>7.1</v>
      </c>
      <c r="B33" s="25" t="str">
        <f>Source!E85</f>
        <v>7,1</v>
      </c>
      <c r="C33" s="35" t="str">
        <f>Source!G85</f>
        <v>Растворы цементные, марка 100</v>
      </c>
      <c r="D33" s="25" t="s">
        <v>62</v>
      </c>
      <c r="E33" s="36">
        <f>Source!I85</f>
        <v>-0.20880000000000001</v>
      </c>
      <c r="F33" s="25" t="str">
        <f>Source!U80</f>
        <v/>
      </c>
      <c r="G33" s="25"/>
      <c r="H33" s="35"/>
    </row>
    <row r="34" spans="1:8" ht="14" x14ac:dyDescent="0.25">
      <c r="A34" s="25">
        <v>7.2</v>
      </c>
      <c r="B34" s="25" t="str">
        <f>Source!E86</f>
        <v>7,2</v>
      </c>
      <c r="C34" s="35" t="str">
        <f>Source!G86</f>
        <v>Масса мусора</v>
      </c>
      <c r="D34" s="25" t="s">
        <v>63</v>
      </c>
      <c r="E34" s="36">
        <f>Source!I86</f>
        <v>-85.608000000000004</v>
      </c>
      <c r="F34" s="25" t="str">
        <f>Source!U80</f>
        <v/>
      </c>
      <c r="G34" s="25"/>
      <c r="H34" s="35"/>
    </row>
    <row r="35" spans="1:8" ht="28" x14ac:dyDescent="0.25">
      <c r="A35" s="25">
        <v>8</v>
      </c>
      <c r="B35" s="25" t="str">
        <f>Source!E87</f>
        <v>8</v>
      </c>
      <c r="C35" s="35" t="str">
        <f>Source!G87</f>
        <v>Перевозка строительного мусора автосамосвалами грузоподъемностью до 10 т на расстояние 1 км - при механизированной погрузке</v>
      </c>
      <c r="D35" s="25" t="s">
        <v>63</v>
      </c>
      <c r="E35" s="36">
        <f>Source!I87</f>
        <v>85.608000000000004</v>
      </c>
      <c r="F35" s="25" t="str">
        <f>Source!U80</f>
        <v/>
      </c>
      <c r="G35" s="25">
        <f>Source!I87</f>
        <v>85.608000000000004</v>
      </c>
      <c r="H35" s="35"/>
    </row>
    <row r="36" spans="1:8" ht="28" x14ac:dyDescent="0.25">
      <c r="A36" s="25">
        <v>9</v>
      </c>
      <c r="B36" s="25" t="str">
        <f>Source!E88</f>
        <v>9</v>
      </c>
      <c r="C36" s="35" t="str">
        <f>Source!G88</f>
        <v>Перевозка строительного мусора автосамосвалами грузоподъемностью до 10 т - добавляется на каждый последующий 1 км до 100 км</v>
      </c>
      <c r="D36" s="25" t="s">
        <v>63</v>
      </c>
      <c r="E36" s="36">
        <f>Source!I88</f>
        <v>85.608000000000004</v>
      </c>
      <c r="F36" s="25" t="str">
        <f>Source!U80</f>
        <v/>
      </c>
      <c r="G36" s="25">
        <f>Source!I88</f>
        <v>85.608000000000004</v>
      </c>
      <c r="H36" s="35"/>
    </row>
    <row r="37" spans="1:8" ht="28" x14ac:dyDescent="0.25">
      <c r="A37" s="25">
        <v>10</v>
      </c>
      <c r="B37" s="25" t="str">
        <f>Source!E89</f>
        <v>10</v>
      </c>
      <c r="C37" s="35" t="str">
        <f>Source!G89</f>
        <v>Установка бортовых камней бетонных марки БР 100.30.15 при других видах покрытий</v>
      </c>
      <c r="D37" s="25" t="s">
        <v>65</v>
      </c>
      <c r="E37" s="36">
        <f>Source!I89</f>
        <v>3.42</v>
      </c>
      <c r="F37" s="25" t="str">
        <f>Source!U80</f>
        <v/>
      </c>
      <c r="G37" s="25" t="str">
        <f>"=342/"&amp;"100"</f>
        <v>=342/100</v>
      </c>
      <c r="H37" s="35"/>
    </row>
    <row r="38" spans="1:8" ht="14" x14ac:dyDescent="0.25">
      <c r="A38" s="25">
        <v>10.1</v>
      </c>
      <c r="B38" s="25" t="str">
        <f>Source!E90</f>
        <v>10,1</v>
      </c>
      <c r="C38" s="35" t="str">
        <f>Source!G90</f>
        <v>Растворы цементные, марка 100</v>
      </c>
      <c r="D38" s="25" t="s">
        <v>62</v>
      </c>
      <c r="E38" s="36">
        <f>Source!I90</f>
        <v>-0.20519999999999999</v>
      </c>
      <c r="F38" s="25" t="str">
        <f>Source!U80</f>
        <v/>
      </c>
      <c r="G38" s="25"/>
      <c r="H38" s="35"/>
    </row>
    <row r="39" spans="1:8" ht="42" x14ac:dyDescent="0.25">
      <c r="A39" s="25">
        <v>11</v>
      </c>
      <c r="B39" s="25" t="str">
        <f>Source!E91</f>
        <v>11</v>
      </c>
      <c r="C39" s="35" t="str">
        <f>Source!G91</f>
        <v>Устройство демпфирующего теплоизоляционного материала типа "Изолонтейп Дор" между бортовыми камнями при установке и ремонте бетонного или гранитного бортового камня</v>
      </c>
      <c r="D39" s="25" t="s">
        <v>66</v>
      </c>
      <c r="E39" s="36">
        <f>Source!I91</f>
        <v>6.9</v>
      </c>
      <c r="F39" s="25" t="str">
        <f>Source!U80</f>
        <v/>
      </c>
      <c r="G39" s="25" t="str">
        <f>"=690/"&amp;"100"</f>
        <v>=690/100</v>
      </c>
      <c r="H39" s="35"/>
    </row>
    <row r="40" spans="1:8" ht="16.5" x14ac:dyDescent="0.35">
      <c r="A40" s="85" t="str">
        <f>CONCATENATE("Раздел: ", Source!G133)</f>
        <v>Раздел: Устройство малых архитектурных форм</v>
      </c>
      <c r="B40" s="85"/>
      <c r="C40" s="85"/>
      <c r="D40" s="85"/>
      <c r="E40" s="85"/>
      <c r="F40" s="85"/>
      <c r="G40" s="85"/>
      <c r="H40" s="85"/>
    </row>
    <row r="41" spans="1:8" ht="42" x14ac:dyDescent="0.25">
      <c r="A41" s="25">
        <v>12</v>
      </c>
      <c r="B41" s="25" t="str">
        <f>Source!E137</f>
        <v>12</v>
      </c>
      <c r="C41" s="35" t="str">
        <f>Source!G137</f>
        <v>Диван ДП-6 деревянный на каркасе из металлического уголка с ножками из металлической трубы, окрашенный цветными эмалями, размеры 2000х900х650 мм</v>
      </c>
      <c r="D41" s="25" t="s">
        <v>67</v>
      </c>
      <c r="E41" s="36">
        <f>Source!I137</f>
        <v>0</v>
      </c>
      <c r="F41" s="25" t="str">
        <f>Source!U133</f>
        <v/>
      </c>
      <c r="G41" s="25">
        <f>Source!I137</f>
        <v>0</v>
      </c>
      <c r="H41" s="35"/>
    </row>
    <row r="42" spans="1:8" ht="28" x14ac:dyDescent="0.25">
      <c r="A42" s="25">
        <v>13</v>
      </c>
      <c r="B42" s="25" t="str">
        <f>Source!E138</f>
        <v>13</v>
      </c>
      <c r="C42" s="35" t="str">
        <f>Source!G138</f>
        <v>Урна опрокидывающаяся металлическая круглая на ножках из стальной трубы, 300х300х950 мм</v>
      </c>
      <c r="D42" s="25" t="s">
        <v>67</v>
      </c>
      <c r="E42" s="36">
        <f>Source!I138</f>
        <v>0</v>
      </c>
      <c r="F42" s="25" t="str">
        <f>Source!U133</f>
        <v/>
      </c>
      <c r="G42" s="25">
        <f>Source!I138</f>
        <v>0</v>
      </c>
      <c r="H42" s="35"/>
    </row>
    <row r="43" spans="1:8" ht="16.5" x14ac:dyDescent="0.35">
      <c r="A43" s="85" t="str">
        <f>CONCATENATE("Раздел: ", Source!G180)</f>
        <v>Раздел: Ремонт газонов -300м2</v>
      </c>
      <c r="B43" s="85"/>
      <c r="C43" s="85"/>
      <c r="D43" s="85"/>
      <c r="E43" s="85"/>
      <c r="F43" s="85"/>
      <c r="G43" s="85"/>
      <c r="H43" s="85"/>
    </row>
    <row r="44" spans="1:8" ht="28" x14ac:dyDescent="0.25">
      <c r="A44" s="25">
        <v>14</v>
      </c>
      <c r="B44" s="25" t="str">
        <f>Source!E184</f>
        <v>14</v>
      </c>
      <c r="C44" s="35" t="str">
        <f>Source!G184</f>
        <v>Подготовка почвы для устройства партерного и обыкновенного газонов с внесением растительной земли слоем 15 см механизированным способом</v>
      </c>
      <c r="D44" s="25" t="s">
        <v>60</v>
      </c>
      <c r="E44" s="36">
        <f>Source!I184</f>
        <v>2.25</v>
      </c>
      <c r="F44" s="25" t="str">
        <f>Source!U180</f>
        <v/>
      </c>
      <c r="G44" s="25" t="str">
        <f>"=225/"&amp;"100"</f>
        <v>=225/100</v>
      </c>
      <c r="H44" s="35"/>
    </row>
    <row r="45" spans="1:8" ht="28" x14ac:dyDescent="0.25">
      <c r="A45" s="25">
        <v>15</v>
      </c>
      <c r="B45" s="25" t="str">
        <f>Source!E185</f>
        <v>15</v>
      </c>
      <c r="C45" s="35" t="str">
        <f>Source!G185</f>
        <v>Подготовка почвы для устройства партерного и обыкновенного газонов с внесением растительной земли слоем 15 см вручную</v>
      </c>
      <c r="D45" s="25" t="s">
        <v>60</v>
      </c>
      <c r="E45" s="36">
        <f>Source!I185</f>
        <v>0.75</v>
      </c>
      <c r="F45" s="25" t="str">
        <f>Source!U180</f>
        <v/>
      </c>
      <c r="G45" s="25" t="str">
        <f>"=75/"&amp;"100"</f>
        <v>=75/100</v>
      </c>
      <c r="H45" s="35"/>
    </row>
    <row r="46" spans="1:8" ht="28" x14ac:dyDescent="0.25">
      <c r="A46" s="25">
        <v>16</v>
      </c>
      <c r="B46" s="25" t="str">
        <f>Source!E186</f>
        <v>16</v>
      </c>
      <c r="C46" s="35" t="str">
        <f>Source!G186</f>
        <v>Подготовка почвы для устройства партерного и обыкновенного газонов на каждые 5 см изменения толщины слоя добавлять или исключать</v>
      </c>
      <c r="D46" s="25" t="s">
        <v>60</v>
      </c>
      <c r="E46" s="36">
        <f>Source!I186</f>
        <v>-3</v>
      </c>
      <c r="F46" s="25" t="str">
        <f>Source!U180</f>
        <v/>
      </c>
      <c r="G46" s="25" t="str">
        <f>"=-"&amp;"300/"&amp;"100"</f>
        <v>=-300/100</v>
      </c>
      <c r="H46" s="35"/>
    </row>
    <row r="47" spans="1:8" ht="14" x14ac:dyDescent="0.25">
      <c r="A47" s="25">
        <v>17</v>
      </c>
      <c r="B47" s="25" t="str">
        <f>Source!E187</f>
        <v>17</v>
      </c>
      <c r="C47" s="35" t="str">
        <f>Source!G187</f>
        <v>Посев газонов партерных, мавританских, и обыкновенных вручную</v>
      </c>
      <c r="D47" s="25" t="s">
        <v>60</v>
      </c>
      <c r="E47" s="36">
        <f>Source!I187</f>
        <v>3</v>
      </c>
      <c r="F47" s="25" t="str">
        <f>Source!U180</f>
        <v/>
      </c>
      <c r="G47" s="25" t="str">
        <f>"=300/"&amp;"100"</f>
        <v>=300/100</v>
      </c>
      <c r="H47" s="35"/>
    </row>
    <row r="48" spans="1:8" ht="16.5" x14ac:dyDescent="0.35">
      <c r="A48" s="85" t="str">
        <f>CONCATENATE("Раздел: ", Source!G219)</f>
        <v>Раздел: Устройство дорожно-тропиночной сети с асфальтобетонным покрытием -42 м2</v>
      </c>
      <c r="B48" s="85"/>
      <c r="C48" s="85"/>
      <c r="D48" s="85"/>
      <c r="E48" s="85"/>
      <c r="F48" s="85"/>
      <c r="G48" s="85"/>
      <c r="H48" s="85"/>
    </row>
    <row r="49" spans="1:8" ht="42" x14ac:dyDescent="0.25">
      <c r="A49" s="25">
        <v>18</v>
      </c>
      <c r="B49" s="25" t="str">
        <f>Source!E223</f>
        <v>18</v>
      </c>
      <c r="C49" s="35" t="str">
        <f>Source!G223</f>
        <v>Разработка грунта с погрузкой на автомобили-самосвалы экскаваторами с ковшом вместимостью 0,5 м3, группа грунтов 1-3  (42 м2х0,25=10,5 м3х0,9=9,45м3)</v>
      </c>
      <c r="D49" s="25" t="s">
        <v>68</v>
      </c>
      <c r="E49" s="36">
        <f>Source!I223</f>
        <v>9.4500000000000001E-2</v>
      </c>
      <c r="F49" s="25" t="str">
        <f>Source!U219</f>
        <v/>
      </c>
      <c r="G49" s="25" t="str">
        <f>"=9,45/"&amp;"100"</f>
        <v>=9,45/100</v>
      </c>
      <c r="H49" s="35"/>
    </row>
    <row r="50" spans="1:8" ht="28" x14ac:dyDescent="0.25">
      <c r="A50" s="25">
        <v>19</v>
      </c>
      <c r="B50" s="25" t="str">
        <f>Source!E224</f>
        <v>19</v>
      </c>
      <c r="C50" s="35" t="str">
        <f>Source!G224</f>
        <v>Разработка грунта вручную в траншеях глубиной до 2 м без креплений с откосами, группа грунтов 1-3 (42 м2х0,25=10,5 м3х0,1=1,05м3)</v>
      </c>
      <c r="D50" s="25" t="s">
        <v>68</v>
      </c>
      <c r="E50" s="36">
        <f>Source!I224</f>
        <v>1.0500000000000001E-2</v>
      </c>
      <c r="F50" s="25" t="str">
        <f>Source!U219</f>
        <v/>
      </c>
      <c r="G50" s="25" t="str">
        <f>"=1,05/"&amp;"100"</f>
        <v>=1,05/100</v>
      </c>
      <c r="H50" s="35"/>
    </row>
    <row r="51" spans="1:8" ht="42" x14ac:dyDescent="0.25">
      <c r="A51" s="25">
        <v>20</v>
      </c>
      <c r="B51" s="25" t="str">
        <f>Source!E225</f>
        <v>20</v>
      </c>
      <c r="C51" s="35" t="str">
        <f>Source!G225</f>
        <v>Разработка грунта с погрузкой на автомобили-самосвалы экскаваторами с ковшом вместимостью 0,5 м3, группа грунтов 1-3  (1,05м3*0,9=0,945м3-погрузка грунта разработанного вручную)</v>
      </c>
      <c r="D51" s="25" t="s">
        <v>68</v>
      </c>
      <c r="E51" s="36">
        <f>Source!I225</f>
        <v>9.4500000000000001E-3</v>
      </c>
      <c r="F51" s="25" t="str">
        <f>Source!U219</f>
        <v/>
      </c>
      <c r="G51" s="25" t="str">
        <f>"=0,945/"&amp;"100"</f>
        <v>=0,945/100</v>
      </c>
      <c r="H51" s="35"/>
    </row>
    <row r="52" spans="1:8" ht="28" x14ac:dyDescent="0.25">
      <c r="A52" s="25">
        <v>21</v>
      </c>
      <c r="B52" s="25" t="str">
        <f>Source!E226</f>
        <v>21</v>
      </c>
      <c r="C52" s="35" t="str">
        <f>Source!G226</f>
        <v>Погрузка грунта вручную в автомобили-самосвалы с выгрузкой (1,05м3х0,1=0,105м3)</v>
      </c>
      <c r="D52" s="25" t="s">
        <v>68</v>
      </c>
      <c r="E52" s="36">
        <f>Source!I226</f>
        <v>1.0499999999999999E-3</v>
      </c>
      <c r="F52" s="25" t="str">
        <f>Source!U219</f>
        <v/>
      </c>
      <c r="G52" s="25" t="str">
        <f>"=0,105/"&amp;"100"</f>
        <v>=0,105/100</v>
      </c>
      <c r="H52" s="35"/>
    </row>
    <row r="53" spans="1:8" ht="28" x14ac:dyDescent="0.25">
      <c r="A53" s="25">
        <v>22</v>
      </c>
      <c r="B53" s="25" t="str">
        <f>Source!E227</f>
        <v>22</v>
      </c>
      <c r="C53" s="35" t="str">
        <f>Source!G227</f>
        <v>Перевозка грунта автосамосвалами грузоподъемностью до 10 т на расстояние 1 км</v>
      </c>
      <c r="D53" s="25" t="s">
        <v>62</v>
      </c>
      <c r="E53" s="36">
        <f>Source!I227</f>
        <v>10.5</v>
      </c>
      <c r="F53" s="25" t="str">
        <f>Source!U219</f>
        <v/>
      </c>
      <c r="G53" s="25">
        <f>Source!I227</f>
        <v>10.5</v>
      </c>
      <c r="H53" s="35"/>
    </row>
    <row r="54" spans="1:8" ht="28" x14ac:dyDescent="0.25">
      <c r="A54" s="25">
        <v>23</v>
      </c>
      <c r="B54" s="25" t="str">
        <f>Source!E228</f>
        <v>23</v>
      </c>
      <c r="C54" s="35" t="str">
        <f>Source!G228</f>
        <v>Перевозка грунта автосамосвалами грузоподъемностью до 10 т - добавляется на каждый последующий 1 км до 100 км (к поз. 49-3401-1-1)</v>
      </c>
      <c r="D54" s="25" t="s">
        <v>62</v>
      </c>
      <c r="E54" s="36">
        <f>Source!I228</f>
        <v>10.5</v>
      </c>
      <c r="F54" s="25" t="str">
        <f>Source!U219</f>
        <v/>
      </c>
      <c r="G54" s="25">
        <f>Source!I228</f>
        <v>10.5</v>
      </c>
      <c r="H54" s="35"/>
    </row>
    <row r="55" spans="1:8" ht="28" x14ac:dyDescent="0.25">
      <c r="A55" s="25">
        <v>24</v>
      </c>
      <c r="B55" s="25" t="str">
        <f>Source!E229</f>
        <v>24</v>
      </c>
      <c r="C55" s="35" t="str">
        <f>Source!G229</f>
        <v>Устройство подстилающих и выравнивающих слоев оснований из песка (10см)</v>
      </c>
      <c r="D55" s="25" t="s">
        <v>68</v>
      </c>
      <c r="E55" s="36">
        <f>Source!I229</f>
        <v>4.2000000000000003E-2</v>
      </c>
      <c r="F55" s="25" t="str">
        <f>Source!U219</f>
        <v/>
      </c>
      <c r="G55" s="25" t="str">
        <f>"=4,2/"&amp;"100"</f>
        <v>=4,2/100</v>
      </c>
      <c r="H55" s="35"/>
    </row>
    <row r="56" spans="1:8" ht="28" x14ac:dyDescent="0.25">
      <c r="A56" s="25">
        <v>25</v>
      </c>
      <c r="B56" s="25" t="str">
        <f>Source!E230</f>
        <v>25</v>
      </c>
      <c r="C56" s="35" t="str">
        <f>Source!G230</f>
        <v>Устройство подстилающих и выравнивающих слоев оснований из щебня (10 см)</v>
      </c>
      <c r="D56" s="25" t="s">
        <v>68</v>
      </c>
      <c r="E56" s="36">
        <f>Source!I230</f>
        <v>4.2000000000000003E-2</v>
      </c>
      <c r="F56" s="25" t="str">
        <f>Source!U219</f>
        <v/>
      </c>
      <c r="G56" s="25" t="str">
        <f>"=4,2/"&amp;"100"</f>
        <v>=4,2/100</v>
      </c>
      <c r="H56" s="35"/>
    </row>
    <row r="57" spans="1:8" ht="28" x14ac:dyDescent="0.25">
      <c r="A57" s="25">
        <v>25.1</v>
      </c>
      <c r="B57" s="25" t="str">
        <f>Source!E231</f>
        <v>25,1</v>
      </c>
      <c r="C57" s="35" t="str">
        <f>Source!G231</f>
        <v>Щебень из естественного камня для строительных работ, марка 1200-800, фракция 20-40 мм</v>
      </c>
      <c r="D57" s="25" t="s">
        <v>62</v>
      </c>
      <c r="E57" s="36">
        <f>Source!I231</f>
        <v>-5.2919999999999998</v>
      </c>
      <c r="F57" s="25" t="str">
        <f>Source!U219</f>
        <v/>
      </c>
      <c r="G57" s="25"/>
      <c r="H57" s="35"/>
    </row>
    <row r="58" spans="1:8" ht="28" x14ac:dyDescent="0.25">
      <c r="A58" s="25">
        <v>25.2</v>
      </c>
      <c r="B58" s="25" t="str">
        <f>Source!E232</f>
        <v>25,2</v>
      </c>
      <c r="C58" s="35" t="str">
        <f>Source!G232</f>
        <v>Щебень из естественного камня для строительных работ, марка 600-400, фракция 20-40 мм</v>
      </c>
      <c r="D58" s="25" t="s">
        <v>62</v>
      </c>
      <c r="E58" s="36">
        <f>Source!I232</f>
        <v>5.2919999999999998</v>
      </c>
      <c r="F58" s="25" t="str">
        <f>Source!U219</f>
        <v/>
      </c>
      <c r="G58" s="25"/>
      <c r="H58" s="35"/>
    </row>
    <row r="59" spans="1:8" ht="28" x14ac:dyDescent="0.25">
      <c r="A59" s="25">
        <v>26</v>
      </c>
      <c r="B59" s="25" t="str">
        <f>Source!E233</f>
        <v>26</v>
      </c>
      <c r="C59" s="35" t="str">
        <f>Source!G233</f>
        <v>Устройство асфальтобетонных покрытий дорожек и тротуаров двухслойных, верхний слой из песчаной асфальтобетонной смеси толщиной 3 см (5см)</v>
      </c>
      <c r="D59" s="25" t="s">
        <v>60</v>
      </c>
      <c r="E59" s="36">
        <f>Source!I233</f>
        <v>0.42</v>
      </c>
      <c r="F59" s="25" t="str">
        <f>Source!U219</f>
        <v/>
      </c>
      <c r="G59" s="25" t="str">
        <f>"=42/"&amp;"100"</f>
        <v>=42/100</v>
      </c>
      <c r="H59" s="35"/>
    </row>
    <row r="60" spans="1:8" ht="14" x14ac:dyDescent="0.25">
      <c r="A60" s="25">
        <v>26.1</v>
      </c>
      <c r="B60" s="25" t="str">
        <f>Source!E234</f>
        <v>26,1</v>
      </c>
      <c r="C60" s="35" t="str">
        <f>Source!G234</f>
        <v>Смеси асфальтобетонные дорожные горячие песчаные, тип Д, марка III</v>
      </c>
      <c r="D60" s="25" t="s">
        <v>63</v>
      </c>
      <c r="E60" s="36">
        <f>Source!I234</f>
        <v>-2.9988000000000001</v>
      </c>
      <c r="F60" s="25" t="str">
        <f>Source!U219</f>
        <v/>
      </c>
      <c r="G60" s="25"/>
      <c r="H60" s="35"/>
    </row>
    <row r="61" spans="1:8" ht="14" x14ac:dyDescent="0.25">
      <c r="A61" s="8">
        <v>26.2</v>
      </c>
      <c r="B61" s="8" t="str">
        <f>Source!E235</f>
        <v>26,2</v>
      </c>
      <c r="C61" s="37" t="str">
        <f>Source!G235</f>
        <v>Смеси асфальтобетонные дорожные горячие песчаные, тип Д, марка II</v>
      </c>
      <c r="D61" s="8" t="s">
        <v>63</v>
      </c>
      <c r="E61" s="38">
        <f>Source!I235</f>
        <v>4.9013999999999998</v>
      </c>
      <c r="F61" s="8" t="str">
        <f>Source!U219</f>
        <v/>
      </c>
      <c r="G61" s="8"/>
      <c r="H61" s="37"/>
    </row>
    <row r="64" spans="1:8" ht="14" x14ac:dyDescent="0.3">
      <c r="B64" s="39" t="s">
        <v>69</v>
      </c>
      <c r="C64" s="4"/>
      <c r="D64" s="39" t="s">
        <v>70</v>
      </c>
      <c r="E64" s="19"/>
    </row>
  </sheetData>
  <mergeCells count="10">
    <mergeCell ref="A31:H31"/>
    <mergeCell ref="A40:H40"/>
    <mergeCell ref="A43:H43"/>
    <mergeCell ref="A48:H48"/>
    <mergeCell ref="D5:E5"/>
    <mergeCell ref="D7:E7"/>
    <mergeCell ref="B12:E12"/>
    <mergeCell ref="B13:E13"/>
    <mergeCell ref="A18:H18"/>
    <mergeCell ref="A19:H19"/>
  </mergeCells>
  <pageMargins left="0.4" right="0.2" top="0.2" bottom="0.4" header="0.2" footer="0.2"/>
  <pageSetup paperSize="9" scale="59" fitToHeight="0" orientation="portrait" r:id="rId1"/>
  <headerFooter>
    <oddHeader>&amp;L&amp;8</oddHeader>
    <oddFooter>&amp;R&amp;P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8123E-A17F-42DB-9E9A-0D750442FB42}">
  <sheetPr>
    <pageSetUpPr fitToPage="1"/>
  </sheetPr>
  <dimension ref="A2:Q80"/>
  <sheetViews>
    <sheetView workbookViewId="0"/>
  </sheetViews>
  <sheetFormatPr defaultColWidth="9.1796875" defaultRowHeight="12.5" x14ac:dyDescent="0.25"/>
  <cols>
    <col min="1" max="1" width="18.7265625" style="2" customWidth="1"/>
    <col min="2" max="2" width="40.7265625" style="2" customWidth="1"/>
    <col min="3" max="6" width="12.7265625" style="2" customWidth="1"/>
    <col min="7" max="14" width="9.1796875" style="2"/>
    <col min="15" max="15" width="109.7265625" style="2" hidden="1" customWidth="1"/>
    <col min="16" max="18" width="0" style="2" hidden="1" customWidth="1"/>
    <col min="19" max="16384" width="9.1796875" style="2"/>
  </cols>
  <sheetData>
    <row r="2" spans="1:17" ht="16.5" x14ac:dyDescent="0.25">
      <c r="A2" s="92" t="s">
        <v>71</v>
      </c>
      <c r="B2" s="93"/>
      <c r="C2" s="93"/>
      <c r="D2" s="93"/>
      <c r="E2" s="93"/>
      <c r="F2" s="93"/>
    </row>
    <row r="3" spans="1:17" ht="16.5" x14ac:dyDescent="0.25">
      <c r="A3" s="92" t="str">
        <f>CONCATENATE("Объект: ",IF(Source!G307&lt;&gt;"Новый объект", Source!G307, ""))</f>
        <v>Объект: Г19 к.1 -ремонт АБП</v>
      </c>
      <c r="B3" s="93"/>
      <c r="C3" s="93"/>
      <c r="D3" s="93"/>
      <c r="E3" s="93"/>
      <c r="F3" s="93"/>
    </row>
    <row r="4" spans="1:17" x14ac:dyDescent="0.25">
      <c r="A4" s="83" t="s">
        <v>72</v>
      </c>
      <c r="B4" s="83" t="s">
        <v>73</v>
      </c>
      <c r="C4" s="83" t="s">
        <v>9</v>
      </c>
      <c r="D4" s="83" t="s">
        <v>74</v>
      </c>
      <c r="E4" s="97" t="s">
        <v>75</v>
      </c>
      <c r="F4" s="98"/>
    </row>
    <row r="5" spans="1:17" x14ac:dyDescent="0.25">
      <c r="A5" s="84"/>
      <c r="B5" s="84"/>
      <c r="C5" s="84"/>
      <c r="D5" s="84"/>
      <c r="E5" s="99"/>
      <c r="F5" s="100"/>
    </row>
    <row r="6" spans="1:17" ht="14" x14ac:dyDescent="0.25">
      <c r="A6" s="96"/>
      <c r="B6" s="96"/>
      <c r="C6" s="96"/>
      <c r="D6" s="96"/>
      <c r="E6" s="8" t="s">
        <v>76</v>
      </c>
      <c r="F6" s="8" t="s">
        <v>77</v>
      </c>
    </row>
    <row r="7" spans="1:17" ht="14" x14ac:dyDescent="0.25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</row>
    <row r="8" spans="1:17" ht="16.5" x14ac:dyDescent="0.25">
      <c r="A8" s="92" t="str">
        <f>CONCATENATE("Локальная смета: ",IF(Source!G22&lt;&gt;"Новая локальная смета", Source!G22, ""))</f>
        <v xml:space="preserve">Локальная смета: </v>
      </c>
      <c r="B8" s="93"/>
      <c r="C8" s="93"/>
      <c r="D8" s="93"/>
      <c r="E8" s="93"/>
      <c r="F8" s="93"/>
    </row>
    <row r="9" spans="1:17" ht="16.5" x14ac:dyDescent="0.25">
      <c r="A9" s="92" t="str">
        <f>CONCATENATE("Раздел: ",IF(Source!G26&lt;&gt;"Новый раздел", Source!G26, ""))</f>
        <v>Раздел: Ремонт дорожно-тропиночной сети с асфальтобетонным покрытием  - 2513 м2</v>
      </c>
      <c r="B9" s="93"/>
      <c r="C9" s="93"/>
      <c r="D9" s="93"/>
      <c r="E9" s="93"/>
      <c r="F9" s="93"/>
      <c r="O9" s="40" t="s">
        <v>78</v>
      </c>
    </row>
    <row r="10" spans="1:17" ht="14" x14ac:dyDescent="0.25">
      <c r="A10" s="94" t="s">
        <v>79</v>
      </c>
      <c r="B10" s="95"/>
      <c r="C10" s="95"/>
      <c r="D10" s="95"/>
      <c r="E10" s="95"/>
      <c r="F10" s="95"/>
    </row>
    <row r="11" spans="1:17" ht="28" x14ac:dyDescent="0.3">
      <c r="A11" s="41" t="s">
        <v>80</v>
      </c>
      <c r="B11" s="32" t="s">
        <v>81</v>
      </c>
      <c r="C11" s="32" t="s">
        <v>82</v>
      </c>
      <c r="D11" s="33" t="e">
        <f>ROUND(SUMIF([3]RV_DATA!Z8:'[3]RV_DATA'!Z31, 2019294988, [3]RV_DATA!I8:'[3]RV_DATA'!I31), 6)</f>
        <v>#REF!</v>
      </c>
      <c r="E11" s="42">
        <f>ROUND([3]RV_DATA!K14, 6)</f>
        <v>1208.6099999999999</v>
      </c>
      <c r="F11" s="42" t="e">
        <f>ROUND(SUMIF([3]RV_DATA!Z8:'[3]RV_DATA'!Z31, 2019294988, [3]RV_DATA!M8:'[3]RV_DATA'!M31), 6)</f>
        <v>#REF!</v>
      </c>
      <c r="Q11" s="2">
        <v>2</v>
      </c>
    </row>
    <row r="12" spans="1:17" ht="70" x14ac:dyDescent="0.3">
      <c r="A12" s="41" t="s">
        <v>83</v>
      </c>
      <c r="B12" s="32" t="s">
        <v>84</v>
      </c>
      <c r="C12" s="32" t="s">
        <v>82</v>
      </c>
      <c r="D12" s="33" t="e">
        <f>ROUND(SUMIF([3]RV_DATA!Z8:'[3]RV_DATA'!Z31, 1314952838, [3]RV_DATA!I8:'[3]RV_DATA'!I31), 6)</f>
        <v>#REF!</v>
      </c>
      <c r="E12" s="42">
        <f>ROUND([3]RV_DATA!K13, 6)</f>
        <v>987.45</v>
      </c>
      <c r="F12" s="42" t="e">
        <f>ROUND(SUMIF([3]RV_DATA!Z8:'[3]RV_DATA'!Z31, 1314952838, [3]RV_DATA!M8:'[3]RV_DATA'!M31), 6)</f>
        <v>#REF!</v>
      </c>
      <c r="Q12" s="2">
        <v>2</v>
      </c>
    </row>
    <row r="13" spans="1:17" ht="28" x14ac:dyDescent="0.3">
      <c r="A13" s="41" t="s">
        <v>85</v>
      </c>
      <c r="B13" s="32" t="s">
        <v>86</v>
      </c>
      <c r="C13" s="32" t="s">
        <v>82</v>
      </c>
      <c r="D13" s="33" t="e">
        <f>ROUND(SUMIF([3]RV_DATA!Z8:'[3]RV_DATA'!Z31, 1824656456, [3]RV_DATA!I8:'[3]RV_DATA'!I31), 6)</f>
        <v>#REF!</v>
      </c>
      <c r="E13" s="42">
        <f>ROUND([3]RV_DATA!K27, 6)</f>
        <v>1070.1199999999999</v>
      </c>
      <c r="F13" s="42" t="e">
        <f>ROUND(SUMIF([3]RV_DATA!Z8:'[3]RV_DATA'!Z31, 1824656456, [3]RV_DATA!M8:'[3]RV_DATA'!M31), 6)</f>
        <v>#REF!</v>
      </c>
      <c r="Q13" s="2">
        <v>2</v>
      </c>
    </row>
    <row r="14" spans="1:17" ht="28" x14ac:dyDescent="0.3">
      <c r="A14" s="41" t="s">
        <v>87</v>
      </c>
      <c r="B14" s="32" t="s">
        <v>88</v>
      </c>
      <c r="C14" s="32" t="s">
        <v>82</v>
      </c>
      <c r="D14" s="33" t="e">
        <f>ROUND(SUMIF([3]RV_DATA!Z8:'[3]RV_DATA'!Z31, -256044164, [3]RV_DATA!I8:'[3]RV_DATA'!I31), 6)</f>
        <v>#REF!</v>
      </c>
      <c r="E14" s="42">
        <f>ROUND([3]RV_DATA!K26, 6)</f>
        <v>1080.76</v>
      </c>
      <c r="F14" s="42" t="e">
        <f>ROUND(SUMIF([3]RV_DATA!Z8:'[3]RV_DATA'!Z31, -256044164, [3]RV_DATA!M8:'[3]RV_DATA'!M31), 6)</f>
        <v>#REF!</v>
      </c>
      <c r="Q14" s="2">
        <v>2</v>
      </c>
    </row>
    <row r="15" spans="1:17" ht="28" x14ac:dyDescent="0.3">
      <c r="A15" s="41" t="s">
        <v>89</v>
      </c>
      <c r="B15" s="32" t="s">
        <v>90</v>
      </c>
      <c r="C15" s="32" t="s">
        <v>82</v>
      </c>
      <c r="D15" s="33" t="e">
        <f>ROUND(SUMIF([3]RV_DATA!Z8:'[3]RV_DATA'!Z31, -48088149, [3]RV_DATA!I8:'[3]RV_DATA'!I31), 6)</f>
        <v>#REF!</v>
      </c>
      <c r="E15" s="42">
        <f>ROUND([3]RV_DATA!K24, 6)</f>
        <v>780.77</v>
      </c>
      <c r="F15" s="42" t="e">
        <f>ROUND(SUMIF([3]RV_DATA!Z8:'[3]RV_DATA'!Z31, -48088149, [3]RV_DATA!M8:'[3]RV_DATA'!M31), 6)</f>
        <v>#REF!</v>
      </c>
      <c r="Q15" s="2">
        <v>2</v>
      </c>
    </row>
    <row r="16" spans="1:17" ht="14" x14ac:dyDescent="0.3">
      <c r="A16" s="41" t="s">
        <v>91</v>
      </c>
      <c r="B16" s="32" t="s">
        <v>92</v>
      </c>
      <c r="C16" s="32" t="s">
        <v>82</v>
      </c>
      <c r="D16" s="33" t="e">
        <f>ROUND(SUMIF([3]RV_DATA!Z8:'[3]RV_DATA'!Z31, -1515012402, [3]RV_DATA!I8:'[3]RV_DATA'!I31), 6)</f>
        <v>#REF!</v>
      </c>
      <c r="E16" s="42">
        <f>ROUND([3]RV_DATA!K12, 6)</f>
        <v>6.02</v>
      </c>
      <c r="F16" s="42" t="e">
        <f>ROUND(SUMIF([3]RV_DATA!Z8:'[3]RV_DATA'!Z31, -1515012402, [3]RV_DATA!M8:'[3]RV_DATA'!M31), 6)</f>
        <v>#REF!</v>
      </c>
      <c r="Q16" s="2">
        <v>2</v>
      </c>
    </row>
    <row r="17" spans="1:17" ht="42" x14ac:dyDescent="0.3">
      <c r="A17" s="41" t="s">
        <v>93</v>
      </c>
      <c r="B17" s="32" t="s">
        <v>94</v>
      </c>
      <c r="C17" s="32" t="s">
        <v>82</v>
      </c>
      <c r="D17" s="33" t="e">
        <f>ROUND(SUMIF([3]RV_DATA!Z8:'[3]RV_DATA'!Z31, -1370074042, [3]RV_DATA!I8:'[3]RV_DATA'!I31), 6)</f>
        <v>#REF!</v>
      </c>
      <c r="E17" s="42">
        <f>ROUND([3]RV_DATA!K11, 6)</f>
        <v>7834.05</v>
      </c>
      <c r="F17" s="42" t="e">
        <f>ROUND(SUMIF([3]RV_DATA!Z8:'[3]RV_DATA'!Z31, -1370074042, [3]RV_DATA!M8:'[3]RV_DATA'!M31), 6)</f>
        <v>#REF!</v>
      </c>
      <c r="Q17" s="2">
        <v>2</v>
      </c>
    </row>
    <row r="18" spans="1:17" ht="28" x14ac:dyDescent="0.3">
      <c r="A18" s="41" t="s">
        <v>95</v>
      </c>
      <c r="B18" s="32" t="s">
        <v>96</v>
      </c>
      <c r="C18" s="32" t="s">
        <v>82</v>
      </c>
      <c r="D18" s="33" t="e">
        <f>ROUND(SUMIF([3]RV_DATA!Z8:'[3]RV_DATA'!Z31, -785264835, [3]RV_DATA!I8:'[3]RV_DATA'!I31), 6)</f>
        <v>#REF!</v>
      </c>
      <c r="E18" s="42">
        <f>ROUND([3]RV_DATA!K23, 6)</f>
        <v>1331.87</v>
      </c>
      <c r="F18" s="42" t="e">
        <f>ROUND(SUMIF([3]RV_DATA!Z8:'[3]RV_DATA'!Z31, -785264835, [3]RV_DATA!M8:'[3]RV_DATA'!M31), 6)</f>
        <v>#REF!</v>
      </c>
      <c r="Q18" s="2">
        <v>2</v>
      </c>
    </row>
    <row r="19" spans="1:17" ht="28" x14ac:dyDescent="0.3">
      <c r="A19" s="41" t="s">
        <v>97</v>
      </c>
      <c r="B19" s="32" t="s">
        <v>98</v>
      </c>
      <c r="C19" s="32" t="s">
        <v>82</v>
      </c>
      <c r="D19" s="33" t="e">
        <f>ROUND(SUMIF([3]RV_DATA!Z8:'[3]RV_DATA'!Z31, -4085501, [3]RV_DATA!I8:'[3]RV_DATA'!I31), 6)</f>
        <v>#REF!</v>
      </c>
      <c r="E19" s="42">
        <f>ROUND([3]RV_DATA!K22, 6)</f>
        <v>1364.68</v>
      </c>
      <c r="F19" s="42" t="e">
        <f>ROUND(SUMIF([3]RV_DATA!Z8:'[3]RV_DATA'!Z31, -4085501, [3]RV_DATA!M8:'[3]RV_DATA'!M31), 6)</f>
        <v>#REF!</v>
      </c>
      <c r="Q19" s="2">
        <v>2</v>
      </c>
    </row>
    <row r="20" spans="1:17" ht="28" x14ac:dyDescent="0.3">
      <c r="A20" s="41" t="s">
        <v>99</v>
      </c>
      <c r="B20" s="32" t="s">
        <v>100</v>
      </c>
      <c r="C20" s="32" t="s">
        <v>82</v>
      </c>
      <c r="D20" s="33" t="e">
        <f>ROUND(SUMIF([3]RV_DATA!Z8:'[3]RV_DATA'!Z31, 1228350729, [3]RV_DATA!I8:'[3]RV_DATA'!I31), 6)</f>
        <v>#REF!</v>
      </c>
      <c r="E20" s="42">
        <f>ROUND([3]RV_DATA!K21, 6)</f>
        <v>1888.15</v>
      </c>
      <c r="F20" s="42" t="e">
        <f>ROUND(SUMIF([3]RV_DATA!Z8:'[3]RV_DATA'!Z31, 1228350729, [3]RV_DATA!M8:'[3]RV_DATA'!M31), 6)</f>
        <v>#REF!</v>
      </c>
      <c r="Q20" s="2">
        <v>2</v>
      </c>
    </row>
    <row r="21" spans="1:17" ht="28" x14ac:dyDescent="0.3">
      <c r="A21" s="41" t="s">
        <v>101</v>
      </c>
      <c r="B21" s="32" t="s">
        <v>102</v>
      </c>
      <c r="C21" s="32" t="s">
        <v>82</v>
      </c>
      <c r="D21" s="33" t="e">
        <f>ROUND(SUMIF([3]RV_DATA!Z8:'[3]RV_DATA'!Z31, -1406234508, [3]RV_DATA!I8:'[3]RV_DATA'!I31), 6)</f>
        <v>#REF!</v>
      </c>
      <c r="E21" s="42">
        <f>ROUND([3]RV_DATA!K20, 6)</f>
        <v>1586.43</v>
      </c>
      <c r="F21" s="42" t="e">
        <f>ROUND(SUMIF([3]RV_DATA!Z8:'[3]RV_DATA'!Z31, -1406234508, [3]RV_DATA!M8:'[3]RV_DATA'!M31), 6)</f>
        <v>#REF!</v>
      </c>
      <c r="Q21" s="2">
        <v>2</v>
      </c>
    </row>
    <row r="22" spans="1:17" ht="28" x14ac:dyDescent="0.3">
      <c r="A22" s="41" t="s">
        <v>103</v>
      </c>
      <c r="B22" s="32" t="s">
        <v>104</v>
      </c>
      <c r="C22" s="32" t="s">
        <v>82</v>
      </c>
      <c r="D22" s="33" t="e">
        <f>ROUND(SUMIF([3]RV_DATA!Z8:'[3]RV_DATA'!Z31, -1246492657, [3]RV_DATA!I8:'[3]RV_DATA'!I31), 6)</f>
        <v>#REF!</v>
      </c>
      <c r="E22" s="42">
        <f>ROUND([3]RV_DATA!K10, 6)</f>
        <v>1383.17</v>
      </c>
      <c r="F22" s="42" t="e">
        <f>ROUND(SUMIF([3]RV_DATA!Z8:'[3]RV_DATA'!Z31, -1246492657, [3]RV_DATA!M8:'[3]RV_DATA'!M31), 6)</f>
        <v>#REF!</v>
      </c>
      <c r="Q22" s="2">
        <v>2</v>
      </c>
    </row>
    <row r="23" spans="1:17" ht="14" x14ac:dyDescent="0.3">
      <c r="A23" s="90" t="s">
        <v>105</v>
      </c>
      <c r="B23" s="90"/>
      <c r="C23" s="90"/>
      <c r="D23" s="90"/>
      <c r="E23" s="91" t="e">
        <f>SUMIF(Q11:Q22, 2, F11:F22)</f>
        <v>#REF!</v>
      </c>
      <c r="F23" s="91"/>
    </row>
    <row r="24" spans="1:17" ht="14" x14ac:dyDescent="0.25">
      <c r="A24" s="94" t="s">
        <v>106</v>
      </c>
      <c r="B24" s="95"/>
      <c r="C24" s="95"/>
      <c r="D24" s="95"/>
      <c r="E24" s="95"/>
      <c r="F24" s="95"/>
    </row>
    <row r="25" spans="1:17" ht="42" x14ac:dyDescent="0.3">
      <c r="A25" s="41" t="s">
        <v>107</v>
      </c>
      <c r="B25" s="32" t="s">
        <v>108</v>
      </c>
      <c r="C25" s="32" t="s">
        <v>62</v>
      </c>
      <c r="D25" s="33" t="e">
        <f>ROUND(SUMIF([3]RV_DATA!Z8:'[3]RV_DATA'!Z31, 1599901582, [3]RV_DATA!I8:'[3]RV_DATA'!I31), 6)</f>
        <v>#REF!</v>
      </c>
      <c r="E25" s="42">
        <f>ROUND([3]RV_DATA!K25, 6)</f>
        <v>1232.5</v>
      </c>
      <c r="F25" s="42" t="e">
        <f>ROUND(SUMIF([3]RV_DATA!Z8:'[3]RV_DATA'!Z31, 1599901582, [3]RV_DATA!M8:'[3]RV_DATA'!M31), 6)</f>
        <v>#REF!</v>
      </c>
      <c r="Q25" s="2">
        <v>3</v>
      </c>
    </row>
    <row r="26" spans="1:17" ht="28" x14ac:dyDescent="0.3">
      <c r="A26" s="41" t="s">
        <v>109</v>
      </c>
      <c r="B26" s="32" t="s">
        <v>110</v>
      </c>
      <c r="C26" s="32" t="s">
        <v>63</v>
      </c>
      <c r="D26" s="33" t="e">
        <f>ROUND(SUMIF([3]RV_DATA!Z8:'[3]RV_DATA'!Z31, 294508000, [3]RV_DATA!I8:'[3]RV_DATA'!I31), 6)</f>
        <v>#REF!</v>
      </c>
      <c r="E26" s="42">
        <f>ROUND([3]RV_DATA!K30, 6)</f>
        <v>34834.18</v>
      </c>
      <c r="F26" s="42" t="e">
        <f>ROUND(SUMIF([3]RV_DATA!Z8:'[3]RV_DATA'!Z31, 294508000, [3]RV_DATA!M8:'[3]RV_DATA'!M31), 6)</f>
        <v>#REF!</v>
      </c>
      <c r="Q26" s="2">
        <v>3</v>
      </c>
    </row>
    <row r="27" spans="1:17" ht="14" x14ac:dyDescent="0.3">
      <c r="A27" s="41" t="s">
        <v>111</v>
      </c>
      <c r="B27" s="32" t="s">
        <v>112</v>
      </c>
      <c r="C27" s="32" t="s">
        <v>62</v>
      </c>
      <c r="D27" s="33" t="e">
        <f>ROUND(SUMIF([3]RV_DATA!Z8:'[3]RV_DATA'!Z31, 743170984, [3]RV_DATA!I8:'[3]RV_DATA'!I31), 6)</f>
        <v>#REF!</v>
      </c>
      <c r="E27" s="42">
        <f>ROUND([3]RV_DATA!K9, 6)</f>
        <v>36.31</v>
      </c>
      <c r="F27" s="42" t="e">
        <f>ROUND(SUMIF([3]RV_DATA!Z8:'[3]RV_DATA'!Z31, 743170984, [3]RV_DATA!M8:'[3]RV_DATA'!M31), 6)</f>
        <v>#REF!</v>
      </c>
      <c r="Q27" s="2">
        <v>3</v>
      </c>
    </row>
    <row r="28" spans="1:17" ht="28" x14ac:dyDescent="0.3">
      <c r="A28" s="41" t="s">
        <v>113</v>
      </c>
      <c r="B28" s="32" t="s">
        <v>114</v>
      </c>
      <c r="C28" s="32" t="s">
        <v>67</v>
      </c>
      <c r="D28" s="33" t="e">
        <f>ROUND(SUMIF([3]RV_DATA!Z8:'[3]RV_DATA'!Z31, -1733748040, [3]RV_DATA!I8:'[3]RV_DATA'!I31), 6)</f>
        <v>#REF!</v>
      </c>
      <c r="E28" s="42">
        <f>ROUND([3]RV_DATA!K8, 6)</f>
        <v>256.22000000000003</v>
      </c>
      <c r="F28" s="42" t="e">
        <f>ROUND(SUMIF([3]RV_DATA!Z8:'[3]RV_DATA'!Z31, -1733748040, [3]RV_DATA!M8:'[3]RV_DATA'!M31), 6)</f>
        <v>#REF!</v>
      </c>
      <c r="Q28" s="2">
        <v>3</v>
      </c>
    </row>
    <row r="29" spans="1:17" ht="14" x14ac:dyDescent="0.3">
      <c r="A29" s="90" t="s">
        <v>115</v>
      </c>
      <c r="B29" s="90"/>
      <c r="C29" s="90"/>
      <c r="D29" s="90"/>
      <c r="E29" s="91" t="e">
        <f>SUMIF(Q25:Q28, 3, F25:F28)</f>
        <v>#REF!</v>
      </c>
      <c r="F29" s="91"/>
    </row>
    <row r="30" spans="1:17" ht="16.5" x14ac:dyDescent="0.25">
      <c r="A30" s="92" t="str">
        <f>CONCATENATE("Раздел: ",IF(Source!G82&lt;&gt;"Новый раздел", Source!G82, ""))</f>
        <v>Раздел: Устройство бортового камня</v>
      </c>
      <c r="B30" s="93"/>
      <c r="C30" s="93"/>
      <c r="D30" s="93"/>
      <c r="E30" s="93"/>
      <c r="F30" s="93"/>
    </row>
    <row r="31" spans="1:17" ht="14" x14ac:dyDescent="0.25">
      <c r="A31" s="94" t="s">
        <v>79</v>
      </c>
      <c r="B31" s="95"/>
      <c r="C31" s="95"/>
      <c r="D31" s="95"/>
      <c r="E31" s="95"/>
      <c r="F31" s="95"/>
    </row>
    <row r="32" spans="1:17" ht="28" x14ac:dyDescent="0.3">
      <c r="A32" s="41" t="s">
        <v>116</v>
      </c>
      <c r="B32" s="32" t="s">
        <v>117</v>
      </c>
      <c r="C32" s="32" t="s">
        <v>82</v>
      </c>
      <c r="D32" s="33" t="e">
        <f>ROUND(SUMIF([3]RV_DATA!Z33:'[3]RV_DATA'!Z45, -1152603303, [3]RV_DATA!I33:'[3]RV_DATA'!I45), 6)</f>
        <v>#REF!</v>
      </c>
      <c r="E32" s="42">
        <f>ROUND([3]RV_DATA!K38, 6)</f>
        <v>493.52</v>
      </c>
      <c r="F32" s="42" t="e">
        <f>ROUND(SUMIF([3]RV_DATA!Z33:'[3]RV_DATA'!Z45, -1152603303, [3]RV_DATA!M33:'[3]RV_DATA'!M45), 6)</f>
        <v>#REF!</v>
      </c>
      <c r="Q32" s="2">
        <v>2</v>
      </c>
    </row>
    <row r="33" spans="1:17" ht="28" x14ac:dyDescent="0.3">
      <c r="A33" s="41" t="s">
        <v>85</v>
      </c>
      <c r="B33" s="32" t="s">
        <v>86</v>
      </c>
      <c r="C33" s="32" t="s">
        <v>82</v>
      </c>
      <c r="D33" s="33" t="e">
        <f>ROUND(SUMIF([3]RV_DATA!Z33:'[3]RV_DATA'!Z45, 1824656456, [3]RV_DATA!I33:'[3]RV_DATA'!I45), 6)</f>
        <v>#REF!</v>
      </c>
      <c r="E33" s="42">
        <f>ROUND([3]RV_DATA!K40, 6)</f>
        <v>1070.1199999999999</v>
      </c>
      <c r="F33" s="42" t="e">
        <f>ROUND(SUMIF([3]RV_DATA!Z33:'[3]RV_DATA'!Z45, 1824656456, [3]RV_DATA!M33:'[3]RV_DATA'!M45), 6)</f>
        <v>#REF!</v>
      </c>
      <c r="Q33" s="2">
        <v>2</v>
      </c>
    </row>
    <row r="34" spans="1:17" ht="28" x14ac:dyDescent="0.3">
      <c r="A34" s="41" t="s">
        <v>87</v>
      </c>
      <c r="B34" s="32" t="s">
        <v>88</v>
      </c>
      <c r="C34" s="32" t="s">
        <v>82</v>
      </c>
      <c r="D34" s="33" t="e">
        <f>ROUND(SUMIF([3]RV_DATA!Z33:'[3]RV_DATA'!Z45, -256044164, [3]RV_DATA!I33:'[3]RV_DATA'!I45), 6)</f>
        <v>#REF!</v>
      </c>
      <c r="E34" s="42">
        <f>ROUND([3]RV_DATA!K39, 6)</f>
        <v>1080.76</v>
      </c>
      <c r="F34" s="42" t="e">
        <f>ROUND(SUMIF([3]RV_DATA!Z33:'[3]RV_DATA'!Z45, -256044164, [3]RV_DATA!M33:'[3]RV_DATA'!M45), 6)</f>
        <v>#REF!</v>
      </c>
      <c r="Q34" s="2">
        <v>2</v>
      </c>
    </row>
    <row r="35" spans="1:17" ht="42" x14ac:dyDescent="0.3">
      <c r="A35" s="41" t="s">
        <v>118</v>
      </c>
      <c r="B35" s="32" t="s">
        <v>119</v>
      </c>
      <c r="C35" s="32" t="s">
        <v>82</v>
      </c>
      <c r="D35" s="33" t="e">
        <f>ROUND(SUMIF([3]RV_DATA!Z33:'[3]RV_DATA'!Z45, -459960526, [3]RV_DATA!I33:'[3]RV_DATA'!I45), 6)</f>
        <v>#REF!</v>
      </c>
      <c r="E35" s="42">
        <f>ROUND([3]RV_DATA!K37, 6)</f>
        <v>1153.51</v>
      </c>
      <c r="F35" s="42" t="e">
        <f>ROUND(SUMIF([3]RV_DATA!Z33:'[3]RV_DATA'!Z45, -459960526, [3]RV_DATA!M33:'[3]RV_DATA'!M45), 6)</f>
        <v>#REF!</v>
      </c>
      <c r="Q35" s="2">
        <v>2</v>
      </c>
    </row>
    <row r="36" spans="1:17" ht="14" x14ac:dyDescent="0.3">
      <c r="A36" s="41" t="s">
        <v>91</v>
      </c>
      <c r="B36" s="32" t="s">
        <v>92</v>
      </c>
      <c r="C36" s="32" t="s">
        <v>82</v>
      </c>
      <c r="D36" s="33" t="e">
        <f>ROUND(SUMIF([3]RV_DATA!Z33:'[3]RV_DATA'!Z45, -1515012402, [3]RV_DATA!I33:'[3]RV_DATA'!I45), 6)</f>
        <v>#REF!</v>
      </c>
      <c r="E36" s="42">
        <f>ROUND([3]RV_DATA!K36, 6)</f>
        <v>6.02</v>
      </c>
      <c r="F36" s="42" t="e">
        <f>ROUND(SUMIF([3]RV_DATA!Z33:'[3]RV_DATA'!Z45, -1515012402, [3]RV_DATA!M33:'[3]RV_DATA'!M45), 6)</f>
        <v>#REF!</v>
      </c>
      <c r="Q36" s="2">
        <v>2</v>
      </c>
    </row>
    <row r="37" spans="1:17" ht="42" x14ac:dyDescent="0.3">
      <c r="A37" s="41" t="s">
        <v>120</v>
      </c>
      <c r="B37" s="32" t="s">
        <v>121</v>
      </c>
      <c r="C37" s="32" t="s">
        <v>82</v>
      </c>
      <c r="D37" s="33" t="e">
        <f>ROUND(SUMIF([3]RV_DATA!Z33:'[3]RV_DATA'!Z45, 2111206009, [3]RV_DATA!I33:'[3]RV_DATA'!I45), 6)</f>
        <v>#REF!</v>
      </c>
      <c r="E37" s="42">
        <f>ROUND([3]RV_DATA!K35, 6)</f>
        <v>857.91</v>
      </c>
      <c r="F37" s="42" t="e">
        <f>ROUND(SUMIF([3]RV_DATA!Z33:'[3]RV_DATA'!Z45, 2111206009, [3]RV_DATA!M33:'[3]RV_DATA'!M45), 6)</f>
        <v>#REF!</v>
      </c>
      <c r="Q37" s="2">
        <v>2</v>
      </c>
    </row>
    <row r="38" spans="1:17" ht="14" x14ac:dyDescent="0.3">
      <c r="A38" s="90" t="s">
        <v>105</v>
      </c>
      <c r="B38" s="90"/>
      <c r="C38" s="90"/>
      <c r="D38" s="90"/>
      <c r="E38" s="91" t="e">
        <f>SUMIF(Q32:Q37, 2, F32:F37)</f>
        <v>#REF!</v>
      </c>
      <c r="F38" s="91"/>
    </row>
    <row r="39" spans="1:17" ht="14" x14ac:dyDescent="0.25">
      <c r="A39" s="94" t="s">
        <v>106</v>
      </c>
      <c r="B39" s="95"/>
      <c r="C39" s="95"/>
      <c r="D39" s="95"/>
      <c r="E39" s="95"/>
      <c r="F39" s="95"/>
    </row>
    <row r="40" spans="1:17" ht="56" x14ac:dyDescent="0.3">
      <c r="A40" s="41" t="s">
        <v>122</v>
      </c>
      <c r="B40" s="32" t="s">
        <v>123</v>
      </c>
      <c r="C40" s="32" t="s">
        <v>67</v>
      </c>
      <c r="D40" s="33" t="e">
        <f>ROUND(SUMIF([3]RV_DATA!Z33:'[3]RV_DATA'!Z45, -1336401491, [3]RV_DATA!I33:'[3]RV_DATA'!I45), 6)</f>
        <v>#REF!</v>
      </c>
      <c r="E40" s="42">
        <f>ROUND([3]RV_DATA!K45, 6)</f>
        <v>140.25</v>
      </c>
      <c r="F40" s="42" t="e">
        <f>ROUND(SUMIF([3]RV_DATA!Z33:'[3]RV_DATA'!Z45, -1336401491, [3]RV_DATA!M33:'[3]RV_DATA'!M45), 6)</f>
        <v>#REF!</v>
      </c>
      <c r="Q40" s="2">
        <v>3</v>
      </c>
    </row>
    <row r="41" spans="1:17" ht="56" x14ac:dyDescent="0.3">
      <c r="A41" s="41" t="s">
        <v>124</v>
      </c>
      <c r="B41" s="32" t="s">
        <v>125</v>
      </c>
      <c r="C41" s="32" t="s">
        <v>62</v>
      </c>
      <c r="D41" s="33" t="e">
        <f>ROUND(SUMIF([3]RV_DATA!Z33:'[3]RV_DATA'!Z45, -1473608290, [3]RV_DATA!I33:'[3]RV_DATA'!I45), 6)</f>
        <v>#REF!</v>
      </c>
      <c r="E41" s="42">
        <f>ROUND([3]RV_DATA!K34, 6)</f>
        <v>3886.23</v>
      </c>
      <c r="F41" s="42" t="e">
        <f>ROUND(SUMIF([3]RV_DATA!Z33:'[3]RV_DATA'!Z45, -1473608290, [3]RV_DATA!M33:'[3]RV_DATA'!M45), 6)</f>
        <v>#REF!</v>
      </c>
      <c r="Q41" s="2">
        <v>3</v>
      </c>
    </row>
    <row r="42" spans="1:17" ht="56" x14ac:dyDescent="0.3">
      <c r="A42" s="41" t="s">
        <v>126</v>
      </c>
      <c r="B42" s="32" t="s">
        <v>127</v>
      </c>
      <c r="C42" s="32" t="s">
        <v>62</v>
      </c>
      <c r="D42" s="33" t="e">
        <f>ROUND(SUMIF([3]RV_DATA!Z33:'[3]RV_DATA'!Z45, -462793493, [3]RV_DATA!I33:'[3]RV_DATA'!I45), 6)</f>
        <v>#REF!</v>
      </c>
      <c r="E42" s="42">
        <f>ROUND([3]RV_DATA!K44, 6)</f>
        <v>3917.3</v>
      </c>
      <c r="F42" s="42" t="e">
        <f>ROUND(SUMIF([3]RV_DATA!Z33:'[3]RV_DATA'!Z45, -462793493, [3]RV_DATA!M33:'[3]RV_DATA'!M45), 6)</f>
        <v>#REF!</v>
      </c>
      <c r="Q42" s="2">
        <v>3</v>
      </c>
    </row>
    <row r="43" spans="1:17" ht="28" x14ac:dyDescent="0.3">
      <c r="A43" s="41" t="s">
        <v>128</v>
      </c>
      <c r="B43" s="32" t="s">
        <v>129</v>
      </c>
      <c r="C43" s="32" t="s">
        <v>62</v>
      </c>
      <c r="D43" s="33" t="e">
        <f>ROUND(SUMIF([3]RV_DATA!Z33:'[3]RV_DATA'!Z45, -718781211, [3]RV_DATA!I33:'[3]RV_DATA'!I45), 6)</f>
        <v>#REF!</v>
      </c>
      <c r="E43" s="42">
        <f>ROUND([3]RV_DATA!K33, 6)</f>
        <v>7871.69</v>
      </c>
      <c r="F43" s="42" t="e">
        <f>ROUND(SUMIF([3]RV_DATA!Z33:'[3]RV_DATA'!Z45, -718781211, [3]RV_DATA!M33:'[3]RV_DATA'!M45), 6)</f>
        <v>#REF!</v>
      </c>
      <c r="Q43" s="2">
        <v>3</v>
      </c>
    </row>
    <row r="44" spans="1:17" ht="14" x14ac:dyDescent="0.3">
      <c r="A44" s="90" t="s">
        <v>115</v>
      </c>
      <c r="B44" s="90"/>
      <c r="C44" s="90"/>
      <c r="D44" s="90"/>
      <c r="E44" s="91" t="e">
        <f>SUMIF(Q40:Q43, 3, F40:F43)</f>
        <v>#REF!</v>
      </c>
      <c r="F44" s="91"/>
    </row>
    <row r="45" spans="1:17" ht="16.5" x14ac:dyDescent="0.25">
      <c r="A45" s="92" t="str">
        <f>CONCATENATE("Раздел: ",IF(Source!G135&lt;&gt;"Новый раздел", Source!G135, ""))</f>
        <v>Раздел: Устройство малых архитектурных форм</v>
      </c>
      <c r="B45" s="93"/>
      <c r="C45" s="93"/>
      <c r="D45" s="93"/>
      <c r="E45" s="93"/>
      <c r="F45" s="93"/>
    </row>
    <row r="46" spans="1:17" ht="14" x14ac:dyDescent="0.25">
      <c r="A46" s="94" t="s">
        <v>106</v>
      </c>
      <c r="B46" s="95"/>
      <c r="C46" s="95"/>
      <c r="D46" s="95"/>
      <c r="E46" s="95"/>
      <c r="F46" s="95"/>
    </row>
    <row r="47" spans="1:17" ht="42" x14ac:dyDescent="0.3">
      <c r="A47" s="41" t="s">
        <v>130</v>
      </c>
      <c r="B47" s="32" t="s">
        <v>131</v>
      </c>
      <c r="C47" s="32" t="s">
        <v>67</v>
      </c>
      <c r="D47" s="33" t="e">
        <f>ROUND(SUMIF([3]RV_DATA!Z47:'[3]RV_DATA'!Z48, 1633630556, [3]RV_DATA!I47:'[3]RV_DATA'!I48), 6)</f>
        <v>#VALUE!</v>
      </c>
      <c r="E47" s="42">
        <f>ROUND([3]RV_DATA!K48, 6)</f>
        <v>2812.5</v>
      </c>
      <c r="F47" s="42" t="e">
        <f>ROUND(SUMIF([3]RV_DATA!Z47:'[3]RV_DATA'!Z48, 1633630556, [3]RV_DATA!M47:'[3]RV_DATA'!M48), 6)</f>
        <v>#VALUE!</v>
      </c>
      <c r="Q47" s="2">
        <v>3</v>
      </c>
    </row>
    <row r="48" spans="1:17" ht="70" x14ac:dyDescent="0.3">
      <c r="A48" s="41" t="s">
        <v>132</v>
      </c>
      <c r="B48" s="32" t="s">
        <v>133</v>
      </c>
      <c r="C48" s="32" t="s">
        <v>67</v>
      </c>
      <c r="D48" s="33" t="e">
        <f>ROUND(SUMIF([3]RV_DATA!Z47:'[3]RV_DATA'!Z48, -1123188272, [3]RV_DATA!I47:'[3]RV_DATA'!I48), 6)</f>
        <v>#VALUE!</v>
      </c>
      <c r="E48" s="42">
        <f>ROUND([3]RV_DATA!K47, 6)</f>
        <v>20600</v>
      </c>
      <c r="F48" s="42" t="e">
        <f>ROUND(SUMIF([3]RV_DATA!Z47:'[3]RV_DATA'!Z48, -1123188272, [3]RV_DATA!M47:'[3]RV_DATA'!M48), 6)</f>
        <v>#VALUE!</v>
      </c>
      <c r="Q48" s="2">
        <v>3</v>
      </c>
    </row>
    <row r="49" spans="1:17" ht="14" x14ac:dyDescent="0.3">
      <c r="A49" s="90" t="s">
        <v>115</v>
      </c>
      <c r="B49" s="90"/>
      <c r="C49" s="90"/>
      <c r="D49" s="90"/>
      <c r="E49" s="91" t="e">
        <f>SUMIF(Q47:Q48, 3, F47:F48)</f>
        <v>#VALUE!</v>
      </c>
      <c r="F49" s="91"/>
    </row>
    <row r="50" spans="1:17" ht="16.5" x14ac:dyDescent="0.25">
      <c r="A50" s="92" t="str">
        <f>CONCATENATE("Раздел: ",IF(Source!G182&lt;&gt;"Новый раздел", Source!G182, ""))</f>
        <v>Раздел: Ремонт газонов -300м2</v>
      </c>
      <c r="B50" s="93"/>
      <c r="C50" s="93"/>
      <c r="D50" s="93"/>
      <c r="E50" s="93"/>
      <c r="F50" s="93"/>
    </row>
    <row r="51" spans="1:17" ht="14" x14ac:dyDescent="0.25">
      <c r="A51" s="94" t="s">
        <v>79</v>
      </c>
      <c r="B51" s="95"/>
      <c r="C51" s="95"/>
      <c r="D51" s="95"/>
      <c r="E51" s="95"/>
      <c r="F51" s="95"/>
    </row>
    <row r="52" spans="1:17" ht="14" x14ac:dyDescent="0.3">
      <c r="A52" s="41" t="s">
        <v>134</v>
      </c>
      <c r="B52" s="32" t="s">
        <v>135</v>
      </c>
      <c r="C52" s="32" t="s">
        <v>82</v>
      </c>
      <c r="D52" s="33" t="e">
        <f>ROUND(SUMIF([3]RV_DATA!Z50:'[3]RV_DATA'!Z56, -1477563123, [3]RV_DATA!I50:'[3]RV_DATA'!I56), 6)</f>
        <v>#REF!</v>
      </c>
      <c r="E52" s="42">
        <f>ROUND([3]RV_DATA!K52, 6)</f>
        <v>17.07</v>
      </c>
      <c r="F52" s="42" t="e">
        <f>ROUND(SUMIF([3]RV_DATA!Z50:'[3]RV_DATA'!Z56, -1477563123, [3]RV_DATA!M50:'[3]RV_DATA'!M56), 6)</f>
        <v>#REF!</v>
      </c>
      <c r="Q52" s="2">
        <v>2</v>
      </c>
    </row>
    <row r="53" spans="1:17" ht="28" x14ac:dyDescent="0.3">
      <c r="A53" s="41" t="s">
        <v>136</v>
      </c>
      <c r="B53" s="32" t="s">
        <v>137</v>
      </c>
      <c r="C53" s="32" t="s">
        <v>82</v>
      </c>
      <c r="D53" s="33" t="e">
        <f>ROUND(SUMIF([3]RV_DATA!Z50:'[3]RV_DATA'!Z56, -1222050215, [3]RV_DATA!I50:'[3]RV_DATA'!I56), 6)</f>
        <v>#REF!</v>
      </c>
      <c r="E53" s="42">
        <f>ROUND([3]RV_DATA!K51, 6)</f>
        <v>1060.5899999999999</v>
      </c>
      <c r="F53" s="42" t="e">
        <f>ROUND(SUMIF([3]RV_DATA!Z50:'[3]RV_DATA'!Z56, -1222050215, [3]RV_DATA!M50:'[3]RV_DATA'!M56), 6)</f>
        <v>#REF!</v>
      </c>
      <c r="Q53" s="2">
        <v>2</v>
      </c>
    </row>
    <row r="54" spans="1:17" ht="14" x14ac:dyDescent="0.3">
      <c r="A54" s="90" t="s">
        <v>105</v>
      </c>
      <c r="B54" s="90"/>
      <c r="C54" s="90"/>
      <c r="D54" s="90"/>
      <c r="E54" s="91" t="e">
        <f>SUMIF(Q52:Q53, 2, F52:F53)</f>
        <v>#REF!</v>
      </c>
      <c r="F54" s="91"/>
    </row>
    <row r="55" spans="1:17" ht="14" x14ac:dyDescent="0.25">
      <c r="A55" s="94" t="s">
        <v>106</v>
      </c>
      <c r="B55" s="95"/>
      <c r="C55" s="95"/>
      <c r="D55" s="95"/>
      <c r="E55" s="95"/>
      <c r="F55" s="95"/>
    </row>
    <row r="56" spans="1:17" ht="14" x14ac:dyDescent="0.3">
      <c r="A56" s="41" t="s">
        <v>111</v>
      </c>
      <c r="B56" s="32" t="s">
        <v>112</v>
      </c>
      <c r="C56" s="32" t="s">
        <v>62</v>
      </c>
      <c r="D56" s="33" t="e">
        <f>ROUND(SUMIF([3]RV_DATA!Z50:'[3]RV_DATA'!Z56, 743170984, [3]RV_DATA!I50:'[3]RV_DATA'!I56), 6)</f>
        <v>#REF!</v>
      </c>
      <c r="E56" s="42">
        <f>ROUND([3]RV_DATA!K56, 6)</f>
        <v>36.31</v>
      </c>
      <c r="F56" s="42" t="e">
        <f>ROUND(SUMIF([3]RV_DATA!Z50:'[3]RV_DATA'!Z56, 743170984, [3]RV_DATA!M50:'[3]RV_DATA'!M56), 6)</f>
        <v>#REF!</v>
      </c>
      <c r="Q56" s="2">
        <v>3</v>
      </c>
    </row>
    <row r="57" spans="1:17" ht="28" x14ac:dyDescent="0.3">
      <c r="A57" s="41" t="s">
        <v>138</v>
      </c>
      <c r="B57" s="32" t="s">
        <v>139</v>
      </c>
      <c r="C57" s="32" t="s">
        <v>140</v>
      </c>
      <c r="D57" s="33" t="e">
        <f>ROUND(SUMIF([3]RV_DATA!Z50:'[3]RV_DATA'!Z56, 864576860, [3]RV_DATA!I50:'[3]RV_DATA'!I56), 6)</f>
        <v>#REF!</v>
      </c>
      <c r="E57" s="42">
        <f>ROUND([3]RV_DATA!K55, 6)</f>
        <v>331.36</v>
      </c>
      <c r="F57" s="42" t="e">
        <f>ROUND(SUMIF([3]RV_DATA!Z50:'[3]RV_DATA'!Z56, 864576860, [3]RV_DATA!M50:'[3]RV_DATA'!M56), 6)</f>
        <v>#REF!</v>
      </c>
      <c r="Q57" s="2">
        <v>3</v>
      </c>
    </row>
    <row r="58" spans="1:17" ht="14" x14ac:dyDescent="0.3">
      <c r="A58" s="41" t="s">
        <v>141</v>
      </c>
      <c r="B58" s="32" t="s">
        <v>142</v>
      </c>
      <c r="C58" s="32" t="s">
        <v>62</v>
      </c>
      <c r="D58" s="33" t="e">
        <f>ROUND(SUMIF([3]RV_DATA!Z50:'[3]RV_DATA'!Z56, -2147437159, [3]RV_DATA!I50:'[3]RV_DATA'!I56), 6)</f>
        <v>#REF!</v>
      </c>
      <c r="E58" s="42">
        <f>ROUND([3]RV_DATA!K50, 6)</f>
        <v>790.5</v>
      </c>
      <c r="F58" s="42" t="e">
        <f>ROUND(SUMIF([3]RV_DATA!Z50:'[3]RV_DATA'!Z56, -2147437159, [3]RV_DATA!M50:'[3]RV_DATA'!M56), 6)</f>
        <v>#REF!</v>
      </c>
      <c r="Q58" s="2">
        <v>3</v>
      </c>
    </row>
    <row r="59" spans="1:17" ht="14" x14ac:dyDescent="0.3">
      <c r="A59" s="90" t="s">
        <v>115</v>
      </c>
      <c r="B59" s="90"/>
      <c r="C59" s="90"/>
      <c r="D59" s="90"/>
      <c r="E59" s="91" t="e">
        <f>SUMIF(Q56:Q58, 3, F56:F58)</f>
        <v>#REF!</v>
      </c>
      <c r="F59" s="91"/>
    </row>
    <row r="60" spans="1:17" ht="16.5" x14ac:dyDescent="0.25">
      <c r="A60" s="92" t="str">
        <f>CONCATENATE("Раздел: ",IF(Source!G221&lt;&gt;"Новый раздел", Source!G221, ""))</f>
        <v>Раздел: Устройство дорожно-тропиночной сети с асфальтобетонным покрытием -42 м2</v>
      </c>
      <c r="B60" s="93"/>
      <c r="C60" s="93"/>
      <c r="D60" s="93"/>
      <c r="E60" s="93"/>
      <c r="F60" s="93"/>
      <c r="O60" s="40" t="s">
        <v>143</v>
      </c>
    </row>
    <row r="61" spans="1:17" ht="14" x14ac:dyDescent="0.25">
      <c r="A61" s="94" t="s">
        <v>79</v>
      </c>
      <c r="B61" s="95"/>
      <c r="C61" s="95"/>
      <c r="D61" s="95"/>
      <c r="E61" s="95"/>
      <c r="F61" s="95"/>
    </row>
    <row r="62" spans="1:17" ht="28" x14ac:dyDescent="0.3">
      <c r="A62" s="41" t="s">
        <v>144</v>
      </c>
      <c r="B62" s="32" t="s">
        <v>145</v>
      </c>
      <c r="C62" s="32" t="s">
        <v>82</v>
      </c>
      <c r="D62" s="33" t="e">
        <f>ROUND(SUMIF([3]RV_DATA!Z58:'[3]RV_DATA'!Z81, -344111480, [3]RV_DATA!I58:'[3]RV_DATA'!I81), 6)</f>
        <v>#REF!</v>
      </c>
      <c r="E62" s="42">
        <f>ROUND([3]RV_DATA!K59, 6)</f>
        <v>1571.99</v>
      </c>
      <c r="F62" s="42" t="e">
        <f>ROUND(SUMIF([3]RV_DATA!Z58:'[3]RV_DATA'!Z81, -344111480, [3]RV_DATA!M58:'[3]RV_DATA'!M81), 6)</f>
        <v>#REF!</v>
      </c>
      <c r="Q62" s="2">
        <v>2</v>
      </c>
    </row>
    <row r="63" spans="1:17" ht="28" x14ac:dyDescent="0.3">
      <c r="A63" s="41" t="s">
        <v>146</v>
      </c>
      <c r="B63" s="32" t="s">
        <v>147</v>
      </c>
      <c r="C63" s="32" t="s">
        <v>82</v>
      </c>
      <c r="D63" s="33" t="e">
        <f>ROUND(SUMIF([3]RV_DATA!Z58:'[3]RV_DATA'!Z81, -874375362, [3]RV_DATA!I58:'[3]RV_DATA'!I81), 6)</f>
        <v>#REF!</v>
      </c>
      <c r="E63" s="42">
        <f>ROUND([3]RV_DATA!K77, 6)</f>
        <v>1012.69</v>
      </c>
      <c r="F63" s="42" t="e">
        <f>ROUND(SUMIF([3]RV_DATA!Z58:'[3]RV_DATA'!Z81, -874375362, [3]RV_DATA!M58:'[3]RV_DATA'!M81), 6)</f>
        <v>#REF!</v>
      </c>
      <c r="Q63" s="2">
        <v>2</v>
      </c>
    </row>
    <row r="64" spans="1:17" ht="28" x14ac:dyDescent="0.3">
      <c r="A64" s="41" t="s">
        <v>148</v>
      </c>
      <c r="B64" s="32" t="s">
        <v>149</v>
      </c>
      <c r="C64" s="32" t="s">
        <v>82</v>
      </c>
      <c r="D64" s="33" t="e">
        <f>ROUND(SUMIF([3]RV_DATA!Z58:'[3]RV_DATA'!Z81, 1178992240, [3]RV_DATA!I58:'[3]RV_DATA'!I81), 6)</f>
        <v>#REF!</v>
      </c>
      <c r="E64" s="42">
        <f>ROUND([3]RV_DATA!K58, 6)</f>
        <v>1129.8900000000001</v>
      </c>
      <c r="F64" s="42" t="e">
        <f>ROUND(SUMIF([3]RV_DATA!Z58:'[3]RV_DATA'!Z81, 1178992240, [3]RV_DATA!M58:'[3]RV_DATA'!M81), 6)</f>
        <v>#REF!</v>
      </c>
      <c r="Q64" s="2">
        <v>2</v>
      </c>
    </row>
    <row r="65" spans="1:17" ht="28" x14ac:dyDescent="0.3">
      <c r="A65" s="41" t="s">
        <v>87</v>
      </c>
      <c r="B65" s="32" t="s">
        <v>88</v>
      </c>
      <c r="C65" s="32" t="s">
        <v>82</v>
      </c>
      <c r="D65" s="33" t="e">
        <f>ROUND(SUMIF([3]RV_DATA!Z58:'[3]RV_DATA'!Z81, -256044164, [3]RV_DATA!I58:'[3]RV_DATA'!I81), 6)</f>
        <v>#REF!</v>
      </c>
      <c r="E65" s="42">
        <f>ROUND([3]RV_DATA!K62, 6)</f>
        <v>1080.76</v>
      </c>
      <c r="F65" s="42" t="e">
        <f>ROUND(SUMIF([3]RV_DATA!Z58:'[3]RV_DATA'!Z81, -256044164, [3]RV_DATA!M58:'[3]RV_DATA'!M81), 6)</f>
        <v>#REF!</v>
      </c>
      <c r="Q65" s="2">
        <v>2</v>
      </c>
    </row>
    <row r="66" spans="1:17" ht="28" x14ac:dyDescent="0.3">
      <c r="A66" s="41" t="s">
        <v>89</v>
      </c>
      <c r="B66" s="32" t="s">
        <v>90</v>
      </c>
      <c r="C66" s="32" t="s">
        <v>82</v>
      </c>
      <c r="D66" s="33" t="e">
        <f>ROUND(SUMIF([3]RV_DATA!Z58:'[3]RV_DATA'!Z81, -48088149, [3]RV_DATA!I58:'[3]RV_DATA'!I81), 6)</f>
        <v>#REF!</v>
      </c>
      <c r="E66" s="42">
        <f>ROUND([3]RV_DATA!K70, 6)</f>
        <v>780.77</v>
      </c>
      <c r="F66" s="42" t="e">
        <f>ROUND(SUMIF([3]RV_DATA!Z58:'[3]RV_DATA'!Z81, -48088149, [3]RV_DATA!M58:'[3]RV_DATA'!M81), 6)</f>
        <v>#REF!</v>
      </c>
      <c r="Q66" s="2">
        <v>2</v>
      </c>
    </row>
    <row r="67" spans="1:17" ht="28" x14ac:dyDescent="0.3">
      <c r="A67" s="41" t="s">
        <v>150</v>
      </c>
      <c r="B67" s="32" t="s">
        <v>151</v>
      </c>
      <c r="C67" s="32" t="s">
        <v>82</v>
      </c>
      <c r="D67" s="33" t="e">
        <f>ROUND(SUMIF([3]RV_DATA!Z58:'[3]RV_DATA'!Z81, -270256659, [3]RV_DATA!I58:'[3]RV_DATA'!I81), 6)</f>
        <v>#REF!</v>
      </c>
      <c r="E67" s="42">
        <f>ROUND([3]RV_DATA!K69, 6)</f>
        <v>445.81</v>
      </c>
      <c r="F67" s="42" t="e">
        <f>ROUND(SUMIF([3]RV_DATA!Z58:'[3]RV_DATA'!Z81, -270256659, [3]RV_DATA!M58:'[3]RV_DATA'!M81), 6)</f>
        <v>#REF!</v>
      </c>
      <c r="Q67" s="2">
        <v>2</v>
      </c>
    </row>
    <row r="68" spans="1:17" ht="28" x14ac:dyDescent="0.3">
      <c r="A68" s="41" t="s">
        <v>152</v>
      </c>
      <c r="B68" s="32" t="s">
        <v>153</v>
      </c>
      <c r="C68" s="32" t="s">
        <v>82</v>
      </c>
      <c r="D68" s="33" t="e">
        <f>ROUND(SUMIF([3]RV_DATA!Z58:'[3]RV_DATA'!Z81, -1054908000, [3]RV_DATA!I58:'[3]RV_DATA'!I81), 6)</f>
        <v>#REF!</v>
      </c>
      <c r="E68" s="42">
        <f>ROUND([3]RV_DATA!K68, 6)</f>
        <v>2043.52</v>
      </c>
      <c r="F68" s="42" t="e">
        <f>ROUND(SUMIF([3]RV_DATA!Z58:'[3]RV_DATA'!Z81, -1054908000, [3]RV_DATA!M58:'[3]RV_DATA'!M81), 6)</f>
        <v>#REF!</v>
      </c>
      <c r="Q68" s="2">
        <v>2</v>
      </c>
    </row>
    <row r="69" spans="1:17" ht="28" x14ac:dyDescent="0.3">
      <c r="A69" s="41" t="s">
        <v>97</v>
      </c>
      <c r="B69" s="32" t="s">
        <v>98</v>
      </c>
      <c r="C69" s="32" t="s">
        <v>82</v>
      </c>
      <c r="D69" s="33" t="e">
        <f>ROUND(SUMIF([3]RV_DATA!Z58:'[3]RV_DATA'!Z81, -4085501, [3]RV_DATA!I58:'[3]RV_DATA'!I81), 6)</f>
        <v>#REF!</v>
      </c>
      <c r="E69" s="42">
        <f>ROUND([3]RV_DATA!K75, 6)</f>
        <v>1364.68</v>
      </c>
      <c r="F69" s="42" t="e">
        <f>ROUND(SUMIF([3]RV_DATA!Z58:'[3]RV_DATA'!Z81, -4085501, [3]RV_DATA!M58:'[3]RV_DATA'!M81), 6)</f>
        <v>#REF!</v>
      </c>
      <c r="Q69" s="2">
        <v>2</v>
      </c>
    </row>
    <row r="70" spans="1:17" ht="28" x14ac:dyDescent="0.3">
      <c r="A70" s="41" t="s">
        <v>99</v>
      </c>
      <c r="B70" s="32" t="s">
        <v>100</v>
      </c>
      <c r="C70" s="32" t="s">
        <v>82</v>
      </c>
      <c r="D70" s="33" t="e">
        <f>ROUND(SUMIF([3]RV_DATA!Z58:'[3]RV_DATA'!Z81, 1228350729, [3]RV_DATA!I58:'[3]RV_DATA'!I81), 6)</f>
        <v>#REF!</v>
      </c>
      <c r="E70" s="42">
        <f>ROUND([3]RV_DATA!K74, 6)</f>
        <v>1888.15</v>
      </c>
      <c r="F70" s="42" t="e">
        <f>ROUND(SUMIF([3]RV_DATA!Z58:'[3]RV_DATA'!Z81, 1228350729, [3]RV_DATA!M58:'[3]RV_DATA'!M81), 6)</f>
        <v>#REF!</v>
      </c>
      <c r="Q70" s="2">
        <v>2</v>
      </c>
    </row>
    <row r="71" spans="1:17" ht="28" x14ac:dyDescent="0.3">
      <c r="A71" s="41" t="s">
        <v>154</v>
      </c>
      <c r="B71" s="32" t="s">
        <v>155</v>
      </c>
      <c r="C71" s="32" t="s">
        <v>82</v>
      </c>
      <c r="D71" s="33" t="e">
        <f>ROUND(SUMIF([3]RV_DATA!Z58:'[3]RV_DATA'!Z81, 585746729, [3]RV_DATA!I58:'[3]RV_DATA'!I81), 6)</f>
        <v>#REF!</v>
      </c>
      <c r="E71" s="42">
        <f>ROUND([3]RV_DATA!K67, 6)</f>
        <v>1478.7</v>
      </c>
      <c r="F71" s="42" t="e">
        <f>ROUND(SUMIF([3]RV_DATA!Z58:'[3]RV_DATA'!Z81, 585746729, [3]RV_DATA!M58:'[3]RV_DATA'!M81), 6)</f>
        <v>#REF!</v>
      </c>
      <c r="Q71" s="2">
        <v>2</v>
      </c>
    </row>
    <row r="72" spans="1:17" ht="28" x14ac:dyDescent="0.3">
      <c r="A72" s="41" t="s">
        <v>156</v>
      </c>
      <c r="B72" s="32" t="s">
        <v>157</v>
      </c>
      <c r="C72" s="32" t="s">
        <v>82</v>
      </c>
      <c r="D72" s="33" t="e">
        <f>ROUND(SUMIF([3]RV_DATA!Z58:'[3]RV_DATA'!Z81, -873111929, [3]RV_DATA!I58:'[3]RV_DATA'!I81), 6)</f>
        <v>#REF!</v>
      </c>
      <c r="E72" s="42">
        <f>ROUND([3]RV_DATA!K66, 6)</f>
        <v>1268.04</v>
      </c>
      <c r="F72" s="42" t="e">
        <f>ROUND(SUMIF([3]RV_DATA!Z58:'[3]RV_DATA'!Z81, -873111929, [3]RV_DATA!M58:'[3]RV_DATA'!M81), 6)</f>
        <v>#REF!</v>
      </c>
      <c r="Q72" s="2">
        <v>2</v>
      </c>
    </row>
    <row r="73" spans="1:17" ht="14" x14ac:dyDescent="0.3">
      <c r="A73" s="90" t="s">
        <v>105</v>
      </c>
      <c r="B73" s="90"/>
      <c r="C73" s="90"/>
      <c r="D73" s="90"/>
      <c r="E73" s="91" t="e">
        <f>SUMIF(Q62:Q72, 2, F62:F72)</f>
        <v>#REF!</v>
      </c>
      <c r="F73" s="91"/>
    </row>
    <row r="74" spans="1:17" ht="14" x14ac:dyDescent="0.25">
      <c r="A74" s="94" t="s">
        <v>106</v>
      </c>
      <c r="B74" s="95"/>
      <c r="C74" s="95"/>
      <c r="D74" s="95"/>
      <c r="E74" s="95"/>
      <c r="F74" s="95"/>
    </row>
    <row r="75" spans="1:17" ht="14" x14ac:dyDescent="0.3">
      <c r="A75" s="41" t="s">
        <v>158</v>
      </c>
      <c r="B75" s="32" t="s">
        <v>159</v>
      </c>
      <c r="C75" s="32" t="s">
        <v>62</v>
      </c>
      <c r="D75" s="33" t="e">
        <f>ROUND(SUMIF([3]RV_DATA!Z58:'[3]RV_DATA'!Z81, 1710210887, [3]RV_DATA!I58:'[3]RV_DATA'!I81), 6)</f>
        <v>#REF!</v>
      </c>
      <c r="E75" s="42">
        <f>ROUND([3]RV_DATA!K65, 6)</f>
        <v>510.02</v>
      </c>
      <c r="F75" s="42" t="e">
        <f>ROUND(SUMIF([3]RV_DATA!Z58:'[3]RV_DATA'!Z81, 1710210887, [3]RV_DATA!M58:'[3]RV_DATA'!M81), 6)</f>
        <v>#REF!</v>
      </c>
      <c r="Q75" s="2">
        <v>3</v>
      </c>
    </row>
    <row r="76" spans="1:17" ht="42" x14ac:dyDescent="0.3">
      <c r="A76" s="41" t="s">
        <v>107</v>
      </c>
      <c r="B76" s="32" t="s">
        <v>108</v>
      </c>
      <c r="C76" s="32" t="s">
        <v>62</v>
      </c>
      <c r="D76" s="33" t="e">
        <f>ROUND(SUMIF([3]RV_DATA!Z58:'[3]RV_DATA'!Z81, 1599901582, [3]RV_DATA!I58:'[3]RV_DATA'!I81), 6)</f>
        <v>#REF!</v>
      </c>
      <c r="E76" s="42">
        <f>ROUND([3]RV_DATA!K78, 6)</f>
        <v>1232.5</v>
      </c>
      <c r="F76" s="42" t="e">
        <f>ROUND(SUMIF([3]RV_DATA!Z58:'[3]RV_DATA'!Z81, 1599901582, [3]RV_DATA!M58:'[3]RV_DATA'!M81), 6)</f>
        <v>#REF!</v>
      </c>
      <c r="Q76" s="2">
        <v>3</v>
      </c>
    </row>
    <row r="77" spans="1:17" ht="28" x14ac:dyDescent="0.3">
      <c r="A77" s="41" t="s">
        <v>109</v>
      </c>
      <c r="B77" s="32" t="s">
        <v>110</v>
      </c>
      <c r="C77" s="32" t="s">
        <v>63</v>
      </c>
      <c r="D77" s="33" t="e">
        <f>ROUND(SUMIF([3]RV_DATA!Z58:'[3]RV_DATA'!Z81, 294508000, [3]RV_DATA!I58:'[3]RV_DATA'!I81), 6)</f>
        <v>#REF!</v>
      </c>
      <c r="E77" s="42">
        <f>ROUND([3]RV_DATA!K79, 6)</f>
        <v>34834.18</v>
      </c>
      <c r="F77" s="42" t="e">
        <f>ROUND(SUMIF([3]RV_DATA!Z58:'[3]RV_DATA'!Z81, 294508000, [3]RV_DATA!M58:'[3]RV_DATA'!M81), 6)</f>
        <v>#REF!</v>
      </c>
      <c r="Q77" s="2">
        <v>3</v>
      </c>
    </row>
    <row r="78" spans="1:17" ht="14" x14ac:dyDescent="0.3">
      <c r="A78" s="41" t="s">
        <v>111</v>
      </c>
      <c r="B78" s="32" t="s">
        <v>112</v>
      </c>
      <c r="C78" s="32" t="s">
        <v>62</v>
      </c>
      <c r="D78" s="33" t="e">
        <f>ROUND(SUMIF([3]RV_DATA!Z58:'[3]RV_DATA'!Z81, 743170984, [3]RV_DATA!I58:'[3]RV_DATA'!I81), 6)</f>
        <v>#REF!</v>
      </c>
      <c r="E78" s="42">
        <f>ROUND([3]RV_DATA!K64, 6)</f>
        <v>36.31</v>
      </c>
      <c r="F78" s="42" t="e">
        <f>ROUND(SUMIF([3]RV_DATA!Z58:'[3]RV_DATA'!Z81, 743170984, [3]RV_DATA!M58:'[3]RV_DATA'!M81), 6)</f>
        <v>#REF!</v>
      </c>
      <c r="Q78" s="2">
        <v>3</v>
      </c>
    </row>
    <row r="79" spans="1:17" ht="28" x14ac:dyDescent="0.3">
      <c r="A79" s="41" t="s">
        <v>160</v>
      </c>
      <c r="B79" s="32" t="s">
        <v>161</v>
      </c>
      <c r="C79" s="32" t="s">
        <v>63</v>
      </c>
      <c r="D79" s="33" t="e">
        <f>ROUND(SUMIF([3]RV_DATA!Z58:'[3]RV_DATA'!Z81, 1511949740, [3]RV_DATA!I58:'[3]RV_DATA'!I81), 6)</f>
        <v>#REF!</v>
      </c>
      <c r="E79" s="42">
        <f>ROUND([3]RV_DATA!K81, 6)</f>
        <v>2954.24</v>
      </c>
      <c r="F79" s="42" t="e">
        <f>ROUND(SUMIF([3]RV_DATA!Z58:'[3]RV_DATA'!Z81, 1511949740, [3]RV_DATA!M58:'[3]RV_DATA'!M81), 6)</f>
        <v>#REF!</v>
      </c>
      <c r="Q79" s="2">
        <v>3</v>
      </c>
    </row>
    <row r="80" spans="1:17" ht="14" x14ac:dyDescent="0.3">
      <c r="A80" s="90" t="s">
        <v>115</v>
      </c>
      <c r="B80" s="90"/>
      <c r="C80" s="90"/>
      <c r="D80" s="90"/>
      <c r="E80" s="91" t="e">
        <f>SUMIF(Q75:Q79, 3, F75:F79)</f>
        <v>#REF!</v>
      </c>
      <c r="F80" s="91"/>
    </row>
  </sheetData>
  <mergeCells count="40">
    <mergeCell ref="A24:F24"/>
    <mergeCell ref="A2:F2"/>
    <mergeCell ref="A3:F3"/>
    <mergeCell ref="A4:A6"/>
    <mergeCell ref="B4:B6"/>
    <mergeCell ref="C4:C6"/>
    <mergeCell ref="D4:D6"/>
    <mergeCell ref="E4:F5"/>
    <mergeCell ref="A8:F8"/>
    <mergeCell ref="A9:F9"/>
    <mergeCell ref="A10:F10"/>
    <mergeCell ref="A23:D23"/>
    <mergeCell ref="E23:F23"/>
    <mergeCell ref="A49:D49"/>
    <mergeCell ref="E49:F49"/>
    <mergeCell ref="A29:D29"/>
    <mergeCell ref="E29:F29"/>
    <mergeCell ref="A30:F30"/>
    <mergeCell ref="A31:F31"/>
    <mergeCell ref="A38:D38"/>
    <mergeCell ref="E38:F38"/>
    <mergeCell ref="A39:F39"/>
    <mergeCell ref="A44:D44"/>
    <mergeCell ref="E44:F44"/>
    <mergeCell ref="A45:F45"/>
    <mergeCell ref="A46:F46"/>
    <mergeCell ref="A80:D80"/>
    <mergeCell ref="E80:F80"/>
    <mergeCell ref="A50:F50"/>
    <mergeCell ref="A51:F51"/>
    <mergeCell ref="A54:D54"/>
    <mergeCell ref="E54:F54"/>
    <mergeCell ref="A55:F55"/>
    <mergeCell ref="A59:D59"/>
    <mergeCell ref="E59:F59"/>
    <mergeCell ref="A60:F60"/>
    <mergeCell ref="A61:F61"/>
    <mergeCell ref="A73:D73"/>
    <mergeCell ref="E73:F73"/>
    <mergeCell ref="A74:F74"/>
  </mergeCells>
  <pageMargins left="0.6" right="0.4" top="0.65" bottom="0.4" header="0.4" footer="0.4"/>
  <pageSetup paperSize="9" scale="85" fitToHeight="0" orientation="portrait" r:id="rId1"/>
  <headerFooter>
    <oddHeader>&amp;C&amp;P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FD95F-8F53-460B-9CA9-3105CBDEB43C}">
  <dimension ref="A1:IK354"/>
  <sheetViews>
    <sheetView topLeftCell="A310" workbookViewId="0"/>
  </sheetViews>
  <sheetFormatPr defaultColWidth="9.1796875" defaultRowHeight="12.5" x14ac:dyDescent="0.25"/>
  <cols>
    <col min="1" max="256" width="9.1796875" style="2" customWidth="1"/>
    <col min="257" max="16384" width="9.1796875" style="2"/>
  </cols>
  <sheetData>
    <row r="1" spans="1:133" x14ac:dyDescent="0.25">
      <c r="A1" s="2">
        <v>0</v>
      </c>
      <c r="B1" s="2" t="s">
        <v>162</v>
      </c>
      <c r="D1" s="2" t="s">
        <v>163</v>
      </c>
      <c r="F1" s="2">
        <v>0</v>
      </c>
      <c r="G1" s="2">
        <v>0</v>
      </c>
      <c r="H1" s="2">
        <v>0</v>
      </c>
      <c r="I1" s="2" t="s">
        <v>164</v>
      </c>
      <c r="J1" s="2" t="s">
        <v>30</v>
      </c>
      <c r="K1" s="2">
        <v>1</v>
      </c>
      <c r="L1" s="2">
        <v>53533</v>
      </c>
      <c r="M1" s="2">
        <v>10</v>
      </c>
      <c r="N1" s="2">
        <v>11</v>
      </c>
      <c r="O1" s="2">
        <v>5</v>
      </c>
      <c r="P1" s="2">
        <v>1</v>
      </c>
      <c r="Q1" s="2">
        <v>0</v>
      </c>
    </row>
    <row r="12" spans="1:133" ht="13" x14ac:dyDescent="0.3">
      <c r="A12" s="43">
        <v>1</v>
      </c>
      <c r="B12" s="43">
        <v>350</v>
      </c>
      <c r="C12" s="43">
        <v>0</v>
      </c>
      <c r="D12" s="43">
        <f>ROW(A307)</f>
        <v>307</v>
      </c>
      <c r="E12" s="43">
        <v>0</v>
      </c>
      <c r="F12" s="43" t="s">
        <v>165</v>
      </c>
      <c r="G12" s="43" t="s">
        <v>166</v>
      </c>
      <c r="H12" s="43" t="s">
        <v>30</v>
      </c>
      <c r="I12" s="43">
        <v>0</v>
      </c>
      <c r="J12" s="43" t="s">
        <v>30</v>
      </c>
      <c r="K12" s="43">
        <v>0</v>
      </c>
      <c r="L12" s="43">
        <v>0</v>
      </c>
      <c r="M12" s="43">
        <v>2</v>
      </c>
      <c r="N12" s="43"/>
      <c r="O12" s="43">
        <v>0</v>
      </c>
      <c r="P12" s="43">
        <v>0</v>
      </c>
      <c r="Q12" s="43">
        <v>0</v>
      </c>
      <c r="R12" s="43">
        <v>108</v>
      </c>
      <c r="S12" s="43"/>
      <c r="T12" s="43">
        <v>1</v>
      </c>
      <c r="U12" s="43" t="s">
        <v>30</v>
      </c>
      <c r="V12" s="43">
        <v>0</v>
      </c>
      <c r="W12" s="43" t="s">
        <v>30</v>
      </c>
      <c r="X12" s="43" t="s">
        <v>30</v>
      </c>
      <c r="Y12" s="43" t="s">
        <v>30</v>
      </c>
      <c r="Z12" s="43" t="s">
        <v>30</v>
      </c>
      <c r="AA12" s="43" t="s">
        <v>30</v>
      </c>
      <c r="AB12" s="43" t="s">
        <v>30</v>
      </c>
      <c r="AC12" s="43" t="s">
        <v>30</v>
      </c>
      <c r="AD12" s="43" t="s">
        <v>30</v>
      </c>
      <c r="AE12" s="43" t="s">
        <v>30</v>
      </c>
      <c r="AF12" s="43" t="s">
        <v>30</v>
      </c>
      <c r="AG12" s="43" t="s">
        <v>30</v>
      </c>
      <c r="AH12" s="43" t="s">
        <v>30</v>
      </c>
      <c r="AI12" s="43" t="s">
        <v>30</v>
      </c>
      <c r="AJ12" s="43" t="s">
        <v>30</v>
      </c>
      <c r="AK12" s="43"/>
      <c r="AL12" s="43" t="s">
        <v>30</v>
      </c>
      <c r="AM12" s="43" t="s">
        <v>30</v>
      </c>
      <c r="AN12" s="43" t="s">
        <v>30</v>
      </c>
      <c r="AO12" s="43"/>
      <c r="AP12" s="43" t="s">
        <v>30</v>
      </c>
      <c r="AQ12" s="43" t="s">
        <v>30</v>
      </c>
      <c r="AR12" s="43" t="s">
        <v>30</v>
      </c>
      <c r="AS12" s="43"/>
      <c r="AT12" s="43"/>
      <c r="AU12" s="43"/>
      <c r="AV12" s="43"/>
      <c r="AW12" s="43"/>
      <c r="AX12" s="43" t="s">
        <v>30</v>
      </c>
      <c r="AY12" s="43" t="s">
        <v>30</v>
      </c>
      <c r="AZ12" s="43" t="s">
        <v>30</v>
      </c>
      <c r="BA12" s="43"/>
      <c r="BB12" s="43">
        <v>0</v>
      </c>
      <c r="BC12" s="43"/>
      <c r="BD12" s="43"/>
      <c r="BE12" s="43"/>
      <c r="BF12" s="43"/>
      <c r="BG12" s="43"/>
      <c r="BH12" s="43" t="s">
        <v>167</v>
      </c>
      <c r="BI12" s="43" t="s">
        <v>168</v>
      </c>
      <c r="BJ12" s="43">
        <v>1</v>
      </c>
      <c r="BK12" s="43">
        <v>1</v>
      </c>
      <c r="BL12" s="43">
        <v>0</v>
      </c>
      <c r="BM12" s="43">
        <v>0</v>
      </c>
      <c r="BN12" s="43">
        <v>1</v>
      </c>
      <c r="BO12" s="43">
        <v>0</v>
      </c>
      <c r="BP12" s="43">
        <v>6</v>
      </c>
      <c r="BQ12" s="43">
        <v>2</v>
      </c>
      <c r="BR12" s="43">
        <v>1</v>
      </c>
      <c r="BS12" s="43">
        <v>1</v>
      </c>
      <c r="BT12" s="43">
        <v>0</v>
      </c>
      <c r="BU12" s="43">
        <v>0</v>
      </c>
      <c r="BV12" s="43">
        <v>0</v>
      </c>
      <c r="BW12" s="43">
        <v>0</v>
      </c>
      <c r="BX12" s="43">
        <v>0</v>
      </c>
      <c r="BY12" s="43" t="s">
        <v>169</v>
      </c>
      <c r="BZ12" s="43" t="s">
        <v>170</v>
      </c>
      <c r="CA12" s="43" t="s">
        <v>171</v>
      </c>
      <c r="CB12" s="43" t="s">
        <v>171</v>
      </c>
      <c r="CC12" s="43" t="s">
        <v>171</v>
      </c>
      <c r="CD12" s="43" t="s">
        <v>171</v>
      </c>
      <c r="CE12" s="43" t="s">
        <v>172</v>
      </c>
      <c r="CF12" s="43">
        <v>0</v>
      </c>
      <c r="CG12" s="43">
        <v>0</v>
      </c>
      <c r="CH12" s="43">
        <v>8</v>
      </c>
      <c r="CI12" s="43" t="s">
        <v>30</v>
      </c>
      <c r="CJ12" s="43" t="s">
        <v>30</v>
      </c>
      <c r="CK12" s="43">
        <v>0</v>
      </c>
      <c r="CL12" s="43"/>
      <c r="CM12" s="43"/>
      <c r="CN12" s="43"/>
      <c r="CO12" s="43"/>
      <c r="CP12" s="43"/>
      <c r="CQ12" s="43"/>
      <c r="CR12" s="43"/>
      <c r="CS12" s="43"/>
      <c r="CT12" s="43"/>
      <c r="CU12" s="43"/>
      <c r="CV12" s="43"/>
      <c r="CW12" s="43"/>
      <c r="CX12" s="43"/>
      <c r="CY12" s="43"/>
      <c r="CZ12" s="43"/>
      <c r="DA12" s="43"/>
      <c r="DB12" s="43"/>
      <c r="DC12" s="43"/>
      <c r="DD12" s="43"/>
      <c r="DE12" s="43"/>
      <c r="DF12" s="43"/>
      <c r="DG12" s="43"/>
      <c r="DH12" s="43"/>
      <c r="DI12" s="43"/>
      <c r="DJ12" s="43"/>
      <c r="DK12" s="43"/>
      <c r="DL12" s="43"/>
      <c r="DM12" s="43"/>
      <c r="DN12" s="43"/>
      <c r="DO12" s="43"/>
      <c r="DP12" s="43"/>
      <c r="DQ12" s="43"/>
      <c r="DR12" s="43"/>
      <c r="DS12" s="43"/>
      <c r="DT12" s="43"/>
      <c r="DU12" s="43"/>
      <c r="DV12" s="43"/>
      <c r="DW12" s="43"/>
      <c r="DX12" s="43"/>
      <c r="DY12" s="43"/>
      <c r="DZ12" s="43"/>
      <c r="EA12" s="43"/>
      <c r="EB12" s="43"/>
      <c r="EC12" s="43">
        <v>0</v>
      </c>
    </row>
    <row r="15" spans="1:133" ht="13" x14ac:dyDescent="0.3">
      <c r="A15" s="43">
        <v>15</v>
      </c>
      <c r="B15" s="43">
        <v>1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43"/>
      <c r="BX15" s="43"/>
      <c r="BY15" s="43"/>
      <c r="BZ15" s="43"/>
      <c r="CA15" s="43"/>
      <c r="CB15" s="43"/>
      <c r="CC15" s="43"/>
      <c r="CD15" s="43"/>
      <c r="CE15" s="43"/>
      <c r="CF15" s="43"/>
      <c r="CG15" s="43"/>
      <c r="CH15" s="43"/>
      <c r="CI15" s="43"/>
      <c r="CJ15" s="43"/>
      <c r="CK15" s="43"/>
      <c r="CL15" s="43"/>
      <c r="CM15" s="43"/>
      <c r="CN15" s="43"/>
      <c r="CO15" s="43"/>
      <c r="CP15" s="43"/>
      <c r="CQ15" s="43"/>
      <c r="CR15" s="43"/>
      <c r="CS15" s="43"/>
      <c r="CT15" s="43"/>
      <c r="CU15" s="43"/>
      <c r="CV15" s="43"/>
      <c r="CW15" s="43"/>
      <c r="CX15" s="43"/>
      <c r="CY15" s="43"/>
      <c r="CZ15" s="43"/>
      <c r="DA15" s="43"/>
      <c r="DB15" s="43"/>
      <c r="DC15" s="43"/>
      <c r="DD15" s="43"/>
      <c r="DE15" s="43"/>
      <c r="DF15" s="43"/>
      <c r="DG15" s="43"/>
      <c r="DH15" s="43"/>
      <c r="DI15" s="43"/>
      <c r="DJ15" s="43"/>
      <c r="DK15" s="43"/>
      <c r="DL15" s="43"/>
      <c r="DM15" s="43"/>
      <c r="DN15" s="43"/>
      <c r="DO15" s="43"/>
      <c r="DP15" s="43"/>
      <c r="DQ15" s="43"/>
      <c r="DR15" s="43"/>
      <c r="DS15" s="43"/>
      <c r="DT15" s="43"/>
      <c r="DU15" s="43"/>
      <c r="DV15" s="43"/>
      <c r="DW15" s="43"/>
      <c r="DX15" s="43"/>
      <c r="DY15" s="43"/>
      <c r="DZ15" s="43"/>
      <c r="EA15" s="43"/>
      <c r="EB15" s="43"/>
      <c r="EC15" s="43"/>
    </row>
    <row r="18" spans="1:245" ht="13" x14ac:dyDescent="0.3">
      <c r="A18" s="44">
        <v>52</v>
      </c>
      <c r="B18" s="44">
        <f t="shared" ref="B18:G18" si="0">B307</f>
        <v>350</v>
      </c>
      <c r="C18" s="44">
        <f t="shared" si="0"/>
        <v>1</v>
      </c>
      <c r="D18" s="44">
        <f t="shared" si="0"/>
        <v>12</v>
      </c>
      <c r="E18" s="44">
        <f t="shared" si="0"/>
        <v>0</v>
      </c>
      <c r="F18" s="44" t="str">
        <f t="shared" si="0"/>
        <v>Г43 в ценах 2022г.</v>
      </c>
      <c r="G18" s="44" t="str">
        <f t="shared" si="0"/>
        <v>Г19 к.1 -ремонт АБП</v>
      </c>
      <c r="H18" s="44"/>
      <c r="I18" s="44"/>
      <c r="J18" s="44"/>
      <c r="K18" s="44"/>
      <c r="L18" s="44"/>
      <c r="M18" s="44"/>
      <c r="N18" s="44"/>
      <c r="O18" s="44">
        <f t="shared" ref="O18:BZ18" si="1">O307</f>
        <v>2587724.33</v>
      </c>
      <c r="P18" s="44">
        <f t="shared" si="1"/>
        <v>1528289.97</v>
      </c>
      <c r="Q18" s="44">
        <f t="shared" si="1"/>
        <v>847440.53</v>
      </c>
      <c r="R18" s="44">
        <f t="shared" si="1"/>
        <v>426335.85</v>
      </c>
      <c r="S18" s="44">
        <f t="shared" si="1"/>
        <v>211993.83</v>
      </c>
      <c r="T18" s="44">
        <f t="shared" si="1"/>
        <v>0</v>
      </c>
      <c r="U18" s="44">
        <f t="shared" si="1"/>
        <v>967.32686149999995</v>
      </c>
      <c r="V18" s="44">
        <f t="shared" si="1"/>
        <v>0</v>
      </c>
      <c r="W18" s="44">
        <f t="shared" si="1"/>
        <v>0</v>
      </c>
      <c r="X18" s="44">
        <f t="shared" si="1"/>
        <v>148395.68</v>
      </c>
      <c r="Y18" s="44">
        <f t="shared" si="1"/>
        <v>21199.38</v>
      </c>
      <c r="Z18" s="44">
        <f t="shared" si="1"/>
        <v>0</v>
      </c>
      <c r="AA18" s="44">
        <f t="shared" si="1"/>
        <v>0</v>
      </c>
      <c r="AB18" s="44">
        <f t="shared" si="1"/>
        <v>0</v>
      </c>
      <c r="AC18" s="44">
        <f t="shared" si="1"/>
        <v>0</v>
      </c>
      <c r="AD18" s="44">
        <f t="shared" si="1"/>
        <v>0</v>
      </c>
      <c r="AE18" s="44">
        <f t="shared" si="1"/>
        <v>0</v>
      </c>
      <c r="AF18" s="44">
        <f t="shared" si="1"/>
        <v>0</v>
      </c>
      <c r="AG18" s="44">
        <f t="shared" si="1"/>
        <v>0</v>
      </c>
      <c r="AH18" s="44">
        <f t="shared" si="1"/>
        <v>0</v>
      </c>
      <c r="AI18" s="44">
        <f t="shared" si="1"/>
        <v>0</v>
      </c>
      <c r="AJ18" s="44">
        <f t="shared" si="1"/>
        <v>0</v>
      </c>
      <c r="AK18" s="44">
        <f t="shared" si="1"/>
        <v>0</v>
      </c>
      <c r="AL18" s="44">
        <f t="shared" si="1"/>
        <v>0</v>
      </c>
      <c r="AM18" s="44">
        <f t="shared" si="1"/>
        <v>0</v>
      </c>
      <c r="AN18" s="44">
        <f t="shared" si="1"/>
        <v>0</v>
      </c>
      <c r="AO18" s="44">
        <f t="shared" si="1"/>
        <v>0</v>
      </c>
      <c r="AP18" s="44">
        <f t="shared" si="1"/>
        <v>0</v>
      </c>
      <c r="AQ18" s="44">
        <f t="shared" si="1"/>
        <v>0</v>
      </c>
      <c r="AR18" s="44">
        <f t="shared" si="1"/>
        <v>2858463.37</v>
      </c>
      <c r="AS18" s="44">
        <f t="shared" si="1"/>
        <v>0</v>
      </c>
      <c r="AT18" s="44">
        <f t="shared" si="1"/>
        <v>0</v>
      </c>
      <c r="AU18" s="44">
        <f t="shared" si="1"/>
        <v>2858463.37</v>
      </c>
      <c r="AV18" s="44">
        <f t="shared" si="1"/>
        <v>1528289.97</v>
      </c>
      <c r="AW18" s="44">
        <f t="shared" si="1"/>
        <v>1528289.97</v>
      </c>
      <c r="AX18" s="44">
        <f t="shared" si="1"/>
        <v>0</v>
      </c>
      <c r="AY18" s="44">
        <f t="shared" si="1"/>
        <v>1528289.97</v>
      </c>
      <c r="AZ18" s="44">
        <f t="shared" si="1"/>
        <v>0</v>
      </c>
      <c r="BA18" s="44">
        <f t="shared" si="1"/>
        <v>0</v>
      </c>
      <c r="BB18" s="44">
        <f t="shared" si="1"/>
        <v>0</v>
      </c>
      <c r="BC18" s="44">
        <f t="shared" si="1"/>
        <v>0</v>
      </c>
      <c r="BD18" s="44">
        <f t="shared" si="1"/>
        <v>0</v>
      </c>
      <c r="BE18" s="44">
        <f t="shared" si="1"/>
        <v>0</v>
      </c>
      <c r="BF18" s="44">
        <f t="shared" si="1"/>
        <v>0</v>
      </c>
      <c r="BG18" s="44">
        <f t="shared" si="1"/>
        <v>0</v>
      </c>
      <c r="BH18" s="44">
        <f t="shared" si="1"/>
        <v>0</v>
      </c>
      <c r="BI18" s="44">
        <f t="shared" si="1"/>
        <v>0</v>
      </c>
      <c r="BJ18" s="44">
        <f t="shared" si="1"/>
        <v>0</v>
      </c>
      <c r="BK18" s="44">
        <f t="shared" si="1"/>
        <v>0</v>
      </c>
      <c r="BL18" s="44">
        <f t="shared" si="1"/>
        <v>0</v>
      </c>
      <c r="BM18" s="44">
        <f t="shared" si="1"/>
        <v>0</v>
      </c>
      <c r="BN18" s="44">
        <f t="shared" si="1"/>
        <v>0</v>
      </c>
      <c r="BO18" s="44">
        <f t="shared" si="1"/>
        <v>0</v>
      </c>
      <c r="BP18" s="44">
        <f t="shared" si="1"/>
        <v>0</v>
      </c>
      <c r="BQ18" s="44">
        <f t="shared" si="1"/>
        <v>0</v>
      </c>
      <c r="BR18" s="44">
        <f t="shared" si="1"/>
        <v>0</v>
      </c>
      <c r="BS18" s="44">
        <f t="shared" si="1"/>
        <v>0</v>
      </c>
      <c r="BT18" s="44">
        <f t="shared" si="1"/>
        <v>0</v>
      </c>
      <c r="BU18" s="44">
        <f t="shared" si="1"/>
        <v>0</v>
      </c>
      <c r="BV18" s="44">
        <f t="shared" si="1"/>
        <v>0</v>
      </c>
      <c r="BW18" s="44">
        <f t="shared" si="1"/>
        <v>0</v>
      </c>
      <c r="BX18" s="44">
        <f t="shared" si="1"/>
        <v>0</v>
      </c>
      <c r="BY18" s="44">
        <f t="shared" si="1"/>
        <v>0</v>
      </c>
      <c r="BZ18" s="44">
        <f t="shared" si="1"/>
        <v>0</v>
      </c>
      <c r="CA18" s="44">
        <f t="shared" ref="CA18:EL18" si="2">CA307</f>
        <v>0</v>
      </c>
      <c r="CB18" s="44">
        <f t="shared" si="2"/>
        <v>0</v>
      </c>
      <c r="CC18" s="44">
        <f t="shared" si="2"/>
        <v>0</v>
      </c>
      <c r="CD18" s="44">
        <f t="shared" si="2"/>
        <v>0</v>
      </c>
      <c r="CE18" s="44">
        <f t="shared" si="2"/>
        <v>0</v>
      </c>
      <c r="CF18" s="44">
        <f t="shared" si="2"/>
        <v>0</v>
      </c>
      <c r="CG18" s="44">
        <f t="shared" si="2"/>
        <v>0</v>
      </c>
      <c r="CH18" s="44">
        <f t="shared" si="2"/>
        <v>0</v>
      </c>
      <c r="CI18" s="44">
        <f t="shared" si="2"/>
        <v>0</v>
      </c>
      <c r="CJ18" s="44">
        <f t="shared" si="2"/>
        <v>0</v>
      </c>
      <c r="CK18" s="44">
        <f t="shared" si="2"/>
        <v>0</v>
      </c>
      <c r="CL18" s="44">
        <f t="shared" si="2"/>
        <v>0</v>
      </c>
      <c r="CM18" s="44">
        <f t="shared" si="2"/>
        <v>0</v>
      </c>
      <c r="CN18" s="44">
        <f t="shared" si="2"/>
        <v>0</v>
      </c>
      <c r="CO18" s="44">
        <f t="shared" si="2"/>
        <v>0</v>
      </c>
      <c r="CP18" s="44">
        <f t="shared" si="2"/>
        <v>0</v>
      </c>
      <c r="CQ18" s="44">
        <f t="shared" si="2"/>
        <v>0</v>
      </c>
      <c r="CR18" s="44">
        <f t="shared" si="2"/>
        <v>0</v>
      </c>
      <c r="CS18" s="44">
        <f t="shared" si="2"/>
        <v>0</v>
      </c>
      <c r="CT18" s="44">
        <f t="shared" si="2"/>
        <v>0</v>
      </c>
      <c r="CU18" s="44">
        <f t="shared" si="2"/>
        <v>0</v>
      </c>
      <c r="CV18" s="44">
        <f t="shared" si="2"/>
        <v>0</v>
      </c>
      <c r="CW18" s="44">
        <f t="shared" si="2"/>
        <v>0</v>
      </c>
      <c r="CX18" s="44">
        <f t="shared" si="2"/>
        <v>0</v>
      </c>
      <c r="CY18" s="44">
        <f t="shared" si="2"/>
        <v>0</v>
      </c>
      <c r="CZ18" s="44">
        <f t="shared" si="2"/>
        <v>0</v>
      </c>
      <c r="DA18" s="44">
        <f t="shared" si="2"/>
        <v>0</v>
      </c>
      <c r="DB18" s="44">
        <f t="shared" si="2"/>
        <v>0</v>
      </c>
      <c r="DC18" s="44">
        <f t="shared" si="2"/>
        <v>0</v>
      </c>
      <c r="DD18" s="44">
        <f t="shared" si="2"/>
        <v>0</v>
      </c>
      <c r="DE18" s="44">
        <f t="shared" si="2"/>
        <v>0</v>
      </c>
      <c r="DF18" s="44">
        <f t="shared" si="2"/>
        <v>0</v>
      </c>
      <c r="DG18" s="45">
        <f t="shared" si="2"/>
        <v>0</v>
      </c>
      <c r="DH18" s="45">
        <f t="shared" si="2"/>
        <v>0</v>
      </c>
      <c r="DI18" s="45">
        <f t="shared" si="2"/>
        <v>0</v>
      </c>
      <c r="DJ18" s="45">
        <f t="shared" si="2"/>
        <v>0</v>
      </c>
      <c r="DK18" s="45">
        <f t="shared" si="2"/>
        <v>0</v>
      </c>
      <c r="DL18" s="45">
        <f t="shared" si="2"/>
        <v>0</v>
      </c>
      <c r="DM18" s="45">
        <f t="shared" si="2"/>
        <v>0</v>
      </c>
      <c r="DN18" s="45">
        <f t="shared" si="2"/>
        <v>0</v>
      </c>
      <c r="DO18" s="45">
        <f t="shared" si="2"/>
        <v>0</v>
      </c>
      <c r="DP18" s="45">
        <f t="shared" si="2"/>
        <v>0</v>
      </c>
      <c r="DQ18" s="45">
        <f t="shared" si="2"/>
        <v>0</v>
      </c>
      <c r="DR18" s="45">
        <f t="shared" si="2"/>
        <v>0</v>
      </c>
      <c r="DS18" s="45">
        <f t="shared" si="2"/>
        <v>0</v>
      </c>
      <c r="DT18" s="45">
        <f t="shared" si="2"/>
        <v>0</v>
      </c>
      <c r="DU18" s="45">
        <f t="shared" si="2"/>
        <v>0</v>
      </c>
      <c r="DV18" s="45">
        <f t="shared" si="2"/>
        <v>0</v>
      </c>
      <c r="DW18" s="45">
        <f t="shared" si="2"/>
        <v>0</v>
      </c>
      <c r="DX18" s="45">
        <f t="shared" si="2"/>
        <v>0</v>
      </c>
      <c r="DY18" s="45">
        <f t="shared" si="2"/>
        <v>0</v>
      </c>
      <c r="DZ18" s="45">
        <f t="shared" si="2"/>
        <v>0</v>
      </c>
      <c r="EA18" s="45">
        <f t="shared" si="2"/>
        <v>0</v>
      </c>
      <c r="EB18" s="45">
        <f t="shared" si="2"/>
        <v>0</v>
      </c>
      <c r="EC18" s="45">
        <f t="shared" si="2"/>
        <v>0</v>
      </c>
      <c r="ED18" s="45">
        <f t="shared" si="2"/>
        <v>0</v>
      </c>
      <c r="EE18" s="45">
        <f t="shared" si="2"/>
        <v>0</v>
      </c>
      <c r="EF18" s="45">
        <f t="shared" si="2"/>
        <v>0</v>
      </c>
      <c r="EG18" s="45">
        <f t="shared" si="2"/>
        <v>0</v>
      </c>
      <c r="EH18" s="45">
        <f t="shared" si="2"/>
        <v>0</v>
      </c>
      <c r="EI18" s="45">
        <f t="shared" si="2"/>
        <v>0</v>
      </c>
      <c r="EJ18" s="45">
        <f t="shared" si="2"/>
        <v>0</v>
      </c>
      <c r="EK18" s="45">
        <f t="shared" si="2"/>
        <v>0</v>
      </c>
      <c r="EL18" s="45">
        <f t="shared" si="2"/>
        <v>0</v>
      </c>
      <c r="EM18" s="45">
        <f t="shared" ref="EM18:GX18" si="3">EM307</f>
        <v>0</v>
      </c>
      <c r="EN18" s="45">
        <f t="shared" si="3"/>
        <v>0</v>
      </c>
      <c r="EO18" s="45">
        <f t="shared" si="3"/>
        <v>0</v>
      </c>
      <c r="EP18" s="45">
        <f t="shared" si="3"/>
        <v>0</v>
      </c>
      <c r="EQ18" s="45">
        <f t="shared" si="3"/>
        <v>0</v>
      </c>
      <c r="ER18" s="45">
        <f t="shared" si="3"/>
        <v>0</v>
      </c>
      <c r="ES18" s="45">
        <f t="shared" si="3"/>
        <v>0</v>
      </c>
      <c r="ET18" s="45">
        <f t="shared" si="3"/>
        <v>0</v>
      </c>
      <c r="EU18" s="45">
        <f t="shared" si="3"/>
        <v>0</v>
      </c>
      <c r="EV18" s="45">
        <f t="shared" si="3"/>
        <v>0</v>
      </c>
      <c r="EW18" s="45">
        <f t="shared" si="3"/>
        <v>0</v>
      </c>
      <c r="EX18" s="45">
        <f t="shared" si="3"/>
        <v>0</v>
      </c>
      <c r="EY18" s="45">
        <f t="shared" si="3"/>
        <v>0</v>
      </c>
      <c r="EZ18" s="45">
        <f t="shared" si="3"/>
        <v>0</v>
      </c>
      <c r="FA18" s="45">
        <f t="shared" si="3"/>
        <v>0</v>
      </c>
      <c r="FB18" s="45">
        <f t="shared" si="3"/>
        <v>0</v>
      </c>
      <c r="FC18" s="45">
        <f t="shared" si="3"/>
        <v>0</v>
      </c>
      <c r="FD18" s="45">
        <f t="shared" si="3"/>
        <v>0</v>
      </c>
      <c r="FE18" s="45">
        <f t="shared" si="3"/>
        <v>0</v>
      </c>
      <c r="FF18" s="45">
        <f t="shared" si="3"/>
        <v>0</v>
      </c>
      <c r="FG18" s="45">
        <f t="shared" si="3"/>
        <v>0</v>
      </c>
      <c r="FH18" s="45">
        <f t="shared" si="3"/>
        <v>0</v>
      </c>
      <c r="FI18" s="45">
        <f t="shared" si="3"/>
        <v>0</v>
      </c>
      <c r="FJ18" s="45">
        <f t="shared" si="3"/>
        <v>0</v>
      </c>
      <c r="FK18" s="45">
        <f t="shared" si="3"/>
        <v>0</v>
      </c>
      <c r="FL18" s="45">
        <f t="shared" si="3"/>
        <v>0</v>
      </c>
      <c r="FM18" s="45">
        <f t="shared" si="3"/>
        <v>0</v>
      </c>
      <c r="FN18" s="45">
        <f t="shared" si="3"/>
        <v>0</v>
      </c>
      <c r="FO18" s="45">
        <f t="shared" si="3"/>
        <v>0</v>
      </c>
      <c r="FP18" s="45">
        <f t="shared" si="3"/>
        <v>0</v>
      </c>
      <c r="FQ18" s="45">
        <f t="shared" si="3"/>
        <v>0</v>
      </c>
      <c r="FR18" s="45">
        <f t="shared" si="3"/>
        <v>0</v>
      </c>
      <c r="FS18" s="45">
        <f t="shared" si="3"/>
        <v>0</v>
      </c>
      <c r="FT18" s="45">
        <f t="shared" si="3"/>
        <v>0</v>
      </c>
      <c r="FU18" s="45">
        <f t="shared" si="3"/>
        <v>0</v>
      </c>
      <c r="FV18" s="45">
        <f t="shared" si="3"/>
        <v>0</v>
      </c>
      <c r="FW18" s="45">
        <f t="shared" si="3"/>
        <v>0</v>
      </c>
      <c r="FX18" s="45">
        <f t="shared" si="3"/>
        <v>0</v>
      </c>
      <c r="FY18" s="45">
        <f t="shared" si="3"/>
        <v>0</v>
      </c>
      <c r="FZ18" s="45">
        <f t="shared" si="3"/>
        <v>0</v>
      </c>
      <c r="GA18" s="45">
        <f t="shared" si="3"/>
        <v>0</v>
      </c>
      <c r="GB18" s="45">
        <f t="shared" si="3"/>
        <v>0</v>
      </c>
      <c r="GC18" s="45">
        <f t="shared" si="3"/>
        <v>0</v>
      </c>
      <c r="GD18" s="45">
        <f t="shared" si="3"/>
        <v>0</v>
      </c>
      <c r="GE18" s="45">
        <f t="shared" si="3"/>
        <v>0</v>
      </c>
      <c r="GF18" s="45">
        <f t="shared" si="3"/>
        <v>0</v>
      </c>
      <c r="GG18" s="45">
        <f t="shared" si="3"/>
        <v>0</v>
      </c>
      <c r="GH18" s="45">
        <f t="shared" si="3"/>
        <v>0</v>
      </c>
      <c r="GI18" s="45">
        <f t="shared" si="3"/>
        <v>0</v>
      </c>
      <c r="GJ18" s="45">
        <f t="shared" si="3"/>
        <v>0</v>
      </c>
      <c r="GK18" s="45">
        <f t="shared" si="3"/>
        <v>0</v>
      </c>
      <c r="GL18" s="45">
        <f t="shared" si="3"/>
        <v>0</v>
      </c>
      <c r="GM18" s="45">
        <f t="shared" si="3"/>
        <v>0</v>
      </c>
      <c r="GN18" s="45">
        <f t="shared" si="3"/>
        <v>0</v>
      </c>
      <c r="GO18" s="45">
        <f t="shared" si="3"/>
        <v>0</v>
      </c>
      <c r="GP18" s="45">
        <f t="shared" si="3"/>
        <v>0</v>
      </c>
      <c r="GQ18" s="45">
        <f t="shared" si="3"/>
        <v>0</v>
      </c>
      <c r="GR18" s="45">
        <f t="shared" si="3"/>
        <v>0</v>
      </c>
      <c r="GS18" s="45">
        <f t="shared" si="3"/>
        <v>0</v>
      </c>
      <c r="GT18" s="45">
        <f t="shared" si="3"/>
        <v>0</v>
      </c>
      <c r="GU18" s="45">
        <f t="shared" si="3"/>
        <v>0</v>
      </c>
      <c r="GV18" s="45">
        <f t="shared" si="3"/>
        <v>0</v>
      </c>
      <c r="GW18" s="45">
        <f t="shared" si="3"/>
        <v>0</v>
      </c>
      <c r="GX18" s="45">
        <f t="shared" si="3"/>
        <v>0</v>
      </c>
    </row>
    <row r="20" spans="1:245" ht="13" x14ac:dyDescent="0.3">
      <c r="A20" s="43">
        <v>3</v>
      </c>
      <c r="B20" s="43">
        <v>1</v>
      </c>
      <c r="C20" s="43"/>
      <c r="D20" s="43">
        <f>ROW(A267)</f>
        <v>267</v>
      </c>
      <c r="E20" s="43"/>
      <c r="F20" s="43" t="s">
        <v>173</v>
      </c>
      <c r="G20" s="43" t="s">
        <v>173</v>
      </c>
      <c r="H20" s="43" t="s">
        <v>30</v>
      </c>
      <c r="I20" s="43">
        <v>0</v>
      </c>
      <c r="J20" s="43" t="s">
        <v>30</v>
      </c>
      <c r="K20" s="43">
        <v>0</v>
      </c>
      <c r="L20" s="43" t="s">
        <v>30</v>
      </c>
      <c r="M20" s="43" t="s">
        <v>30</v>
      </c>
      <c r="N20" s="43"/>
      <c r="O20" s="43"/>
      <c r="P20" s="43"/>
      <c r="Q20" s="43"/>
      <c r="R20" s="43"/>
      <c r="S20" s="43">
        <v>0</v>
      </c>
      <c r="T20" s="43"/>
      <c r="U20" s="43" t="s">
        <v>30</v>
      </c>
      <c r="V20" s="43">
        <v>0</v>
      </c>
      <c r="W20" s="43"/>
      <c r="X20" s="43"/>
      <c r="Y20" s="43"/>
      <c r="Z20" s="43"/>
      <c r="AA20" s="43"/>
      <c r="AB20" s="43" t="s">
        <v>30</v>
      </c>
      <c r="AC20" s="43" t="s">
        <v>30</v>
      </c>
      <c r="AD20" s="43" t="s">
        <v>30</v>
      </c>
      <c r="AE20" s="43" t="s">
        <v>30</v>
      </c>
      <c r="AF20" s="43" t="s">
        <v>30</v>
      </c>
      <c r="AG20" s="43" t="s">
        <v>30</v>
      </c>
      <c r="AH20" s="43"/>
      <c r="AI20" s="43"/>
      <c r="AJ20" s="43"/>
      <c r="AK20" s="43"/>
      <c r="AL20" s="43"/>
      <c r="AM20" s="43"/>
      <c r="AN20" s="43"/>
      <c r="AO20" s="43"/>
      <c r="AP20" s="43" t="s">
        <v>30</v>
      </c>
      <c r="AQ20" s="43" t="s">
        <v>30</v>
      </c>
      <c r="AR20" s="43" t="s">
        <v>30</v>
      </c>
      <c r="AS20" s="43"/>
      <c r="AT20" s="43"/>
      <c r="AU20" s="43"/>
      <c r="AV20" s="43"/>
      <c r="AW20" s="43"/>
      <c r="AX20" s="43"/>
      <c r="AY20" s="43"/>
      <c r="AZ20" s="43" t="s">
        <v>30</v>
      </c>
      <c r="BA20" s="43"/>
      <c r="BB20" s="43" t="s">
        <v>30</v>
      </c>
      <c r="BC20" s="43" t="s">
        <v>30</v>
      </c>
      <c r="BD20" s="43" t="s">
        <v>30</v>
      </c>
      <c r="BE20" s="43" t="s">
        <v>30</v>
      </c>
      <c r="BF20" s="43" t="s">
        <v>30</v>
      </c>
      <c r="BG20" s="43" t="s">
        <v>30</v>
      </c>
      <c r="BH20" s="43" t="s">
        <v>30</v>
      </c>
      <c r="BI20" s="43" t="s">
        <v>30</v>
      </c>
      <c r="BJ20" s="43" t="s">
        <v>30</v>
      </c>
      <c r="BK20" s="43" t="s">
        <v>30</v>
      </c>
      <c r="BL20" s="43" t="s">
        <v>30</v>
      </c>
      <c r="BM20" s="43" t="s">
        <v>30</v>
      </c>
      <c r="BN20" s="43" t="s">
        <v>30</v>
      </c>
      <c r="BO20" s="43" t="s">
        <v>30</v>
      </c>
      <c r="BP20" s="43" t="s">
        <v>30</v>
      </c>
      <c r="BQ20" s="43"/>
      <c r="BR20" s="43"/>
      <c r="BS20" s="43"/>
      <c r="BT20" s="43"/>
      <c r="BU20" s="43"/>
      <c r="BV20" s="43"/>
      <c r="BW20" s="43"/>
      <c r="BX20" s="43">
        <v>0</v>
      </c>
      <c r="BY20" s="43"/>
      <c r="BZ20" s="43"/>
      <c r="CA20" s="43"/>
      <c r="CB20" s="43"/>
      <c r="CC20" s="43"/>
      <c r="CD20" s="43"/>
      <c r="CE20" s="43"/>
      <c r="CF20" s="43">
        <v>0</v>
      </c>
      <c r="CG20" s="43">
        <v>0</v>
      </c>
      <c r="CH20" s="43"/>
      <c r="CI20" s="43" t="s">
        <v>30</v>
      </c>
      <c r="CJ20" s="43" t="s">
        <v>30</v>
      </c>
      <c r="CK20" s="2" t="s">
        <v>30</v>
      </c>
      <c r="CL20" s="2" t="s">
        <v>30</v>
      </c>
      <c r="CM20" s="2" t="s">
        <v>30</v>
      </c>
      <c r="CN20" s="2" t="s">
        <v>30</v>
      </c>
      <c r="CO20" s="2" t="s">
        <v>30</v>
      </c>
      <c r="CP20" s="2" t="s">
        <v>30</v>
      </c>
      <c r="CQ20" s="2" t="s">
        <v>30</v>
      </c>
    </row>
    <row r="22" spans="1:245" ht="13" x14ac:dyDescent="0.3">
      <c r="A22" s="44">
        <v>52</v>
      </c>
      <c r="B22" s="44">
        <f t="shared" ref="B22:G22" si="4">B267</f>
        <v>1</v>
      </c>
      <c r="C22" s="44">
        <f t="shared" si="4"/>
        <v>3</v>
      </c>
      <c r="D22" s="44">
        <f t="shared" si="4"/>
        <v>20</v>
      </c>
      <c r="E22" s="44">
        <f t="shared" si="4"/>
        <v>0</v>
      </c>
      <c r="F22" s="44" t="str">
        <f t="shared" si="4"/>
        <v>Новая локальная смета</v>
      </c>
      <c r="G22" s="44" t="str">
        <f t="shared" si="4"/>
        <v>Новая локальная смета</v>
      </c>
      <c r="H22" s="44"/>
      <c r="I22" s="44"/>
      <c r="J22" s="44"/>
      <c r="K22" s="44"/>
      <c r="L22" s="44"/>
      <c r="M22" s="44"/>
      <c r="N22" s="44"/>
      <c r="O22" s="44">
        <f t="shared" ref="O22:BZ22" si="5">O267</f>
        <v>2587724.33</v>
      </c>
      <c r="P22" s="44">
        <f t="shared" si="5"/>
        <v>1528289.97</v>
      </c>
      <c r="Q22" s="44">
        <f t="shared" si="5"/>
        <v>847440.53</v>
      </c>
      <c r="R22" s="44">
        <f t="shared" si="5"/>
        <v>426335.85</v>
      </c>
      <c r="S22" s="44">
        <f t="shared" si="5"/>
        <v>211993.83</v>
      </c>
      <c r="T22" s="44">
        <f t="shared" si="5"/>
        <v>0</v>
      </c>
      <c r="U22" s="44">
        <f t="shared" si="5"/>
        <v>967.32686149999995</v>
      </c>
      <c r="V22" s="44">
        <f t="shared" si="5"/>
        <v>0</v>
      </c>
      <c r="W22" s="44">
        <f t="shared" si="5"/>
        <v>0</v>
      </c>
      <c r="X22" s="44">
        <f t="shared" si="5"/>
        <v>148395.68</v>
      </c>
      <c r="Y22" s="44">
        <f t="shared" si="5"/>
        <v>21199.38</v>
      </c>
      <c r="Z22" s="44">
        <f t="shared" si="5"/>
        <v>0</v>
      </c>
      <c r="AA22" s="44">
        <f t="shared" si="5"/>
        <v>0</v>
      </c>
      <c r="AB22" s="44">
        <f t="shared" si="5"/>
        <v>0</v>
      </c>
      <c r="AC22" s="44">
        <f t="shared" si="5"/>
        <v>0</v>
      </c>
      <c r="AD22" s="44">
        <f t="shared" si="5"/>
        <v>0</v>
      </c>
      <c r="AE22" s="44">
        <f t="shared" si="5"/>
        <v>0</v>
      </c>
      <c r="AF22" s="44">
        <f t="shared" si="5"/>
        <v>0</v>
      </c>
      <c r="AG22" s="44">
        <f t="shared" si="5"/>
        <v>0</v>
      </c>
      <c r="AH22" s="44">
        <f t="shared" si="5"/>
        <v>0</v>
      </c>
      <c r="AI22" s="44">
        <f t="shared" si="5"/>
        <v>0</v>
      </c>
      <c r="AJ22" s="44">
        <f t="shared" si="5"/>
        <v>0</v>
      </c>
      <c r="AK22" s="44">
        <f t="shared" si="5"/>
        <v>0</v>
      </c>
      <c r="AL22" s="44">
        <f t="shared" si="5"/>
        <v>0</v>
      </c>
      <c r="AM22" s="44">
        <f t="shared" si="5"/>
        <v>0</v>
      </c>
      <c r="AN22" s="44">
        <f t="shared" si="5"/>
        <v>0</v>
      </c>
      <c r="AO22" s="44">
        <f t="shared" si="5"/>
        <v>0</v>
      </c>
      <c r="AP22" s="44">
        <f t="shared" si="5"/>
        <v>0</v>
      </c>
      <c r="AQ22" s="44">
        <f t="shared" si="5"/>
        <v>0</v>
      </c>
      <c r="AR22" s="44">
        <f t="shared" si="5"/>
        <v>2858463.37</v>
      </c>
      <c r="AS22" s="44">
        <f t="shared" si="5"/>
        <v>0</v>
      </c>
      <c r="AT22" s="44">
        <f t="shared" si="5"/>
        <v>0</v>
      </c>
      <c r="AU22" s="44">
        <f t="shared" si="5"/>
        <v>2858463.37</v>
      </c>
      <c r="AV22" s="44">
        <f t="shared" si="5"/>
        <v>1528289.97</v>
      </c>
      <c r="AW22" s="44">
        <f t="shared" si="5"/>
        <v>1528289.97</v>
      </c>
      <c r="AX22" s="44">
        <f t="shared" si="5"/>
        <v>0</v>
      </c>
      <c r="AY22" s="44">
        <f t="shared" si="5"/>
        <v>1528289.97</v>
      </c>
      <c r="AZ22" s="44">
        <f t="shared" si="5"/>
        <v>0</v>
      </c>
      <c r="BA22" s="44">
        <f t="shared" si="5"/>
        <v>0</v>
      </c>
      <c r="BB22" s="44">
        <f t="shared" si="5"/>
        <v>0</v>
      </c>
      <c r="BC22" s="44">
        <f t="shared" si="5"/>
        <v>0</v>
      </c>
      <c r="BD22" s="44">
        <f t="shared" si="5"/>
        <v>0</v>
      </c>
      <c r="BE22" s="44">
        <f t="shared" si="5"/>
        <v>0</v>
      </c>
      <c r="BF22" s="44">
        <f t="shared" si="5"/>
        <v>0</v>
      </c>
      <c r="BG22" s="44">
        <f t="shared" si="5"/>
        <v>0</v>
      </c>
      <c r="BH22" s="44">
        <f t="shared" si="5"/>
        <v>0</v>
      </c>
      <c r="BI22" s="44">
        <f t="shared" si="5"/>
        <v>0</v>
      </c>
      <c r="BJ22" s="44">
        <f t="shared" si="5"/>
        <v>0</v>
      </c>
      <c r="BK22" s="44">
        <f t="shared" si="5"/>
        <v>0</v>
      </c>
      <c r="BL22" s="44">
        <f t="shared" si="5"/>
        <v>0</v>
      </c>
      <c r="BM22" s="44">
        <f t="shared" si="5"/>
        <v>0</v>
      </c>
      <c r="BN22" s="44">
        <f t="shared" si="5"/>
        <v>0</v>
      </c>
      <c r="BO22" s="44">
        <f t="shared" si="5"/>
        <v>0</v>
      </c>
      <c r="BP22" s="44">
        <f t="shared" si="5"/>
        <v>0</v>
      </c>
      <c r="BQ22" s="44">
        <f t="shared" si="5"/>
        <v>0</v>
      </c>
      <c r="BR22" s="44">
        <f t="shared" si="5"/>
        <v>0</v>
      </c>
      <c r="BS22" s="44">
        <f t="shared" si="5"/>
        <v>0</v>
      </c>
      <c r="BT22" s="44">
        <f t="shared" si="5"/>
        <v>0</v>
      </c>
      <c r="BU22" s="44">
        <f t="shared" si="5"/>
        <v>0</v>
      </c>
      <c r="BV22" s="44">
        <f t="shared" si="5"/>
        <v>0</v>
      </c>
      <c r="BW22" s="44">
        <f t="shared" si="5"/>
        <v>0</v>
      </c>
      <c r="BX22" s="44">
        <f t="shared" si="5"/>
        <v>0</v>
      </c>
      <c r="BY22" s="44">
        <f t="shared" si="5"/>
        <v>0</v>
      </c>
      <c r="BZ22" s="44">
        <f t="shared" si="5"/>
        <v>0</v>
      </c>
      <c r="CA22" s="44">
        <f t="shared" ref="CA22:EL22" si="6">CA267</f>
        <v>0</v>
      </c>
      <c r="CB22" s="44">
        <f t="shared" si="6"/>
        <v>0</v>
      </c>
      <c r="CC22" s="44">
        <f t="shared" si="6"/>
        <v>0</v>
      </c>
      <c r="CD22" s="44">
        <f t="shared" si="6"/>
        <v>0</v>
      </c>
      <c r="CE22" s="44">
        <f t="shared" si="6"/>
        <v>0</v>
      </c>
      <c r="CF22" s="44">
        <f t="shared" si="6"/>
        <v>0</v>
      </c>
      <c r="CG22" s="44">
        <f t="shared" si="6"/>
        <v>0</v>
      </c>
      <c r="CH22" s="44">
        <f t="shared" si="6"/>
        <v>0</v>
      </c>
      <c r="CI22" s="44">
        <f t="shared" si="6"/>
        <v>0</v>
      </c>
      <c r="CJ22" s="44">
        <f t="shared" si="6"/>
        <v>0</v>
      </c>
      <c r="CK22" s="44">
        <f t="shared" si="6"/>
        <v>0</v>
      </c>
      <c r="CL22" s="44">
        <f t="shared" si="6"/>
        <v>0</v>
      </c>
      <c r="CM22" s="44">
        <f t="shared" si="6"/>
        <v>0</v>
      </c>
      <c r="CN22" s="44">
        <f t="shared" si="6"/>
        <v>0</v>
      </c>
      <c r="CO22" s="44">
        <f t="shared" si="6"/>
        <v>0</v>
      </c>
      <c r="CP22" s="44">
        <f t="shared" si="6"/>
        <v>0</v>
      </c>
      <c r="CQ22" s="44">
        <f t="shared" si="6"/>
        <v>0</v>
      </c>
      <c r="CR22" s="44">
        <f t="shared" si="6"/>
        <v>0</v>
      </c>
      <c r="CS22" s="44">
        <f t="shared" si="6"/>
        <v>0</v>
      </c>
      <c r="CT22" s="44">
        <f t="shared" si="6"/>
        <v>0</v>
      </c>
      <c r="CU22" s="44">
        <f t="shared" si="6"/>
        <v>0</v>
      </c>
      <c r="CV22" s="44">
        <f t="shared" si="6"/>
        <v>0</v>
      </c>
      <c r="CW22" s="44">
        <f t="shared" si="6"/>
        <v>0</v>
      </c>
      <c r="CX22" s="44">
        <f t="shared" si="6"/>
        <v>0</v>
      </c>
      <c r="CY22" s="44">
        <f t="shared" si="6"/>
        <v>0</v>
      </c>
      <c r="CZ22" s="44">
        <f t="shared" si="6"/>
        <v>0</v>
      </c>
      <c r="DA22" s="44">
        <f t="shared" si="6"/>
        <v>0</v>
      </c>
      <c r="DB22" s="44">
        <f t="shared" si="6"/>
        <v>0</v>
      </c>
      <c r="DC22" s="44">
        <f t="shared" si="6"/>
        <v>0</v>
      </c>
      <c r="DD22" s="44">
        <f t="shared" si="6"/>
        <v>0</v>
      </c>
      <c r="DE22" s="44">
        <f t="shared" si="6"/>
        <v>0</v>
      </c>
      <c r="DF22" s="44">
        <f t="shared" si="6"/>
        <v>0</v>
      </c>
      <c r="DG22" s="45">
        <f t="shared" si="6"/>
        <v>0</v>
      </c>
      <c r="DH22" s="45">
        <f t="shared" si="6"/>
        <v>0</v>
      </c>
      <c r="DI22" s="45">
        <f t="shared" si="6"/>
        <v>0</v>
      </c>
      <c r="DJ22" s="45">
        <f t="shared" si="6"/>
        <v>0</v>
      </c>
      <c r="DK22" s="45">
        <f t="shared" si="6"/>
        <v>0</v>
      </c>
      <c r="DL22" s="45">
        <f t="shared" si="6"/>
        <v>0</v>
      </c>
      <c r="DM22" s="45">
        <f t="shared" si="6"/>
        <v>0</v>
      </c>
      <c r="DN22" s="45">
        <f t="shared" si="6"/>
        <v>0</v>
      </c>
      <c r="DO22" s="45">
        <f t="shared" si="6"/>
        <v>0</v>
      </c>
      <c r="DP22" s="45">
        <f t="shared" si="6"/>
        <v>0</v>
      </c>
      <c r="DQ22" s="45">
        <f t="shared" si="6"/>
        <v>0</v>
      </c>
      <c r="DR22" s="45">
        <f t="shared" si="6"/>
        <v>0</v>
      </c>
      <c r="DS22" s="45">
        <f t="shared" si="6"/>
        <v>0</v>
      </c>
      <c r="DT22" s="45">
        <f t="shared" si="6"/>
        <v>0</v>
      </c>
      <c r="DU22" s="45">
        <f t="shared" si="6"/>
        <v>0</v>
      </c>
      <c r="DV22" s="45">
        <f t="shared" si="6"/>
        <v>0</v>
      </c>
      <c r="DW22" s="45">
        <f t="shared" si="6"/>
        <v>0</v>
      </c>
      <c r="DX22" s="45">
        <f t="shared" si="6"/>
        <v>0</v>
      </c>
      <c r="DY22" s="45">
        <f t="shared" si="6"/>
        <v>0</v>
      </c>
      <c r="DZ22" s="45">
        <f t="shared" si="6"/>
        <v>0</v>
      </c>
      <c r="EA22" s="45">
        <f t="shared" si="6"/>
        <v>0</v>
      </c>
      <c r="EB22" s="45">
        <f t="shared" si="6"/>
        <v>0</v>
      </c>
      <c r="EC22" s="45">
        <f t="shared" si="6"/>
        <v>0</v>
      </c>
      <c r="ED22" s="45">
        <f t="shared" si="6"/>
        <v>0</v>
      </c>
      <c r="EE22" s="45">
        <f t="shared" si="6"/>
        <v>0</v>
      </c>
      <c r="EF22" s="45">
        <f t="shared" si="6"/>
        <v>0</v>
      </c>
      <c r="EG22" s="45">
        <f t="shared" si="6"/>
        <v>0</v>
      </c>
      <c r="EH22" s="45">
        <f t="shared" si="6"/>
        <v>0</v>
      </c>
      <c r="EI22" s="45">
        <f t="shared" si="6"/>
        <v>0</v>
      </c>
      <c r="EJ22" s="45">
        <f t="shared" si="6"/>
        <v>0</v>
      </c>
      <c r="EK22" s="45">
        <f t="shared" si="6"/>
        <v>0</v>
      </c>
      <c r="EL22" s="45">
        <f t="shared" si="6"/>
        <v>0</v>
      </c>
      <c r="EM22" s="45">
        <f t="shared" ref="EM22:GX22" si="7">EM267</f>
        <v>0</v>
      </c>
      <c r="EN22" s="45">
        <f t="shared" si="7"/>
        <v>0</v>
      </c>
      <c r="EO22" s="45">
        <f t="shared" si="7"/>
        <v>0</v>
      </c>
      <c r="EP22" s="45">
        <f t="shared" si="7"/>
        <v>0</v>
      </c>
      <c r="EQ22" s="45">
        <f t="shared" si="7"/>
        <v>0</v>
      </c>
      <c r="ER22" s="45">
        <f t="shared" si="7"/>
        <v>0</v>
      </c>
      <c r="ES22" s="45">
        <f t="shared" si="7"/>
        <v>0</v>
      </c>
      <c r="ET22" s="45">
        <f t="shared" si="7"/>
        <v>0</v>
      </c>
      <c r="EU22" s="45">
        <f t="shared" si="7"/>
        <v>0</v>
      </c>
      <c r="EV22" s="45">
        <f t="shared" si="7"/>
        <v>0</v>
      </c>
      <c r="EW22" s="45">
        <f t="shared" si="7"/>
        <v>0</v>
      </c>
      <c r="EX22" s="45">
        <f t="shared" si="7"/>
        <v>0</v>
      </c>
      <c r="EY22" s="45">
        <f t="shared" si="7"/>
        <v>0</v>
      </c>
      <c r="EZ22" s="45">
        <f t="shared" si="7"/>
        <v>0</v>
      </c>
      <c r="FA22" s="45">
        <f t="shared" si="7"/>
        <v>0</v>
      </c>
      <c r="FB22" s="45">
        <f t="shared" si="7"/>
        <v>0</v>
      </c>
      <c r="FC22" s="45">
        <f t="shared" si="7"/>
        <v>0</v>
      </c>
      <c r="FD22" s="45">
        <f t="shared" si="7"/>
        <v>0</v>
      </c>
      <c r="FE22" s="45">
        <f t="shared" si="7"/>
        <v>0</v>
      </c>
      <c r="FF22" s="45">
        <f t="shared" si="7"/>
        <v>0</v>
      </c>
      <c r="FG22" s="45">
        <f t="shared" si="7"/>
        <v>0</v>
      </c>
      <c r="FH22" s="45">
        <f t="shared" si="7"/>
        <v>0</v>
      </c>
      <c r="FI22" s="45">
        <f t="shared" si="7"/>
        <v>0</v>
      </c>
      <c r="FJ22" s="45">
        <f t="shared" si="7"/>
        <v>0</v>
      </c>
      <c r="FK22" s="45">
        <f t="shared" si="7"/>
        <v>0</v>
      </c>
      <c r="FL22" s="45">
        <f t="shared" si="7"/>
        <v>0</v>
      </c>
      <c r="FM22" s="45">
        <f t="shared" si="7"/>
        <v>0</v>
      </c>
      <c r="FN22" s="45">
        <f t="shared" si="7"/>
        <v>0</v>
      </c>
      <c r="FO22" s="45">
        <f t="shared" si="7"/>
        <v>0</v>
      </c>
      <c r="FP22" s="45">
        <f t="shared" si="7"/>
        <v>0</v>
      </c>
      <c r="FQ22" s="45">
        <f t="shared" si="7"/>
        <v>0</v>
      </c>
      <c r="FR22" s="45">
        <f t="shared" si="7"/>
        <v>0</v>
      </c>
      <c r="FS22" s="45">
        <f t="shared" si="7"/>
        <v>0</v>
      </c>
      <c r="FT22" s="45">
        <f t="shared" si="7"/>
        <v>0</v>
      </c>
      <c r="FU22" s="45">
        <f t="shared" si="7"/>
        <v>0</v>
      </c>
      <c r="FV22" s="45">
        <f t="shared" si="7"/>
        <v>0</v>
      </c>
      <c r="FW22" s="45">
        <f t="shared" si="7"/>
        <v>0</v>
      </c>
      <c r="FX22" s="45">
        <f t="shared" si="7"/>
        <v>0</v>
      </c>
      <c r="FY22" s="45">
        <f t="shared" si="7"/>
        <v>0</v>
      </c>
      <c r="FZ22" s="45">
        <f t="shared" si="7"/>
        <v>0</v>
      </c>
      <c r="GA22" s="45">
        <f t="shared" si="7"/>
        <v>0</v>
      </c>
      <c r="GB22" s="45">
        <f t="shared" si="7"/>
        <v>0</v>
      </c>
      <c r="GC22" s="45">
        <f t="shared" si="7"/>
        <v>0</v>
      </c>
      <c r="GD22" s="45">
        <f t="shared" si="7"/>
        <v>0</v>
      </c>
      <c r="GE22" s="45">
        <f t="shared" si="7"/>
        <v>0</v>
      </c>
      <c r="GF22" s="45">
        <f t="shared" si="7"/>
        <v>0</v>
      </c>
      <c r="GG22" s="45">
        <f t="shared" si="7"/>
        <v>0</v>
      </c>
      <c r="GH22" s="45">
        <f t="shared" si="7"/>
        <v>0</v>
      </c>
      <c r="GI22" s="45">
        <f t="shared" si="7"/>
        <v>0</v>
      </c>
      <c r="GJ22" s="45">
        <f t="shared" si="7"/>
        <v>0</v>
      </c>
      <c r="GK22" s="45">
        <f t="shared" si="7"/>
        <v>0</v>
      </c>
      <c r="GL22" s="45">
        <f t="shared" si="7"/>
        <v>0</v>
      </c>
      <c r="GM22" s="45">
        <f t="shared" si="7"/>
        <v>0</v>
      </c>
      <c r="GN22" s="45">
        <f t="shared" si="7"/>
        <v>0</v>
      </c>
      <c r="GO22" s="45">
        <f t="shared" si="7"/>
        <v>0</v>
      </c>
      <c r="GP22" s="45">
        <f t="shared" si="7"/>
        <v>0</v>
      </c>
      <c r="GQ22" s="45">
        <f t="shared" si="7"/>
        <v>0</v>
      </c>
      <c r="GR22" s="45">
        <f t="shared" si="7"/>
        <v>0</v>
      </c>
      <c r="GS22" s="45">
        <f t="shared" si="7"/>
        <v>0</v>
      </c>
      <c r="GT22" s="45">
        <f t="shared" si="7"/>
        <v>0</v>
      </c>
      <c r="GU22" s="45">
        <f t="shared" si="7"/>
        <v>0</v>
      </c>
      <c r="GV22" s="45">
        <f t="shared" si="7"/>
        <v>0</v>
      </c>
      <c r="GW22" s="45">
        <f t="shared" si="7"/>
        <v>0</v>
      </c>
      <c r="GX22" s="45">
        <f t="shared" si="7"/>
        <v>0</v>
      </c>
    </row>
    <row r="24" spans="1:245" ht="13" x14ac:dyDescent="0.3">
      <c r="A24" s="43">
        <v>4</v>
      </c>
      <c r="B24" s="43">
        <v>1</v>
      </c>
      <c r="C24" s="43"/>
      <c r="D24" s="43">
        <f>ROW(A40)</f>
        <v>40</v>
      </c>
      <c r="E24" s="43"/>
      <c r="F24" s="43" t="s">
        <v>174</v>
      </c>
      <c r="G24" s="43" t="s">
        <v>175</v>
      </c>
      <c r="H24" s="43" t="s">
        <v>30</v>
      </c>
      <c r="I24" s="43">
        <v>0</v>
      </c>
      <c r="J24" s="43"/>
      <c r="K24" s="43">
        <v>-1</v>
      </c>
      <c r="L24" s="43"/>
      <c r="M24" s="43" t="s">
        <v>30</v>
      </c>
      <c r="N24" s="43"/>
      <c r="O24" s="43"/>
      <c r="P24" s="43"/>
      <c r="Q24" s="43"/>
      <c r="R24" s="43"/>
      <c r="S24" s="43">
        <v>0</v>
      </c>
      <c r="T24" s="43"/>
      <c r="U24" s="43" t="s">
        <v>30</v>
      </c>
      <c r="V24" s="43">
        <v>0</v>
      </c>
      <c r="W24" s="43"/>
      <c r="X24" s="43"/>
      <c r="Y24" s="43"/>
      <c r="Z24" s="43"/>
      <c r="AA24" s="43"/>
      <c r="AB24" s="43" t="s">
        <v>30</v>
      </c>
      <c r="AC24" s="43" t="s">
        <v>30</v>
      </c>
      <c r="AD24" s="43" t="s">
        <v>30</v>
      </c>
      <c r="AE24" s="43" t="s">
        <v>30</v>
      </c>
      <c r="AF24" s="43" t="s">
        <v>30</v>
      </c>
      <c r="AG24" s="43" t="s">
        <v>30</v>
      </c>
      <c r="AH24" s="43"/>
      <c r="AI24" s="43"/>
      <c r="AJ24" s="43"/>
      <c r="AK24" s="43"/>
      <c r="AL24" s="43"/>
      <c r="AM24" s="43"/>
      <c r="AN24" s="43"/>
      <c r="AO24" s="43"/>
      <c r="AP24" s="43" t="s">
        <v>30</v>
      </c>
      <c r="AQ24" s="43" t="s">
        <v>30</v>
      </c>
      <c r="AR24" s="43" t="s">
        <v>30</v>
      </c>
      <c r="AS24" s="43"/>
      <c r="AT24" s="43"/>
      <c r="AU24" s="43"/>
      <c r="AV24" s="43"/>
      <c r="AW24" s="43"/>
      <c r="AX24" s="43"/>
      <c r="AY24" s="43"/>
      <c r="AZ24" s="43" t="s">
        <v>30</v>
      </c>
      <c r="BA24" s="43"/>
      <c r="BB24" s="43" t="s">
        <v>30</v>
      </c>
      <c r="BC24" s="43" t="s">
        <v>30</v>
      </c>
      <c r="BD24" s="43" t="s">
        <v>30</v>
      </c>
      <c r="BE24" s="43" t="s">
        <v>30</v>
      </c>
      <c r="BF24" s="43" t="s">
        <v>30</v>
      </c>
      <c r="BG24" s="43" t="s">
        <v>30</v>
      </c>
      <c r="BH24" s="43" t="s">
        <v>30</v>
      </c>
      <c r="BI24" s="43" t="s">
        <v>30</v>
      </c>
      <c r="BJ24" s="43" t="s">
        <v>30</v>
      </c>
      <c r="BK24" s="43" t="s">
        <v>30</v>
      </c>
      <c r="BL24" s="43" t="s">
        <v>30</v>
      </c>
      <c r="BM24" s="43" t="s">
        <v>30</v>
      </c>
      <c r="BN24" s="43" t="s">
        <v>30</v>
      </c>
      <c r="BO24" s="43" t="s">
        <v>30</v>
      </c>
      <c r="BP24" s="43" t="s">
        <v>30</v>
      </c>
      <c r="BQ24" s="43"/>
      <c r="BR24" s="43"/>
      <c r="BS24" s="43"/>
      <c r="BT24" s="43"/>
      <c r="BU24" s="43"/>
      <c r="BV24" s="43"/>
      <c r="BW24" s="43"/>
      <c r="BX24" s="43">
        <v>0</v>
      </c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>
        <v>0</v>
      </c>
    </row>
    <row r="26" spans="1:245" ht="13" x14ac:dyDescent="0.3">
      <c r="A26" s="44">
        <v>52</v>
      </c>
      <c r="B26" s="44">
        <f t="shared" ref="B26:G26" si="8">B40</f>
        <v>1</v>
      </c>
      <c r="C26" s="44">
        <f t="shared" si="8"/>
        <v>4</v>
      </c>
      <c r="D26" s="44">
        <f t="shared" si="8"/>
        <v>24</v>
      </c>
      <c r="E26" s="44">
        <f t="shared" si="8"/>
        <v>0</v>
      </c>
      <c r="F26" s="44" t="str">
        <f t="shared" si="8"/>
        <v>Новый раздел</v>
      </c>
      <c r="G26" s="44" t="str">
        <f t="shared" si="8"/>
        <v>Ремонт дорожно-тропиночной сети с асфальтобетонным покрытием  - 2513 м2</v>
      </c>
      <c r="H26" s="44"/>
      <c r="I26" s="44"/>
      <c r="J26" s="44"/>
      <c r="K26" s="44"/>
      <c r="L26" s="44"/>
      <c r="M26" s="44"/>
      <c r="N26" s="44"/>
      <c r="O26" s="44">
        <f t="shared" ref="O26:BZ26" si="9">O40</f>
        <v>1693736.78</v>
      </c>
      <c r="P26" s="44">
        <f t="shared" si="9"/>
        <v>984353.27</v>
      </c>
      <c r="Q26" s="44">
        <f t="shared" si="9"/>
        <v>629897.18999999994</v>
      </c>
      <c r="R26" s="44">
        <f t="shared" si="9"/>
        <v>307816.19</v>
      </c>
      <c r="S26" s="44">
        <f t="shared" si="9"/>
        <v>79486.320000000007</v>
      </c>
      <c r="T26" s="44">
        <f t="shared" si="9"/>
        <v>0</v>
      </c>
      <c r="U26" s="44">
        <f t="shared" si="9"/>
        <v>343.49443100000002</v>
      </c>
      <c r="V26" s="44">
        <f t="shared" si="9"/>
        <v>0</v>
      </c>
      <c r="W26" s="44">
        <f t="shared" si="9"/>
        <v>0</v>
      </c>
      <c r="X26" s="44">
        <f t="shared" si="9"/>
        <v>55640.43</v>
      </c>
      <c r="Y26" s="44">
        <f t="shared" si="9"/>
        <v>7948.64</v>
      </c>
      <c r="Z26" s="44">
        <f t="shared" si="9"/>
        <v>0</v>
      </c>
      <c r="AA26" s="44">
        <f t="shared" si="9"/>
        <v>0</v>
      </c>
      <c r="AB26" s="44">
        <f t="shared" si="9"/>
        <v>1693736.78</v>
      </c>
      <c r="AC26" s="44">
        <f t="shared" si="9"/>
        <v>984353.27</v>
      </c>
      <c r="AD26" s="44">
        <f t="shared" si="9"/>
        <v>629897.18999999994</v>
      </c>
      <c r="AE26" s="44">
        <f t="shared" si="9"/>
        <v>307816.19</v>
      </c>
      <c r="AF26" s="44">
        <f t="shared" si="9"/>
        <v>79486.320000000007</v>
      </c>
      <c r="AG26" s="44">
        <f t="shared" si="9"/>
        <v>0</v>
      </c>
      <c r="AH26" s="44">
        <f t="shared" si="9"/>
        <v>343.49443100000002</v>
      </c>
      <c r="AI26" s="44">
        <f t="shared" si="9"/>
        <v>0</v>
      </c>
      <c r="AJ26" s="44">
        <f t="shared" si="9"/>
        <v>0</v>
      </c>
      <c r="AK26" s="44">
        <f t="shared" si="9"/>
        <v>55640.43</v>
      </c>
      <c r="AL26" s="44">
        <f t="shared" si="9"/>
        <v>7948.64</v>
      </c>
      <c r="AM26" s="44">
        <f t="shared" si="9"/>
        <v>0</v>
      </c>
      <c r="AN26" s="44">
        <f t="shared" si="9"/>
        <v>0</v>
      </c>
      <c r="AO26" s="44">
        <f t="shared" si="9"/>
        <v>0</v>
      </c>
      <c r="AP26" s="44">
        <f t="shared" si="9"/>
        <v>0</v>
      </c>
      <c r="AQ26" s="44">
        <f t="shared" si="9"/>
        <v>0</v>
      </c>
      <c r="AR26" s="44">
        <f t="shared" si="9"/>
        <v>1814143.53</v>
      </c>
      <c r="AS26" s="44">
        <f t="shared" si="9"/>
        <v>0</v>
      </c>
      <c r="AT26" s="44">
        <f t="shared" si="9"/>
        <v>0</v>
      </c>
      <c r="AU26" s="44">
        <f t="shared" si="9"/>
        <v>1814143.53</v>
      </c>
      <c r="AV26" s="44">
        <f t="shared" si="9"/>
        <v>984353.27</v>
      </c>
      <c r="AW26" s="44">
        <f t="shared" si="9"/>
        <v>984353.27</v>
      </c>
      <c r="AX26" s="44">
        <f t="shared" si="9"/>
        <v>0</v>
      </c>
      <c r="AY26" s="44">
        <f t="shared" si="9"/>
        <v>984353.27</v>
      </c>
      <c r="AZ26" s="44">
        <f t="shared" si="9"/>
        <v>0</v>
      </c>
      <c r="BA26" s="44">
        <f t="shared" si="9"/>
        <v>0</v>
      </c>
      <c r="BB26" s="44">
        <f t="shared" si="9"/>
        <v>0</v>
      </c>
      <c r="BC26" s="44">
        <f t="shared" si="9"/>
        <v>0</v>
      </c>
      <c r="BD26" s="44">
        <f t="shared" si="9"/>
        <v>0</v>
      </c>
      <c r="BE26" s="44">
        <f t="shared" si="9"/>
        <v>0</v>
      </c>
      <c r="BF26" s="44">
        <f t="shared" si="9"/>
        <v>0</v>
      </c>
      <c r="BG26" s="44">
        <f t="shared" si="9"/>
        <v>0</v>
      </c>
      <c r="BH26" s="44">
        <f t="shared" si="9"/>
        <v>0</v>
      </c>
      <c r="BI26" s="44">
        <f t="shared" si="9"/>
        <v>0</v>
      </c>
      <c r="BJ26" s="44">
        <f t="shared" si="9"/>
        <v>0</v>
      </c>
      <c r="BK26" s="44">
        <f t="shared" si="9"/>
        <v>0</v>
      </c>
      <c r="BL26" s="44">
        <f t="shared" si="9"/>
        <v>0</v>
      </c>
      <c r="BM26" s="44">
        <f t="shared" si="9"/>
        <v>0</v>
      </c>
      <c r="BN26" s="44">
        <f t="shared" si="9"/>
        <v>0</v>
      </c>
      <c r="BO26" s="44">
        <f t="shared" si="9"/>
        <v>0</v>
      </c>
      <c r="BP26" s="44">
        <f t="shared" si="9"/>
        <v>0</v>
      </c>
      <c r="BQ26" s="44">
        <f t="shared" si="9"/>
        <v>0</v>
      </c>
      <c r="BR26" s="44">
        <f t="shared" si="9"/>
        <v>0</v>
      </c>
      <c r="BS26" s="44">
        <f t="shared" si="9"/>
        <v>0</v>
      </c>
      <c r="BT26" s="44">
        <f t="shared" si="9"/>
        <v>0</v>
      </c>
      <c r="BU26" s="44">
        <f t="shared" si="9"/>
        <v>0</v>
      </c>
      <c r="BV26" s="44">
        <f t="shared" si="9"/>
        <v>0</v>
      </c>
      <c r="BW26" s="44">
        <f t="shared" si="9"/>
        <v>0</v>
      </c>
      <c r="BX26" s="44">
        <f t="shared" si="9"/>
        <v>0</v>
      </c>
      <c r="BY26" s="44">
        <f t="shared" si="9"/>
        <v>0</v>
      </c>
      <c r="BZ26" s="44">
        <f t="shared" si="9"/>
        <v>0</v>
      </c>
      <c r="CA26" s="44">
        <f t="shared" ref="CA26:EL26" si="10">CA40</f>
        <v>1814143.53</v>
      </c>
      <c r="CB26" s="44">
        <f t="shared" si="10"/>
        <v>0</v>
      </c>
      <c r="CC26" s="44">
        <f t="shared" si="10"/>
        <v>0</v>
      </c>
      <c r="CD26" s="44">
        <f t="shared" si="10"/>
        <v>1814143.53</v>
      </c>
      <c r="CE26" s="44">
        <f t="shared" si="10"/>
        <v>984353.27</v>
      </c>
      <c r="CF26" s="44">
        <f t="shared" si="10"/>
        <v>984353.27</v>
      </c>
      <c r="CG26" s="44">
        <f t="shared" si="10"/>
        <v>0</v>
      </c>
      <c r="CH26" s="44">
        <f t="shared" si="10"/>
        <v>984353.27</v>
      </c>
      <c r="CI26" s="44">
        <f t="shared" si="10"/>
        <v>0</v>
      </c>
      <c r="CJ26" s="44">
        <f t="shared" si="10"/>
        <v>0</v>
      </c>
      <c r="CK26" s="44">
        <f t="shared" si="10"/>
        <v>0</v>
      </c>
      <c r="CL26" s="44">
        <f t="shared" si="10"/>
        <v>0</v>
      </c>
      <c r="CM26" s="44">
        <f t="shared" si="10"/>
        <v>0</v>
      </c>
      <c r="CN26" s="44">
        <f t="shared" si="10"/>
        <v>0</v>
      </c>
      <c r="CO26" s="44">
        <f t="shared" si="10"/>
        <v>0</v>
      </c>
      <c r="CP26" s="44">
        <f t="shared" si="10"/>
        <v>0</v>
      </c>
      <c r="CQ26" s="44">
        <f t="shared" si="10"/>
        <v>0</v>
      </c>
      <c r="CR26" s="44">
        <f t="shared" si="10"/>
        <v>0</v>
      </c>
      <c r="CS26" s="44">
        <f t="shared" si="10"/>
        <v>0</v>
      </c>
      <c r="CT26" s="44">
        <f t="shared" si="10"/>
        <v>0</v>
      </c>
      <c r="CU26" s="44">
        <f t="shared" si="10"/>
        <v>0</v>
      </c>
      <c r="CV26" s="44">
        <f t="shared" si="10"/>
        <v>0</v>
      </c>
      <c r="CW26" s="44">
        <f t="shared" si="10"/>
        <v>0</v>
      </c>
      <c r="CX26" s="44">
        <f t="shared" si="10"/>
        <v>0</v>
      </c>
      <c r="CY26" s="44">
        <f t="shared" si="10"/>
        <v>0</v>
      </c>
      <c r="CZ26" s="44">
        <f t="shared" si="10"/>
        <v>0</v>
      </c>
      <c r="DA26" s="44">
        <f t="shared" si="10"/>
        <v>0</v>
      </c>
      <c r="DB26" s="44">
        <f t="shared" si="10"/>
        <v>0</v>
      </c>
      <c r="DC26" s="44">
        <f t="shared" si="10"/>
        <v>0</v>
      </c>
      <c r="DD26" s="44">
        <f t="shared" si="10"/>
        <v>0</v>
      </c>
      <c r="DE26" s="44">
        <f t="shared" si="10"/>
        <v>0</v>
      </c>
      <c r="DF26" s="44">
        <f t="shared" si="10"/>
        <v>0</v>
      </c>
      <c r="DG26" s="45">
        <f t="shared" si="10"/>
        <v>0</v>
      </c>
      <c r="DH26" s="45">
        <f t="shared" si="10"/>
        <v>0</v>
      </c>
      <c r="DI26" s="45">
        <f t="shared" si="10"/>
        <v>0</v>
      </c>
      <c r="DJ26" s="45">
        <f t="shared" si="10"/>
        <v>0</v>
      </c>
      <c r="DK26" s="45">
        <f t="shared" si="10"/>
        <v>0</v>
      </c>
      <c r="DL26" s="45">
        <f t="shared" si="10"/>
        <v>0</v>
      </c>
      <c r="DM26" s="45">
        <f t="shared" si="10"/>
        <v>0</v>
      </c>
      <c r="DN26" s="45">
        <f t="shared" si="10"/>
        <v>0</v>
      </c>
      <c r="DO26" s="45">
        <f t="shared" si="10"/>
        <v>0</v>
      </c>
      <c r="DP26" s="45">
        <f t="shared" si="10"/>
        <v>0</v>
      </c>
      <c r="DQ26" s="45">
        <f t="shared" si="10"/>
        <v>0</v>
      </c>
      <c r="DR26" s="45">
        <f t="shared" si="10"/>
        <v>0</v>
      </c>
      <c r="DS26" s="45">
        <f t="shared" si="10"/>
        <v>0</v>
      </c>
      <c r="DT26" s="45">
        <f t="shared" si="10"/>
        <v>0</v>
      </c>
      <c r="DU26" s="45">
        <f t="shared" si="10"/>
        <v>0</v>
      </c>
      <c r="DV26" s="45">
        <f t="shared" si="10"/>
        <v>0</v>
      </c>
      <c r="DW26" s="45">
        <f t="shared" si="10"/>
        <v>0</v>
      </c>
      <c r="DX26" s="45">
        <f t="shared" si="10"/>
        <v>0</v>
      </c>
      <c r="DY26" s="45">
        <f t="shared" si="10"/>
        <v>0</v>
      </c>
      <c r="DZ26" s="45">
        <f t="shared" si="10"/>
        <v>0</v>
      </c>
      <c r="EA26" s="45">
        <f t="shared" si="10"/>
        <v>0</v>
      </c>
      <c r="EB26" s="45">
        <f t="shared" si="10"/>
        <v>0</v>
      </c>
      <c r="EC26" s="45">
        <f t="shared" si="10"/>
        <v>0</v>
      </c>
      <c r="ED26" s="45">
        <f t="shared" si="10"/>
        <v>0</v>
      </c>
      <c r="EE26" s="45">
        <f t="shared" si="10"/>
        <v>0</v>
      </c>
      <c r="EF26" s="45">
        <f t="shared" si="10"/>
        <v>0</v>
      </c>
      <c r="EG26" s="45">
        <f t="shared" si="10"/>
        <v>0</v>
      </c>
      <c r="EH26" s="45">
        <f t="shared" si="10"/>
        <v>0</v>
      </c>
      <c r="EI26" s="45">
        <f t="shared" si="10"/>
        <v>0</v>
      </c>
      <c r="EJ26" s="45">
        <f t="shared" si="10"/>
        <v>0</v>
      </c>
      <c r="EK26" s="45">
        <f t="shared" si="10"/>
        <v>0</v>
      </c>
      <c r="EL26" s="45">
        <f t="shared" si="10"/>
        <v>0</v>
      </c>
      <c r="EM26" s="45">
        <f t="shared" ref="EM26:GX26" si="11">EM40</f>
        <v>0</v>
      </c>
      <c r="EN26" s="45">
        <f t="shared" si="11"/>
        <v>0</v>
      </c>
      <c r="EO26" s="45">
        <f t="shared" si="11"/>
        <v>0</v>
      </c>
      <c r="EP26" s="45">
        <f t="shared" si="11"/>
        <v>0</v>
      </c>
      <c r="EQ26" s="45">
        <f t="shared" si="11"/>
        <v>0</v>
      </c>
      <c r="ER26" s="45">
        <f t="shared" si="11"/>
        <v>0</v>
      </c>
      <c r="ES26" s="45">
        <f t="shared" si="11"/>
        <v>0</v>
      </c>
      <c r="ET26" s="45">
        <f t="shared" si="11"/>
        <v>0</v>
      </c>
      <c r="EU26" s="45">
        <f t="shared" si="11"/>
        <v>0</v>
      </c>
      <c r="EV26" s="45">
        <f t="shared" si="11"/>
        <v>0</v>
      </c>
      <c r="EW26" s="45">
        <f t="shared" si="11"/>
        <v>0</v>
      </c>
      <c r="EX26" s="45">
        <f t="shared" si="11"/>
        <v>0</v>
      </c>
      <c r="EY26" s="45">
        <f t="shared" si="11"/>
        <v>0</v>
      </c>
      <c r="EZ26" s="45">
        <f t="shared" si="11"/>
        <v>0</v>
      </c>
      <c r="FA26" s="45">
        <f t="shared" si="11"/>
        <v>0</v>
      </c>
      <c r="FB26" s="45">
        <f t="shared" si="11"/>
        <v>0</v>
      </c>
      <c r="FC26" s="45">
        <f t="shared" si="11"/>
        <v>0</v>
      </c>
      <c r="FD26" s="45">
        <f t="shared" si="11"/>
        <v>0</v>
      </c>
      <c r="FE26" s="45">
        <f t="shared" si="11"/>
        <v>0</v>
      </c>
      <c r="FF26" s="45">
        <f t="shared" si="11"/>
        <v>0</v>
      </c>
      <c r="FG26" s="45">
        <f t="shared" si="11"/>
        <v>0</v>
      </c>
      <c r="FH26" s="45">
        <f t="shared" si="11"/>
        <v>0</v>
      </c>
      <c r="FI26" s="45">
        <f t="shared" si="11"/>
        <v>0</v>
      </c>
      <c r="FJ26" s="45">
        <f t="shared" si="11"/>
        <v>0</v>
      </c>
      <c r="FK26" s="45">
        <f t="shared" si="11"/>
        <v>0</v>
      </c>
      <c r="FL26" s="45">
        <f t="shared" si="11"/>
        <v>0</v>
      </c>
      <c r="FM26" s="45">
        <f t="shared" si="11"/>
        <v>0</v>
      </c>
      <c r="FN26" s="45">
        <f t="shared" si="11"/>
        <v>0</v>
      </c>
      <c r="FO26" s="45">
        <f t="shared" si="11"/>
        <v>0</v>
      </c>
      <c r="FP26" s="45">
        <f t="shared" si="11"/>
        <v>0</v>
      </c>
      <c r="FQ26" s="45">
        <f t="shared" si="11"/>
        <v>0</v>
      </c>
      <c r="FR26" s="45">
        <f t="shared" si="11"/>
        <v>0</v>
      </c>
      <c r="FS26" s="45">
        <f t="shared" si="11"/>
        <v>0</v>
      </c>
      <c r="FT26" s="45">
        <f t="shared" si="11"/>
        <v>0</v>
      </c>
      <c r="FU26" s="45">
        <f t="shared" si="11"/>
        <v>0</v>
      </c>
      <c r="FV26" s="45">
        <f t="shared" si="11"/>
        <v>0</v>
      </c>
      <c r="FW26" s="45">
        <f t="shared" si="11"/>
        <v>0</v>
      </c>
      <c r="FX26" s="45">
        <f t="shared" si="11"/>
        <v>0</v>
      </c>
      <c r="FY26" s="45">
        <f t="shared" si="11"/>
        <v>0</v>
      </c>
      <c r="FZ26" s="45">
        <f t="shared" si="11"/>
        <v>0</v>
      </c>
      <c r="GA26" s="45">
        <f t="shared" si="11"/>
        <v>0</v>
      </c>
      <c r="GB26" s="45">
        <f t="shared" si="11"/>
        <v>0</v>
      </c>
      <c r="GC26" s="45">
        <f t="shared" si="11"/>
        <v>0</v>
      </c>
      <c r="GD26" s="45">
        <f t="shared" si="11"/>
        <v>0</v>
      </c>
      <c r="GE26" s="45">
        <f t="shared" si="11"/>
        <v>0</v>
      </c>
      <c r="GF26" s="45">
        <f t="shared" si="11"/>
        <v>0</v>
      </c>
      <c r="GG26" s="45">
        <f t="shared" si="11"/>
        <v>0</v>
      </c>
      <c r="GH26" s="45">
        <f t="shared" si="11"/>
        <v>0</v>
      </c>
      <c r="GI26" s="45">
        <f t="shared" si="11"/>
        <v>0</v>
      </c>
      <c r="GJ26" s="45">
        <f t="shared" si="11"/>
        <v>0</v>
      </c>
      <c r="GK26" s="45">
        <f t="shared" si="11"/>
        <v>0</v>
      </c>
      <c r="GL26" s="45">
        <f t="shared" si="11"/>
        <v>0</v>
      </c>
      <c r="GM26" s="45">
        <f t="shared" si="11"/>
        <v>0</v>
      </c>
      <c r="GN26" s="45">
        <f t="shared" si="11"/>
        <v>0</v>
      </c>
      <c r="GO26" s="45">
        <f t="shared" si="11"/>
        <v>0</v>
      </c>
      <c r="GP26" s="45">
        <f t="shared" si="11"/>
        <v>0</v>
      </c>
      <c r="GQ26" s="45">
        <f t="shared" si="11"/>
        <v>0</v>
      </c>
      <c r="GR26" s="45">
        <f t="shared" si="11"/>
        <v>0</v>
      </c>
      <c r="GS26" s="45">
        <f t="shared" si="11"/>
        <v>0</v>
      </c>
      <c r="GT26" s="45">
        <f t="shared" si="11"/>
        <v>0</v>
      </c>
      <c r="GU26" s="45">
        <f t="shared" si="11"/>
        <v>0</v>
      </c>
      <c r="GV26" s="45">
        <f t="shared" si="11"/>
        <v>0</v>
      </c>
      <c r="GW26" s="45">
        <f t="shared" si="11"/>
        <v>0</v>
      </c>
      <c r="GX26" s="45">
        <f t="shared" si="11"/>
        <v>0</v>
      </c>
    </row>
    <row r="28" spans="1:245" x14ac:dyDescent="0.25">
      <c r="A28" s="2">
        <v>17</v>
      </c>
      <c r="B28" s="2">
        <v>1</v>
      </c>
      <c r="C28" s="2">
        <f>ROW(SmtRes!A8)</f>
        <v>8</v>
      </c>
      <c r="D28" s="2">
        <f>ROW(EtalonRes!A8)</f>
        <v>8</v>
      </c>
      <c r="E28" s="2" t="s">
        <v>176</v>
      </c>
      <c r="F28" s="2" t="s">
        <v>177</v>
      </c>
      <c r="G28" s="2" t="s">
        <v>178</v>
      </c>
      <c r="H28" s="2" t="s">
        <v>60</v>
      </c>
      <c r="I28" s="2">
        <f>ROUND(2513/100,9)</f>
        <v>25.13</v>
      </c>
      <c r="J28" s="2">
        <v>0</v>
      </c>
      <c r="K28" s="2">
        <f>ROUND(2513/100,9)</f>
        <v>25.13</v>
      </c>
      <c r="O28" s="2">
        <f t="shared" ref="O28:O38" si="12">ROUND(CP28,2)</f>
        <v>85986.82</v>
      </c>
      <c r="P28" s="2">
        <f t="shared" ref="P28:P38" si="13">ROUND(CQ28*I28,2)</f>
        <v>16340.53</v>
      </c>
      <c r="Q28" s="2">
        <f t="shared" ref="Q28:Q38" si="14">ROUND(CR28*I28,2)</f>
        <v>65120.88</v>
      </c>
      <c r="R28" s="2">
        <f t="shared" ref="R28:R38" si="15">ROUND(CS28*I28,2)</f>
        <v>12816.3</v>
      </c>
      <c r="S28" s="2">
        <f t="shared" ref="S28:S38" si="16">ROUND(CT28*I28,2)</f>
        <v>4525.41</v>
      </c>
      <c r="T28" s="2">
        <f t="shared" ref="T28:T38" si="17">ROUND(CU28*I28,2)</f>
        <v>0</v>
      </c>
      <c r="U28" s="2">
        <f t="shared" ref="U28:U38" si="18">CV28*I28</f>
        <v>19.852699999999999</v>
      </c>
      <c r="V28" s="2">
        <f t="shared" ref="V28:V38" si="19">CW28*I28</f>
        <v>0</v>
      </c>
      <c r="W28" s="2">
        <f t="shared" ref="W28:W38" si="20">ROUND(CX28*I28,2)</f>
        <v>0</v>
      </c>
      <c r="X28" s="2">
        <f t="shared" ref="X28:Y38" si="21">ROUND(CY28,2)</f>
        <v>3167.79</v>
      </c>
      <c r="Y28" s="2">
        <f t="shared" si="21"/>
        <v>452.54</v>
      </c>
      <c r="AA28" s="2">
        <v>52261502</v>
      </c>
      <c r="AB28" s="2">
        <f t="shared" ref="AB28:AB38" si="22">ROUND((AC28+AD28+AF28),6)</f>
        <v>3421.68</v>
      </c>
      <c r="AC28" s="2">
        <f t="shared" ref="AC28:AC34" si="23">ROUND((ES28),6)</f>
        <v>650.24</v>
      </c>
      <c r="AD28" s="2">
        <f t="shared" ref="AD28:AD34" si="24">ROUND((((ET28)-(EU28))+AE28),6)</f>
        <v>2591.36</v>
      </c>
      <c r="AE28" s="2">
        <f t="shared" ref="AE28:AF34" si="25">ROUND((EU28),6)</f>
        <v>510</v>
      </c>
      <c r="AF28" s="2">
        <f t="shared" si="25"/>
        <v>180.08</v>
      </c>
      <c r="AG28" s="2">
        <f t="shared" ref="AG28:AG38" si="26">ROUND((AP28),6)</f>
        <v>0</v>
      </c>
      <c r="AH28" s="2">
        <f t="shared" ref="AH28:AI34" si="27">(EW28)</f>
        <v>0.79</v>
      </c>
      <c r="AI28" s="2">
        <f t="shared" si="27"/>
        <v>0</v>
      </c>
      <c r="AJ28" s="2">
        <f t="shared" ref="AJ28:AJ38" si="28">(AS28)</f>
        <v>0</v>
      </c>
      <c r="AK28" s="2">
        <v>3421.68</v>
      </c>
      <c r="AL28" s="2">
        <v>650.24</v>
      </c>
      <c r="AM28" s="2">
        <v>2591.36</v>
      </c>
      <c r="AN28" s="2">
        <v>510</v>
      </c>
      <c r="AO28" s="2">
        <v>180.08</v>
      </c>
      <c r="AP28" s="2">
        <v>0</v>
      </c>
      <c r="AQ28" s="2">
        <v>0.79</v>
      </c>
      <c r="AR28" s="2">
        <v>0</v>
      </c>
      <c r="AS28" s="2">
        <v>0</v>
      </c>
      <c r="AT28" s="2">
        <v>70</v>
      </c>
      <c r="AU28" s="2">
        <v>10</v>
      </c>
      <c r="AV28" s="2">
        <v>1</v>
      </c>
      <c r="AW28" s="2">
        <v>1</v>
      </c>
      <c r="AZ28" s="2">
        <v>1</v>
      </c>
      <c r="BA28" s="2">
        <v>1</v>
      </c>
      <c r="BB28" s="2">
        <v>1</v>
      </c>
      <c r="BC28" s="2">
        <v>1</v>
      </c>
      <c r="BD28" s="2" t="s">
        <v>30</v>
      </c>
      <c r="BE28" s="2" t="s">
        <v>30</v>
      </c>
      <c r="BF28" s="2" t="s">
        <v>30</v>
      </c>
      <c r="BG28" s="2" t="s">
        <v>30</v>
      </c>
      <c r="BH28" s="2">
        <v>0</v>
      </c>
      <c r="BI28" s="2">
        <v>4</v>
      </c>
      <c r="BJ28" s="2" t="s">
        <v>179</v>
      </c>
      <c r="BM28" s="2">
        <v>0</v>
      </c>
      <c r="BN28" s="2">
        <v>0</v>
      </c>
      <c r="BO28" s="2" t="s">
        <v>30</v>
      </c>
      <c r="BP28" s="2">
        <v>0</v>
      </c>
      <c r="BQ28" s="2">
        <v>1</v>
      </c>
      <c r="BR28" s="2">
        <v>0</v>
      </c>
      <c r="BS28" s="2">
        <v>1</v>
      </c>
      <c r="BT28" s="2">
        <v>1</v>
      </c>
      <c r="BU28" s="2">
        <v>1</v>
      </c>
      <c r="BV28" s="2">
        <v>1</v>
      </c>
      <c r="BW28" s="2">
        <v>1</v>
      </c>
      <c r="BX28" s="2">
        <v>1</v>
      </c>
      <c r="BY28" s="2" t="s">
        <v>30</v>
      </c>
      <c r="BZ28" s="2">
        <v>70</v>
      </c>
      <c r="CA28" s="2">
        <v>10</v>
      </c>
      <c r="CB28" s="2" t="s">
        <v>30</v>
      </c>
      <c r="CE28" s="2">
        <v>0</v>
      </c>
      <c r="CF28" s="2">
        <v>0</v>
      </c>
      <c r="CG28" s="2">
        <v>0</v>
      </c>
      <c r="CM28" s="2">
        <v>0</v>
      </c>
      <c r="CN28" s="2" t="s">
        <v>30</v>
      </c>
      <c r="CO28" s="2">
        <v>0</v>
      </c>
      <c r="CP28" s="2">
        <f t="shared" ref="CP28:CP38" si="29">(P28+Q28+S28)</f>
        <v>85986.82</v>
      </c>
      <c r="CQ28" s="2">
        <f t="shared" ref="CQ28:CQ38" si="30">(AC28*BC28*AW28)</f>
        <v>650.24</v>
      </c>
      <c r="CR28" s="2">
        <f t="shared" ref="CR28:CR34" si="31">((((ET28)*BB28-(EU28)*BS28)+AE28*BS28)*AV28)</f>
        <v>2591.36</v>
      </c>
      <c r="CS28" s="2">
        <f t="shared" ref="CS28:CS38" si="32">(AE28*BS28*AV28)</f>
        <v>510</v>
      </c>
      <c r="CT28" s="2">
        <f t="shared" ref="CT28:CT38" si="33">(AF28*BA28*AV28)</f>
        <v>180.08</v>
      </c>
      <c r="CU28" s="2">
        <f t="shared" ref="CU28:CU38" si="34">AG28</f>
        <v>0</v>
      </c>
      <c r="CV28" s="2">
        <f t="shared" ref="CV28:CV38" si="35">(AH28*AV28)</f>
        <v>0.79</v>
      </c>
      <c r="CW28" s="2">
        <f t="shared" ref="CW28:CX38" si="36">AI28</f>
        <v>0</v>
      </c>
      <c r="CX28" s="2">
        <f t="shared" si="36"/>
        <v>0</v>
      </c>
      <c r="CY28" s="2">
        <f t="shared" ref="CY28:CY38" si="37">((S28*BZ28)/100)</f>
        <v>3167.7869999999998</v>
      </c>
      <c r="CZ28" s="2">
        <f t="shared" ref="CZ28:CZ38" si="38">((S28*CA28)/100)</f>
        <v>452.541</v>
      </c>
      <c r="DC28" s="2" t="s">
        <v>30</v>
      </c>
      <c r="DD28" s="2" t="s">
        <v>30</v>
      </c>
      <c r="DE28" s="2" t="s">
        <v>30</v>
      </c>
      <c r="DF28" s="2" t="s">
        <v>30</v>
      </c>
      <c r="DG28" s="2" t="s">
        <v>30</v>
      </c>
      <c r="DH28" s="2" t="s">
        <v>30</v>
      </c>
      <c r="DI28" s="2" t="s">
        <v>30</v>
      </c>
      <c r="DJ28" s="2" t="s">
        <v>30</v>
      </c>
      <c r="DK28" s="2" t="s">
        <v>30</v>
      </c>
      <c r="DL28" s="2" t="s">
        <v>30</v>
      </c>
      <c r="DM28" s="2" t="s">
        <v>30</v>
      </c>
      <c r="DN28" s="2">
        <v>0</v>
      </c>
      <c r="DO28" s="2">
        <v>0</v>
      </c>
      <c r="DP28" s="2">
        <v>1</v>
      </c>
      <c r="DQ28" s="2">
        <v>1</v>
      </c>
      <c r="DU28" s="2">
        <v>1005</v>
      </c>
      <c r="DV28" s="2" t="s">
        <v>60</v>
      </c>
      <c r="DW28" s="2" t="s">
        <v>60</v>
      </c>
      <c r="DX28" s="2">
        <v>100</v>
      </c>
      <c r="DZ28" s="2" t="s">
        <v>30</v>
      </c>
      <c r="EA28" s="2" t="s">
        <v>30</v>
      </c>
      <c r="EB28" s="2" t="s">
        <v>30</v>
      </c>
      <c r="EC28" s="2" t="s">
        <v>30</v>
      </c>
      <c r="EE28" s="2">
        <v>49661954</v>
      </c>
      <c r="EF28" s="2">
        <v>1</v>
      </c>
      <c r="EG28" s="2" t="s">
        <v>180</v>
      </c>
      <c r="EH28" s="2">
        <v>0</v>
      </c>
      <c r="EI28" s="2" t="s">
        <v>30</v>
      </c>
      <c r="EJ28" s="2">
        <v>4</v>
      </c>
      <c r="EK28" s="2">
        <v>0</v>
      </c>
      <c r="EL28" s="2" t="s">
        <v>181</v>
      </c>
      <c r="EM28" s="2" t="s">
        <v>182</v>
      </c>
      <c r="EO28" s="2" t="s">
        <v>30</v>
      </c>
      <c r="EQ28" s="2">
        <v>0</v>
      </c>
      <c r="ER28" s="2">
        <v>3421.68</v>
      </c>
      <c r="ES28" s="2">
        <v>650.24</v>
      </c>
      <c r="ET28" s="2">
        <v>2591.36</v>
      </c>
      <c r="EU28" s="2">
        <v>510</v>
      </c>
      <c r="EV28" s="2">
        <v>180.08</v>
      </c>
      <c r="EW28" s="2">
        <v>0.79</v>
      </c>
      <c r="EX28" s="2">
        <v>0</v>
      </c>
      <c r="EY28" s="2">
        <v>0</v>
      </c>
      <c r="FQ28" s="2">
        <v>0</v>
      </c>
      <c r="FR28" s="2">
        <f t="shared" ref="FR28:FR38" si="39">ROUND(IF(AND(BH28=3,BI28=3),P28,0),2)</f>
        <v>0</v>
      </c>
      <c r="FS28" s="2">
        <v>0</v>
      </c>
      <c r="FX28" s="2">
        <v>70</v>
      </c>
      <c r="FY28" s="2">
        <v>10</v>
      </c>
      <c r="GA28" s="2" t="s">
        <v>30</v>
      </c>
      <c r="GD28" s="2">
        <v>0</v>
      </c>
      <c r="GF28" s="2">
        <v>-628905493</v>
      </c>
      <c r="GG28" s="2">
        <v>2</v>
      </c>
      <c r="GH28" s="2">
        <v>1</v>
      </c>
      <c r="GI28" s="2">
        <v>-2</v>
      </c>
      <c r="GJ28" s="2">
        <v>0</v>
      </c>
      <c r="GK28" s="2">
        <f>ROUND(R28*(R12)/100,2)</f>
        <v>13841.6</v>
      </c>
      <c r="GL28" s="2">
        <f t="shared" ref="GL28:GL38" si="40">ROUND(IF(AND(BH28=3,BI28=3,FS28&lt;&gt;0),P28,0),2)</f>
        <v>0</v>
      </c>
      <c r="GM28" s="2">
        <f t="shared" ref="GM28:GM33" si="41">ROUND(O28+X28+Y28+GK28,2)+GX28</f>
        <v>103448.75</v>
      </c>
      <c r="GN28" s="2">
        <f t="shared" ref="GN28:GN33" si="42">IF(OR(BI28=0,BI28=1),ROUND(O28+X28+Y28+GK28,2),0)</f>
        <v>0</v>
      </c>
      <c r="GO28" s="2">
        <f t="shared" ref="GO28:GO33" si="43">IF(BI28=2,ROUND(O28+X28+Y28+GK28,2),0)</f>
        <v>0</v>
      </c>
      <c r="GP28" s="2">
        <f t="shared" ref="GP28:GP33" si="44">IF(BI28=4,ROUND(O28+X28+Y28+GK28,2)+GX28,0)</f>
        <v>103448.75</v>
      </c>
      <c r="GR28" s="2">
        <v>0</v>
      </c>
      <c r="GS28" s="2">
        <v>3</v>
      </c>
      <c r="GT28" s="2">
        <v>0</v>
      </c>
      <c r="GU28" s="2" t="s">
        <v>30</v>
      </c>
      <c r="GV28" s="2">
        <f t="shared" ref="GV28:GV38" si="45">ROUND((GT28),6)</f>
        <v>0</v>
      </c>
      <c r="GW28" s="2">
        <v>1</v>
      </c>
      <c r="GX28" s="2">
        <f t="shared" ref="GX28:GX38" si="46">ROUND(HC28*I28,2)</f>
        <v>0</v>
      </c>
      <c r="HA28" s="2">
        <v>0</v>
      </c>
      <c r="HB28" s="2">
        <v>0</v>
      </c>
      <c r="HC28" s="2">
        <f t="shared" ref="HC28:HC38" si="47">GV28*GW28</f>
        <v>0</v>
      </c>
      <c r="HE28" s="2" t="s">
        <v>30</v>
      </c>
      <c r="HF28" s="2" t="s">
        <v>30</v>
      </c>
      <c r="HM28" s="2" t="s">
        <v>30</v>
      </c>
      <c r="HN28" s="2" t="s">
        <v>30</v>
      </c>
      <c r="HO28" s="2" t="s">
        <v>30</v>
      </c>
      <c r="HP28" s="2" t="s">
        <v>30</v>
      </c>
      <c r="HQ28" s="2" t="s">
        <v>30</v>
      </c>
      <c r="IK28" s="2">
        <v>0</v>
      </c>
    </row>
    <row r="29" spans="1:245" x14ac:dyDescent="0.25">
      <c r="A29" s="2">
        <v>17</v>
      </c>
      <c r="B29" s="2">
        <v>1</v>
      </c>
      <c r="C29" s="2">
        <f>ROW(SmtRes!A13)</f>
        <v>13</v>
      </c>
      <c r="D29" s="2">
        <f>ROW(EtalonRes!A13)</f>
        <v>13</v>
      </c>
      <c r="E29" s="2" t="s">
        <v>183</v>
      </c>
      <c r="F29" s="2" t="s">
        <v>184</v>
      </c>
      <c r="G29" s="2" t="s">
        <v>185</v>
      </c>
      <c r="H29" s="2" t="s">
        <v>60</v>
      </c>
      <c r="I29" s="2">
        <f>ROUND(-2513/100,9)</f>
        <v>-25.13</v>
      </c>
      <c r="J29" s="2">
        <v>0</v>
      </c>
      <c r="K29" s="2">
        <f>ROUND(-2513/100,9)</f>
        <v>-25.13</v>
      </c>
      <c r="O29" s="2">
        <f t="shared" si="12"/>
        <v>-12205.89</v>
      </c>
      <c r="P29" s="2">
        <f t="shared" si="13"/>
        <v>-2680.87</v>
      </c>
      <c r="Q29" s="2">
        <f t="shared" si="14"/>
        <v>-9265.18</v>
      </c>
      <c r="R29" s="2">
        <f t="shared" si="15"/>
        <v>-1568.61</v>
      </c>
      <c r="S29" s="2">
        <f t="shared" si="16"/>
        <v>-259.83999999999997</v>
      </c>
      <c r="T29" s="2">
        <f t="shared" si="17"/>
        <v>0</v>
      </c>
      <c r="U29" s="2">
        <f t="shared" si="18"/>
        <v>-1.0052000000000001</v>
      </c>
      <c r="V29" s="2">
        <f t="shared" si="19"/>
        <v>0</v>
      </c>
      <c r="W29" s="2">
        <f t="shared" si="20"/>
        <v>0</v>
      </c>
      <c r="X29" s="2">
        <f t="shared" si="21"/>
        <v>-181.89</v>
      </c>
      <c r="Y29" s="2">
        <f t="shared" si="21"/>
        <v>-25.98</v>
      </c>
      <c r="AA29" s="2">
        <v>52261502</v>
      </c>
      <c r="AB29" s="2">
        <f t="shared" si="22"/>
        <v>485.71</v>
      </c>
      <c r="AC29" s="2">
        <f t="shared" si="23"/>
        <v>106.68</v>
      </c>
      <c r="AD29" s="2">
        <f t="shared" si="24"/>
        <v>368.69</v>
      </c>
      <c r="AE29" s="2">
        <f t="shared" si="25"/>
        <v>62.42</v>
      </c>
      <c r="AF29" s="2">
        <f t="shared" si="25"/>
        <v>10.34</v>
      </c>
      <c r="AG29" s="2">
        <f t="shared" si="26"/>
        <v>0</v>
      </c>
      <c r="AH29" s="2">
        <f t="shared" si="27"/>
        <v>0.04</v>
      </c>
      <c r="AI29" s="2">
        <f t="shared" si="27"/>
        <v>0</v>
      </c>
      <c r="AJ29" s="2">
        <f t="shared" si="28"/>
        <v>0</v>
      </c>
      <c r="AK29" s="2">
        <v>485.71</v>
      </c>
      <c r="AL29" s="2">
        <v>106.68</v>
      </c>
      <c r="AM29" s="2">
        <v>368.69</v>
      </c>
      <c r="AN29" s="2">
        <v>62.42</v>
      </c>
      <c r="AO29" s="2">
        <v>10.34</v>
      </c>
      <c r="AP29" s="2">
        <v>0</v>
      </c>
      <c r="AQ29" s="2">
        <v>0.04</v>
      </c>
      <c r="AR29" s="2">
        <v>0</v>
      </c>
      <c r="AS29" s="2">
        <v>0</v>
      </c>
      <c r="AT29" s="2">
        <v>70</v>
      </c>
      <c r="AU29" s="2">
        <v>10</v>
      </c>
      <c r="AV29" s="2">
        <v>1</v>
      </c>
      <c r="AW29" s="2">
        <v>1</v>
      </c>
      <c r="AZ29" s="2">
        <v>1</v>
      </c>
      <c r="BA29" s="2">
        <v>1</v>
      </c>
      <c r="BB29" s="2">
        <v>1</v>
      </c>
      <c r="BC29" s="2">
        <v>1</v>
      </c>
      <c r="BD29" s="2" t="s">
        <v>30</v>
      </c>
      <c r="BE29" s="2" t="s">
        <v>30</v>
      </c>
      <c r="BF29" s="2" t="s">
        <v>30</v>
      </c>
      <c r="BG29" s="2" t="s">
        <v>30</v>
      </c>
      <c r="BH29" s="2">
        <v>0</v>
      </c>
      <c r="BI29" s="2">
        <v>4</v>
      </c>
      <c r="BJ29" s="2" t="s">
        <v>186</v>
      </c>
      <c r="BM29" s="2">
        <v>0</v>
      </c>
      <c r="BN29" s="2">
        <v>0</v>
      </c>
      <c r="BO29" s="2" t="s">
        <v>30</v>
      </c>
      <c r="BP29" s="2">
        <v>0</v>
      </c>
      <c r="BQ29" s="2">
        <v>1</v>
      </c>
      <c r="BR29" s="2">
        <v>0</v>
      </c>
      <c r="BS29" s="2">
        <v>1</v>
      </c>
      <c r="BT29" s="2">
        <v>1</v>
      </c>
      <c r="BU29" s="2">
        <v>1</v>
      </c>
      <c r="BV29" s="2">
        <v>1</v>
      </c>
      <c r="BW29" s="2">
        <v>1</v>
      </c>
      <c r="BX29" s="2">
        <v>1</v>
      </c>
      <c r="BY29" s="2" t="s">
        <v>30</v>
      </c>
      <c r="BZ29" s="2">
        <v>70</v>
      </c>
      <c r="CA29" s="2">
        <v>10</v>
      </c>
      <c r="CB29" s="2" t="s">
        <v>30</v>
      </c>
      <c r="CE29" s="2">
        <v>0</v>
      </c>
      <c r="CF29" s="2">
        <v>0</v>
      </c>
      <c r="CG29" s="2">
        <v>0</v>
      </c>
      <c r="CM29" s="2">
        <v>0</v>
      </c>
      <c r="CN29" s="2" t="s">
        <v>30</v>
      </c>
      <c r="CO29" s="2">
        <v>0</v>
      </c>
      <c r="CP29" s="2">
        <f t="shared" si="29"/>
        <v>-12205.89</v>
      </c>
      <c r="CQ29" s="2">
        <f t="shared" si="30"/>
        <v>106.68</v>
      </c>
      <c r="CR29" s="2">
        <f t="shared" si="31"/>
        <v>368.69</v>
      </c>
      <c r="CS29" s="2">
        <f t="shared" si="32"/>
        <v>62.42</v>
      </c>
      <c r="CT29" s="2">
        <f t="shared" si="33"/>
        <v>10.34</v>
      </c>
      <c r="CU29" s="2">
        <f t="shared" si="34"/>
        <v>0</v>
      </c>
      <c r="CV29" s="2">
        <f t="shared" si="35"/>
        <v>0.04</v>
      </c>
      <c r="CW29" s="2">
        <f t="shared" si="36"/>
        <v>0</v>
      </c>
      <c r="CX29" s="2">
        <f t="shared" si="36"/>
        <v>0</v>
      </c>
      <c r="CY29" s="2">
        <f t="shared" si="37"/>
        <v>-181.88800000000001</v>
      </c>
      <c r="CZ29" s="2">
        <f t="shared" si="38"/>
        <v>-25.984000000000002</v>
      </c>
      <c r="DC29" s="2" t="s">
        <v>30</v>
      </c>
      <c r="DD29" s="2" t="s">
        <v>30</v>
      </c>
      <c r="DE29" s="2" t="s">
        <v>30</v>
      </c>
      <c r="DF29" s="2" t="s">
        <v>30</v>
      </c>
      <c r="DG29" s="2" t="s">
        <v>30</v>
      </c>
      <c r="DH29" s="2" t="s">
        <v>30</v>
      </c>
      <c r="DI29" s="2" t="s">
        <v>30</v>
      </c>
      <c r="DJ29" s="2" t="s">
        <v>30</v>
      </c>
      <c r="DK29" s="2" t="s">
        <v>30</v>
      </c>
      <c r="DL29" s="2" t="s">
        <v>30</v>
      </c>
      <c r="DM29" s="2" t="s">
        <v>30</v>
      </c>
      <c r="DN29" s="2">
        <v>0</v>
      </c>
      <c r="DO29" s="2">
        <v>0</v>
      </c>
      <c r="DP29" s="2">
        <v>1</v>
      </c>
      <c r="DQ29" s="2">
        <v>1</v>
      </c>
      <c r="DU29" s="2">
        <v>1005</v>
      </c>
      <c r="DV29" s="2" t="s">
        <v>60</v>
      </c>
      <c r="DW29" s="2" t="s">
        <v>60</v>
      </c>
      <c r="DX29" s="2">
        <v>100</v>
      </c>
      <c r="DZ29" s="2" t="s">
        <v>30</v>
      </c>
      <c r="EA29" s="2" t="s">
        <v>30</v>
      </c>
      <c r="EB29" s="2" t="s">
        <v>30</v>
      </c>
      <c r="EC29" s="2" t="s">
        <v>30</v>
      </c>
      <c r="EE29" s="2">
        <v>49661954</v>
      </c>
      <c r="EF29" s="2">
        <v>1</v>
      </c>
      <c r="EG29" s="2" t="s">
        <v>180</v>
      </c>
      <c r="EH29" s="2">
        <v>0</v>
      </c>
      <c r="EI29" s="2" t="s">
        <v>30</v>
      </c>
      <c r="EJ29" s="2">
        <v>4</v>
      </c>
      <c r="EK29" s="2">
        <v>0</v>
      </c>
      <c r="EL29" s="2" t="s">
        <v>181</v>
      </c>
      <c r="EM29" s="2" t="s">
        <v>182</v>
      </c>
      <c r="EO29" s="2" t="s">
        <v>30</v>
      </c>
      <c r="EQ29" s="2">
        <v>0</v>
      </c>
      <c r="ER29" s="2">
        <v>485.71</v>
      </c>
      <c r="ES29" s="2">
        <v>106.68</v>
      </c>
      <c r="ET29" s="2">
        <v>368.69</v>
      </c>
      <c r="EU29" s="2">
        <v>62.42</v>
      </c>
      <c r="EV29" s="2">
        <v>10.34</v>
      </c>
      <c r="EW29" s="2">
        <v>0.04</v>
      </c>
      <c r="EX29" s="2">
        <v>0</v>
      </c>
      <c r="EY29" s="2">
        <v>0</v>
      </c>
      <c r="FQ29" s="2">
        <v>0</v>
      </c>
      <c r="FR29" s="2">
        <f t="shared" si="39"/>
        <v>0</v>
      </c>
      <c r="FS29" s="2">
        <v>0</v>
      </c>
      <c r="FX29" s="2">
        <v>70</v>
      </c>
      <c r="FY29" s="2">
        <v>10</v>
      </c>
      <c r="GA29" s="2" t="s">
        <v>30</v>
      </c>
      <c r="GD29" s="2">
        <v>0</v>
      </c>
      <c r="GF29" s="2">
        <v>1520527762</v>
      </c>
      <c r="GG29" s="2">
        <v>2</v>
      </c>
      <c r="GH29" s="2">
        <v>1</v>
      </c>
      <c r="GI29" s="2">
        <v>-2</v>
      </c>
      <c r="GJ29" s="2">
        <v>0</v>
      </c>
      <c r="GK29" s="2">
        <f>ROUND(R29*(R12)/100,2)</f>
        <v>-1694.1</v>
      </c>
      <c r="GL29" s="2">
        <f t="shared" si="40"/>
        <v>0</v>
      </c>
      <c r="GM29" s="2">
        <f t="shared" si="41"/>
        <v>-14107.86</v>
      </c>
      <c r="GN29" s="2">
        <f t="shared" si="42"/>
        <v>0</v>
      </c>
      <c r="GO29" s="2">
        <f t="shared" si="43"/>
        <v>0</v>
      </c>
      <c r="GP29" s="2">
        <f t="shared" si="44"/>
        <v>-14107.86</v>
      </c>
      <c r="GR29" s="2">
        <v>0</v>
      </c>
      <c r="GS29" s="2">
        <v>3</v>
      </c>
      <c r="GT29" s="2">
        <v>0</v>
      </c>
      <c r="GU29" s="2" t="s">
        <v>30</v>
      </c>
      <c r="GV29" s="2">
        <f t="shared" si="45"/>
        <v>0</v>
      </c>
      <c r="GW29" s="2">
        <v>1</v>
      </c>
      <c r="GX29" s="2">
        <f t="shared" si="46"/>
        <v>0</v>
      </c>
      <c r="HA29" s="2">
        <v>0</v>
      </c>
      <c r="HB29" s="2">
        <v>0</v>
      </c>
      <c r="HC29" s="2">
        <f t="shared" si="47"/>
        <v>0</v>
      </c>
      <c r="HE29" s="2" t="s">
        <v>30</v>
      </c>
      <c r="HF29" s="2" t="s">
        <v>30</v>
      </c>
      <c r="HM29" s="2" t="s">
        <v>30</v>
      </c>
      <c r="HN29" s="2" t="s">
        <v>30</v>
      </c>
      <c r="HO29" s="2" t="s">
        <v>30</v>
      </c>
      <c r="HP29" s="2" t="s">
        <v>30</v>
      </c>
      <c r="HQ29" s="2" t="s">
        <v>30</v>
      </c>
      <c r="IK29" s="2">
        <v>0</v>
      </c>
    </row>
    <row r="30" spans="1:245" x14ac:dyDescent="0.25">
      <c r="A30" s="2">
        <v>17</v>
      </c>
      <c r="B30" s="2">
        <v>1</v>
      </c>
      <c r="C30" s="2">
        <f>ROW(SmtRes!A23)</f>
        <v>23</v>
      </c>
      <c r="D30" s="2">
        <f>ROW(EtalonRes!A22)</f>
        <v>22</v>
      </c>
      <c r="E30" s="2" t="s">
        <v>187</v>
      </c>
      <c r="F30" s="2" t="s">
        <v>188</v>
      </c>
      <c r="G30" s="2" t="s">
        <v>189</v>
      </c>
      <c r="H30" s="2" t="s">
        <v>61</v>
      </c>
      <c r="I30" s="2">
        <f>ROUND(753.9/1000,9)</f>
        <v>0.75390000000000001</v>
      </c>
      <c r="J30" s="2">
        <v>0</v>
      </c>
      <c r="K30" s="2">
        <f>ROUND(753.9/1000,9)</f>
        <v>0.75390000000000001</v>
      </c>
      <c r="O30" s="2">
        <f t="shared" si="12"/>
        <v>162162.15</v>
      </c>
      <c r="P30" s="2">
        <f t="shared" si="13"/>
        <v>78618.67</v>
      </c>
      <c r="Q30" s="2">
        <f t="shared" si="14"/>
        <v>70462.179999999993</v>
      </c>
      <c r="R30" s="2">
        <f t="shared" si="15"/>
        <v>28914.39</v>
      </c>
      <c r="S30" s="2">
        <f t="shared" si="16"/>
        <v>13081.3</v>
      </c>
      <c r="T30" s="2">
        <f t="shared" si="17"/>
        <v>0</v>
      </c>
      <c r="U30" s="2">
        <f t="shared" si="18"/>
        <v>65.807930999999996</v>
      </c>
      <c r="V30" s="2">
        <f t="shared" si="19"/>
        <v>0</v>
      </c>
      <c r="W30" s="2">
        <f t="shared" si="20"/>
        <v>0</v>
      </c>
      <c r="X30" s="2">
        <f t="shared" si="21"/>
        <v>9156.91</v>
      </c>
      <c r="Y30" s="2">
        <f t="shared" si="21"/>
        <v>1308.1300000000001</v>
      </c>
      <c r="AA30" s="2">
        <v>52261502</v>
      </c>
      <c r="AB30" s="2">
        <f t="shared" si="22"/>
        <v>215097.7</v>
      </c>
      <c r="AC30" s="2">
        <f t="shared" si="23"/>
        <v>104282.63</v>
      </c>
      <c r="AD30" s="2">
        <f t="shared" si="24"/>
        <v>93463.56</v>
      </c>
      <c r="AE30" s="2">
        <f t="shared" si="25"/>
        <v>38353.089999999997</v>
      </c>
      <c r="AF30" s="2">
        <f t="shared" si="25"/>
        <v>17351.509999999998</v>
      </c>
      <c r="AG30" s="2">
        <f t="shared" si="26"/>
        <v>0</v>
      </c>
      <c r="AH30" s="2">
        <f t="shared" si="27"/>
        <v>87.29</v>
      </c>
      <c r="AI30" s="2">
        <f t="shared" si="27"/>
        <v>0</v>
      </c>
      <c r="AJ30" s="2">
        <f t="shared" si="28"/>
        <v>0</v>
      </c>
      <c r="AK30" s="2">
        <v>215097.7</v>
      </c>
      <c r="AL30" s="2">
        <v>104282.63</v>
      </c>
      <c r="AM30" s="2">
        <v>93463.56</v>
      </c>
      <c r="AN30" s="2">
        <v>38353.089999999997</v>
      </c>
      <c r="AO30" s="2">
        <v>17351.509999999998</v>
      </c>
      <c r="AP30" s="2">
        <v>0</v>
      </c>
      <c r="AQ30" s="2">
        <v>87.29</v>
      </c>
      <c r="AR30" s="2">
        <v>0</v>
      </c>
      <c r="AS30" s="2">
        <v>0</v>
      </c>
      <c r="AT30" s="2">
        <v>70</v>
      </c>
      <c r="AU30" s="2">
        <v>10</v>
      </c>
      <c r="AV30" s="2">
        <v>1</v>
      </c>
      <c r="AW30" s="2">
        <v>1</v>
      </c>
      <c r="AZ30" s="2">
        <v>1</v>
      </c>
      <c r="BA30" s="2">
        <v>1</v>
      </c>
      <c r="BB30" s="2">
        <v>1</v>
      </c>
      <c r="BC30" s="2">
        <v>1</v>
      </c>
      <c r="BD30" s="2" t="s">
        <v>30</v>
      </c>
      <c r="BE30" s="2" t="s">
        <v>30</v>
      </c>
      <c r="BF30" s="2" t="s">
        <v>30</v>
      </c>
      <c r="BG30" s="2" t="s">
        <v>30</v>
      </c>
      <c r="BH30" s="2">
        <v>0</v>
      </c>
      <c r="BI30" s="2">
        <v>4</v>
      </c>
      <c r="BJ30" s="2" t="s">
        <v>190</v>
      </c>
      <c r="BM30" s="2">
        <v>0</v>
      </c>
      <c r="BN30" s="2">
        <v>0</v>
      </c>
      <c r="BO30" s="2" t="s">
        <v>30</v>
      </c>
      <c r="BP30" s="2">
        <v>0</v>
      </c>
      <c r="BQ30" s="2">
        <v>1</v>
      </c>
      <c r="BR30" s="2">
        <v>0</v>
      </c>
      <c r="BS30" s="2">
        <v>1</v>
      </c>
      <c r="BT30" s="2">
        <v>1</v>
      </c>
      <c r="BU30" s="2">
        <v>1</v>
      </c>
      <c r="BV30" s="2">
        <v>1</v>
      </c>
      <c r="BW30" s="2">
        <v>1</v>
      </c>
      <c r="BX30" s="2">
        <v>1</v>
      </c>
      <c r="BY30" s="2" t="s">
        <v>30</v>
      </c>
      <c r="BZ30" s="2">
        <v>70</v>
      </c>
      <c r="CA30" s="2">
        <v>10</v>
      </c>
      <c r="CB30" s="2" t="s">
        <v>30</v>
      </c>
      <c r="CE30" s="2">
        <v>0</v>
      </c>
      <c r="CF30" s="2">
        <v>0</v>
      </c>
      <c r="CG30" s="2">
        <v>0</v>
      </c>
      <c r="CM30" s="2">
        <v>0</v>
      </c>
      <c r="CN30" s="2" t="s">
        <v>30</v>
      </c>
      <c r="CO30" s="2">
        <v>0</v>
      </c>
      <c r="CP30" s="2">
        <f t="shared" si="29"/>
        <v>162162.15</v>
      </c>
      <c r="CQ30" s="2">
        <f t="shared" si="30"/>
        <v>104282.63</v>
      </c>
      <c r="CR30" s="2">
        <f t="shared" si="31"/>
        <v>93463.56</v>
      </c>
      <c r="CS30" s="2">
        <f t="shared" si="32"/>
        <v>38353.089999999997</v>
      </c>
      <c r="CT30" s="2">
        <f t="shared" si="33"/>
        <v>17351.509999999998</v>
      </c>
      <c r="CU30" s="2">
        <f t="shared" si="34"/>
        <v>0</v>
      </c>
      <c r="CV30" s="2">
        <f t="shared" si="35"/>
        <v>87.29</v>
      </c>
      <c r="CW30" s="2">
        <f t="shared" si="36"/>
        <v>0</v>
      </c>
      <c r="CX30" s="2">
        <f t="shared" si="36"/>
        <v>0</v>
      </c>
      <c r="CY30" s="2">
        <f t="shared" si="37"/>
        <v>9156.91</v>
      </c>
      <c r="CZ30" s="2">
        <f t="shared" si="38"/>
        <v>1308.1300000000001</v>
      </c>
      <c r="DC30" s="2" t="s">
        <v>30</v>
      </c>
      <c r="DD30" s="2" t="s">
        <v>30</v>
      </c>
      <c r="DE30" s="2" t="s">
        <v>30</v>
      </c>
      <c r="DF30" s="2" t="s">
        <v>30</v>
      </c>
      <c r="DG30" s="2" t="s">
        <v>30</v>
      </c>
      <c r="DH30" s="2" t="s">
        <v>30</v>
      </c>
      <c r="DI30" s="2" t="s">
        <v>30</v>
      </c>
      <c r="DJ30" s="2" t="s">
        <v>30</v>
      </c>
      <c r="DK30" s="2" t="s">
        <v>30</v>
      </c>
      <c r="DL30" s="2" t="s">
        <v>30</v>
      </c>
      <c r="DM30" s="2" t="s">
        <v>30</v>
      </c>
      <c r="DN30" s="2">
        <v>0</v>
      </c>
      <c r="DO30" s="2">
        <v>0</v>
      </c>
      <c r="DP30" s="2">
        <v>1</v>
      </c>
      <c r="DQ30" s="2">
        <v>1</v>
      </c>
      <c r="DU30" s="2">
        <v>1005</v>
      </c>
      <c r="DV30" s="2" t="s">
        <v>61</v>
      </c>
      <c r="DW30" s="2" t="s">
        <v>61</v>
      </c>
      <c r="DX30" s="2">
        <v>1000</v>
      </c>
      <c r="DZ30" s="2" t="s">
        <v>30</v>
      </c>
      <c r="EA30" s="2" t="s">
        <v>30</v>
      </c>
      <c r="EB30" s="2" t="s">
        <v>30</v>
      </c>
      <c r="EC30" s="2" t="s">
        <v>30</v>
      </c>
      <c r="EE30" s="2">
        <v>49661954</v>
      </c>
      <c r="EF30" s="2">
        <v>1</v>
      </c>
      <c r="EG30" s="2" t="s">
        <v>180</v>
      </c>
      <c r="EH30" s="2">
        <v>0</v>
      </c>
      <c r="EI30" s="2" t="s">
        <v>30</v>
      </c>
      <c r="EJ30" s="2">
        <v>4</v>
      </c>
      <c r="EK30" s="2">
        <v>0</v>
      </c>
      <c r="EL30" s="2" t="s">
        <v>181</v>
      </c>
      <c r="EM30" s="2" t="s">
        <v>182</v>
      </c>
      <c r="EO30" s="2" t="s">
        <v>30</v>
      </c>
      <c r="EQ30" s="2">
        <v>0</v>
      </c>
      <c r="ER30" s="2">
        <v>215097.7</v>
      </c>
      <c r="ES30" s="2">
        <v>104282.63</v>
      </c>
      <c r="ET30" s="2">
        <v>93463.56</v>
      </c>
      <c r="EU30" s="2">
        <v>38353.089999999997</v>
      </c>
      <c r="EV30" s="2">
        <v>17351.509999999998</v>
      </c>
      <c r="EW30" s="2">
        <v>87.29</v>
      </c>
      <c r="EX30" s="2">
        <v>0</v>
      </c>
      <c r="EY30" s="2">
        <v>0</v>
      </c>
      <c r="FQ30" s="2">
        <v>0</v>
      </c>
      <c r="FR30" s="2">
        <f t="shared" si="39"/>
        <v>0</v>
      </c>
      <c r="FS30" s="2">
        <v>0</v>
      </c>
      <c r="FX30" s="2">
        <v>70</v>
      </c>
      <c r="FY30" s="2">
        <v>10</v>
      </c>
      <c r="GA30" s="2" t="s">
        <v>30</v>
      </c>
      <c r="GD30" s="2">
        <v>0</v>
      </c>
      <c r="GF30" s="2">
        <v>571169205</v>
      </c>
      <c r="GG30" s="2">
        <v>2</v>
      </c>
      <c r="GH30" s="2">
        <v>1</v>
      </c>
      <c r="GI30" s="2">
        <v>-2</v>
      </c>
      <c r="GJ30" s="2">
        <v>0</v>
      </c>
      <c r="GK30" s="2">
        <f>ROUND(R30*(R12)/100,2)</f>
        <v>31227.54</v>
      </c>
      <c r="GL30" s="2">
        <f t="shared" si="40"/>
        <v>0</v>
      </c>
      <c r="GM30" s="2">
        <f t="shared" si="41"/>
        <v>203854.73</v>
      </c>
      <c r="GN30" s="2">
        <f t="shared" si="42"/>
        <v>0</v>
      </c>
      <c r="GO30" s="2">
        <f t="shared" si="43"/>
        <v>0</v>
      </c>
      <c r="GP30" s="2">
        <f t="shared" si="44"/>
        <v>203854.73</v>
      </c>
      <c r="GR30" s="2">
        <v>0</v>
      </c>
      <c r="GS30" s="2">
        <v>3</v>
      </c>
      <c r="GT30" s="2">
        <v>0</v>
      </c>
      <c r="GU30" s="2" t="s">
        <v>30</v>
      </c>
      <c r="GV30" s="2">
        <f t="shared" si="45"/>
        <v>0</v>
      </c>
      <c r="GW30" s="2">
        <v>1</v>
      </c>
      <c r="GX30" s="2">
        <f t="shared" si="46"/>
        <v>0</v>
      </c>
      <c r="HA30" s="2">
        <v>0</v>
      </c>
      <c r="HB30" s="2">
        <v>0</v>
      </c>
      <c r="HC30" s="2">
        <f t="shared" si="47"/>
        <v>0</v>
      </c>
      <c r="HE30" s="2" t="s">
        <v>30</v>
      </c>
      <c r="HF30" s="2" t="s">
        <v>30</v>
      </c>
      <c r="HM30" s="2" t="s">
        <v>30</v>
      </c>
      <c r="HN30" s="2" t="s">
        <v>30</v>
      </c>
      <c r="HO30" s="2" t="s">
        <v>30</v>
      </c>
      <c r="HP30" s="2" t="s">
        <v>30</v>
      </c>
      <c r="HQ30" s="2" t="s">
        <v>30</v>
      </c>
      <c r="IK30" s="2">
        <v>0</v>
      </c>
    </row>
    <row r="31" spans="1:245" x14ac:dyDescent="0.25">
      <c r="A31" s="2">
        <v>18</v>
      </c>
      <c r="B31" s="2">
        <v>1</v>
      </c>
      <c r="C31" s="2">
        <v>21</v>
      </c>
      <c r="E31" s="2" t="s">
        <v>29</v>
      </c>
      <c r="F31" s="2" t="s">
        <v>191</v>
      </c>
      <c r="G31" s="2" t="s">
        <v>192</v>
      </c>
      <c r="H31" s="2" t="s">
        <v>62</v>
      </c>
      <c r="I31" s="2">
        <f>I30*J31</f>
        <v>-8.6698500000000003</v>
      </c>
      <c r="J31" s="2">
        <v>-11.5</v>
      </c>
      <c r="K31" s="2">
        <v>-11.5</v>
      </c>
      <c r="O31" s="2">
        <f t="shared" si="12"/>
        <v>-13964.96</v>
      </c>
      <c r="P31" s="2">
        <f t="shared" si="13"/>
        <v>-13964.96</v>
      </c>
      <c r="Q31" s="2">
        <f t="shared" si="14"/>
        <v>0</v>
      </c>
      <c r="R31" s="2">
        <f t="shared" si="15"/>
        <v>0</v>
      </c>
      <c r="S31" s="2">
        <f t="shared" si="16"/>
        <v>0</v>
      </c>
      <c r="T31" s="2">
        <f t="shared" si="17"/>
        <v>0</v>
      </c>
      <c r="U31" s="2">
        <f t="shared" si="18"/>
        <v>0</v>
      </c>
      <c r="V31" s="2">
        <f t="shared" si="19"/>
        <v>0</v>
      </c>
      <c r="W31" s="2">
        <f t="shared" si="20"/>
        <v>0</v>
      </c>
      <c r="X31" s="2">
        <f t="shared" si="21"/>
        <v>0</v>
      </c>
      <c r="Y31" s="2">
        <f t="shared" si="21"/>
        <v>0</v>
      </c>
      <c r="AA31" s="2">
        <v>52261502</v>
      </c>
      <c r="AB31" s="2">
        <f t="shared" si="22"/>
        <v>1610.75</v>
      </c>
      <c r="AC31" s="2">
        <f t="shared" si="23"/>
        <v>1610.75</v>
      </c>
      <c r="AD31" s="2">
        <f t="shared" si="24"/>
        <v>0</v>
      </c>
      <c r="AE31" s="2">
        <f t="shared" si="25"/>
        <v>0</v>
      </c>
      <c r="AF31" s="2">
        <f t="shared" si="25"/>
        <v>0</v>
      </c>
      <c r="AG31" s="2">
        <f t="shared" si="26"/>
        <v>0</v>
      </c>
      <c r="AH31" s="2">
        <f t="shared" si="27"/>
        <v>0</v>
      </c>
      <c r="AI31" s="2">
        <f t="shared" si="27"/>
        <v>0</v>
      </c>
      <c r="AJ31" s="2">
        <f t="shared" si="28"/>
        <v>0</v>
      </c>
      <c r="AK31" s="2">
        <v>1610.75</v>
      </c>
      <c r="AL31" s="2">
        <v>1610.75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70</v>
      </c>
      <c r="AU31" s="2">
        <v>10</v>
      </c>
      <c r="AV31" s="2">
        <v>1</v>
      </c>
      <c r="AW31" s="2">
        <v>1</v>
      </c>
      <c r="AZ31" s="2">
        <v>1</v>
      </c>
      <c r="BA31" s="2">
        <v>1</v>
      </c>
      <c r="BB31" s="2">
        <v>1</v>
      </c>
      <c r="BC31" s="2">
        <v>1</v>
      </c>
      <c r="BD31" s="2" t="s">
        <v>30</v>
      </c>
      <c r="BE31" s="2" t="s">
        <v>30</v>
      </c>
      <c r="BF31" s="2" t="s">
        <v>30</v>
      </c>
      <c r="BG31" s="2" t="s">
        <v>30</v>
      </c>
      <c r="BH31" s="2">
        <v>3</v>
      </c>
      <c r="BI31" s="2">
        <v>4</v>
      </c>
      <c r="BJ31" s="2" t="s">
        <v>193</v>
      </c>
      <c r="BM31" s="2">
        <v>0</v>
      </c>
      <c r="BN31" s="2">
        <v>0</v>
      </c>
      <c r="BO31" s="2" t="s">
        <v>30</v>
      </c>
      <c r="BP31" s="2">
        <v>0</v>
      </c>
      <c r="BQ31" s="2">
        <v>1</v>
      </c>
      <c r="BR31" s="2">
        <v>1</v>
      </c>
      <c r="BS31" s="2">
        <v>1</v>
      </c>
      <c r="BT31" s="2">
        <v>1</v>
      </c>
      <c r="BU31" s="2">
        <v>1</v>
      </c>
      <c r="BV31" s="2">
        <v>1</v>
      </c>
      <c r="BW31" s="2">
        <v>1</v>
      </c>
      <c r="BX31" s="2">
        <v>1</v>
      </c>
      <c r="BY31" s="2" t="s">
        <v>30</v>
      </c>
      <c r="BZ31" s="2">
        <v>70</v>
      </c>
      <c r="CA31" s="2">
        <v>10</v>
      </c>
      <c r="CB31" s="2" t="s">
        <v>30</v>
      </c>
      <c r="CE31" s="2">
        <v>0</v>
      </c>
      <c r="CF31" s="2">
        <v>0</v>
      </c>
      <c r="CG31" s="2">
        <v>0</v>
      </c>
      <c r="CM31" s="2">
        <v>0</v>
      </c>
      <c r="CN31" s="2" t="s">
        <v>30</v>
      </c>
      <c r="CO31" s="2">
        <v>0</v>
      </c>
      <c r="CP31" s="2">
        <f t="shared" si="29"/>
        <v>-13964.96</v>
      </c>
      <c r="CQ31" s="2">
        <f t="shared" si="30"/>
        <v>1610.75</v>
      </c>
      <c r="CR31" s="2">
        <f t="shared" si="31"/>
        <v>0</v>
      </c>
      <c r="CS31" s="2">
        <f t="shared" si="32"/>
        <v>0</v>
      </c>
      <c r="CT31" s="2">
        <f t="shared" si="33"/>
        <v>0</v>
      </c>
      <c r="CU31" s="2">
        <f t="shared" si="34"/>
        <v>0</v>
      </c>
      <c r="CV31" s="2">
        <f t="shared" si="35"/>
        <v>0</v>
      </c>
      <c r="CW31" s="2">
        <f t="shared" si="36"/>
        <v>0</v>
      </c>
      <c r="CX31" s="2">
        <f t="shared" si="36"/>
        <v>0</v>
      </c>
      <c r="CY31" s="2">
        <f t="shared" si="37"/>
        <v>0</v>
      </c>
      <c r="CZ31" s="2">
        <f t="shared" si="38"/>
        <v>0</v>
      </c>
      <c r="DC31" s="2" t="s">
        <v>30</v>
      </c>
      <c r="DD31" s="2" t="s">
        <v>30</v>
      </c>
      <c r="DE31" s="2" t="s">
        <v>30</v>
      </c>
      <c r="DF31" s="2" t="s">
        <v>30</v>
      </c>
      <c r="DG31" s="2" t="s">
        <v>30</v>
      </c>
      <c r="DH31" s="2" t="s">
        <v>30</v>
      </c>
      <c r="DI31" s="2" t="s">
        <v>30</v>
      </c>
      <c r="DJ31" s="2" t="s">
        <v>30</v>
      </c>
      <c r="DK31" s="2" t="s">
        <v>30</v>
      </c>
      <c r="DL31" s="2" t="s">
        <v>30</v>
      </c>
      <c r="DM31" s="2" t="s">
        <v>30</v>
      </c>
      <c r="DN31" s="2">
        <v>0</v>
      </c>
      <c r="DO31" s="2">
        <v>0</v>
      </c>
      <c r="DP31" s="2">
        <v>1</v>
      </c>
      <c r="DQ31" s="2">
        <v>1</v>
      </c>
      <c r="DU31" s="2">
        <v>1007</v>
      </c>
      <c r="DV31" s="2" t="s">
        <v>62</v>
      </c>
      <c r="DW31" s="2" t="s">
        <v>62</v>
      </c>
      <c r="DX31" s="2">
        <v>1</v>
      </c>
      <c r="DZ31" s="2" t="s">
        <v>30</v>
      </c>
      <c r="EA31" s="2" t="s">
        <v>30</v>
      </c>
      <c r="EB31" s="2" t="s">
        <v>30</v>
      </c>
      <c r="EC31" s="2" t="s">
        <v>30</v>
      </c>
      <c r="EE31" s="2">
        <v>49661954</v>
      </c>
      <c r="EF31" s="2">
        <v>1</v>
      </c>
      <c r="EG31" s="2" t="s">
        <v>180</v>
      </c>
      <c r="EH31" s="2">
        <v>0</v>
      </c>
      <c r="EI31" s="2" t="s">
        <v>30</v>
      </c>
      <c r="EJ31" s="2">
        <v>4</v>
      </c>
      <c r="EK31" s="2">
        <v>0</v>
      </c>
      <c r="EL31" s="2" t="s">
        <v>181</v>
      </c>
      <c r="EM31" s="2" t="s">
        <v>182</v>
      </c>
      <c r="EO31" s="2" t="s">
        <v>30</v>
      </c>
      <c r="EQ31" s="2">
        <v>0</v>
      </c>
      <c r="ER31" s="2">
        <v>1610.75</v>
      </c>
      <c r="ES31" s="2">
        <v>1610.75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FQ31" s="2">
        <v>0</v>
      </c>
      <c r="FR31" s="2">
        <f t="shared" si="39"/>
        <v>0</v>
      </c>
      <c r="FS31" s="2">
        <v>0</v>
      </c>
      <c r="FX31" s="2">
        <v>70</v>
      </c>
      <c r="FY31" s="2">
        <v>10</v>
      </c>
      <c r="GA31" s="2" t="s">
        <v>30</v>
      </c>
      <c r="GD31" s="2">
        <v>0</v>
      </c>
      <c r="GF31" s="2">
        <v>-235652667</v>
      </c>
      <c r="GG31" s="2">
        <v>2</v>
      </c>
      <c r="GH31" s="2">
        <v>1</v>
      </c>
      <c r="GI31" s="2">
        <v>-2</v>
      </c>
      <c r="GJ31" s="2">
        <v>0</v>
      </c>
      <c r="GK31" s="2">
        <f>ROUND(R31*(R12)/100,2)</f>
        <v>0</v>
      </c>
      <c r="GL31" s="2">
        <f t="shared" si="40"/>
        <v>0</v>
      </c>
      <c r="GM31" s="2">
        <f t="shared" si="41"/>
        <v>-13964.96</v>
      </c>
      <c r="GN31" s="2">
        <f t="shared" si="42"/>
        <v>0</v>
      </c>
      <c r="GO31" s="2">
        <f t="shared" si="43"/>
        <v>0</v>
      </c>
      <c r="GP31" s="2">
        <f t="shared" si="44"/>
        <v>-13964.96</v>
      </c>
      <c r="GR31" s="2">
        <v>0</v>
      </c>
      <c r="GS31" s="2">
        <v>3</v>
      </c>
      <c r="GT31" s="2">
        <v>0</v>
      </c>
      <c r="GU31" s="2" t="s">
        <v>30</v>
      </c>
      <c r="GV31" s="2">
        <f t="shared" si="45"/>
        <v>0</v>
      </c>
      <c r="GW31" s="2">
        <v>1</v>
      </c>
      <c r="GX31" s="2">
        <f t="shared" si="46"/>
        <v>0</v>
      </c>
      <c r="HA31" s="2">
        <v>0</v>
      </c>
      <c r="HB31" s="2">
        <v>0</v>
      </c>
      <c r="HC31" s="2">
        <f t="shared" si="47"/>
        <v>0</v>
      </c>
      <c r="HE31" s="2" t="s">
        <v>30</v>
      </c>
      <c r="HF31" s="2" t="s">
        <v>30</v>
      </c>
      <c r="HM31" s="2" t="s">
        <v>30</v>
      </c>
      <c r="HN31" s="2" t="s">
        <v>30</v>
      </c>
      <c r="HO31" s="2" t="s">
        <v>30</v>
      </c>
      <c r="HP31" s="2" t="s">
        <v>30</v>
      </c>
      <c r="HQ31" s="2" t="s">
        <v>30</v>
      </c>
      <c r="IK31" s="2">
        <v>0</v>
      </c>
    </row>
    <row r="32" spans="1:245" x14ac:dyDescent="0.25">
      <c r="A32" s="2">
        <v>18</v>
      </c>
      <c r="B32" s="2">
        <v>1</v>
      </c>
      <c r="C32" s="2">
        <v>22</v>
      </c>
      <c r="E32" s="2" t="s">
        <v>31</v>
      </c>
      <c r="F32" s="2" t="s">
        <v>194</v>
      </c>
      <c r="G32" s="2" t="s">
        <v>195</v>
      </c>
      <c r="H32" s="2" t="s">
        <v>62</v>
      </c>
      <c r="I32" s="2">
        <f>I30*J32</f>
        <v>-41.464500000000001</v>
      </c>
      <c r="J32" s="2">
        <v>-55</v>
      </c>
      <c r="K32" s="2">
        <v>-55</v>
      </c>
      <c r="O32" s="2">
        <f t="shared" si="12"/>
        <v>-63969.36</v>
      </c>
      <c r="P32" s="2">
        <f t="shared" si="13"/>
        <v>-63969.36</v>
      </c>
      <c r="Q32" s="2">
        <f t="shared" si="14"/>
        <v>0</v>
      </c>
      <c r="R32" s="2">
        <f t="shared" si="15"/>
        <v>0</v>
      </c>
      <c r="S32" s="2">
        <f t="shared" si="16"/>
        <v>0</v>
      </c>
      <c r="T32" s="2">
        <f t="shared" si="17"/>
        <v>0</v>
      </c>
      <c r="U32" s="2">
        <f t="shared" si="18"/>
        <v>0</v>
      </c>
      <c r="V32" s="2">
        <f t="shared" si="19"/>
        <v>0</v>
      </c>
      <c r="W32" s="2">
        <f t="shared" si="20"/>
        <v>0</v>
      </c>
      <c r="X32" s="2">
        <f t="shared" si="21"/>
        <v>0</v>
      </c>
      <c r="Y32" s="2">
        <f t="shared" si="21"/>
        <v>0</v>
      </c>
      <c r="AA32" s="2">
        <v>52261502</v>
      </c>
      <c r="AB32" s="2">
        <f t="shared" si="22"/>
        <v>1542.75</v>
      </c>
      <c r="AC32" s="2">
        <f t="shared" si="23"/>
        <v>1542.75</v>
      </c>
      <c r="AD32" s="2">
        <f t="shared" si="24"/>
        <v>0</v>
      </c>
      <c r="AE32" s="2">
        <f t="shared" si="25"/>
        <v>0</v>
      </c>
      <c r="AF32" s="2">
        <f t="shared" si="25"/>
        <v>0</v>
      </c>
      <c r="AG32" s="2">
        <f t="shared" si="26"/>
        <v>0</v>
      </c>
      <c r="AH32" s="2">
        <f t="shared" si="27"/>
        <v>0</v>
      </c>
      <c r="AI32" s="2">
        <f t="shared" si="27"/>
        <v>0</v>
      </c>
      <c r="AJ32" s="2">
        <f t="shared" si="28"/>
        <v>0</v>
      </c>
      <c r="AK32" s="2">
        <v>1542.75</v>
      </c>
      <c r="AL32" s="2">
        <v>1542.75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70</v>
      </c>
      <c r="AU32" s="2">
        <v>10</v>
      </c>
      <c r="AV32" s="2">
        <v>1</v>
      </c>
      <c r="AW32" s="2">
        <v>1</v>
      </c>
      <c r="AZ32" s="2">
        <v>1</v>
      </c>
      <c r="BA32" s="2">
        <v>1</v>
      </c>
      <c r="BB32" s="2">
        <v>1</v>
      </c>
      <c r="BC32" s="2">
        <v>1</v>
      </c>
      <c r="BD32" s="2" t="s">
        <v>30</v>
      </c>
      <c r="BE32" s="2" t="s">
        <v>30</v>
      </c>
      <c r="BF32" s="2" t="s">
        <v>30</v>
      </c>
      <c r="BG32" s="2" t="s">
        <v>30</v>
      </c>
      <c r="BH32" s="2">
        <v>3</v>
      </c>
      <c r="BI32" s="2">
        <v>4</v>
      </c>
      <c r="BJ32" s="2" t="s">
        <v>196</v>
      </c>
      <c r="BM32" s="2">
        <v>0</v>
      </c>
      <c r="BN32" s="2">
        <v>0</v>
      </c>
      <c r="BO32" s="2" t="s">
        <v>30</v>
      </c>
      <c r="BP32" s="2">
        <v>0</v>
      </c>
      <c r="BQ32" s="2">
        <v>1</v>
      </c>
      <c r="BR32" s="2">
        <v>1</v>
      </c>
      <c r="BS32" s="2">
        <v>1</v>
      </c>
      <c r="BT32" s="2">
        <v>1</v>
      </c>
      <c r="BU32" s="2">
        <v>1</v>
      </c>
      <c r="BV32" s="2">
        <v>1</v>
      </c>
      <c r="BW32" s="2">
        <v>1</v>
      </c>
      <c r="BX32" s="2">
        <v>1</v>
      </c>
      <c r="BY32" s="2" t="s">
        <v>30</v>
      </c>
      <c r="BZ32" s="2">
        <v>70</v>
      </c>
      <c r="CA32" s="2">
        <v>10</v>
      </c>
      <c r="CB32" s="2" t="s">
        <v>30</v>
      </c>
      <c r="CE32" s="2">
        <v>0</v>
      </c>
      <c r="CF32" s="2">
        <v>0</v>
      </c>
      <c r="CG32" s="2">
        <v>0</v>
      </c>
      <c r="CM32" s="2">
        <v>0</v>
      </c>
      <c r="CN32" s="2" t="s">
        <v>30</v>
      </c>
      <c r="CO32" s="2">
        <v>0</v>
      </c>
      <c r="CP32" s="2">
        <f t="shared" si="29"/>
        <v>-63969.36</v>
      </c>
      <c r="CQ32" s="2">
        <f t="shared" si="30"/>
        <v>1542.75</v>
      </c>
      <c r="CR32" s="2">
        <f t="shared" si="31"/>
        <v>0</v>
      </c>
      <c r="CS32" s="2">
        <f t="shared" si="32"/>
        <v>0</v>
      </c>
      <c r="CT32" s="2">
        <f t="shared" si="33"/>
        <v>0</v>
      </c>
      <c r="CU32" s="2">
        <f t="shared" si="34"/>
        <v>0</v>
      </c>
      <c r="CV32" s="2">
        <f t="shared" si="35"/>
        <v>0</v>
      </c>
      <c r="CW32" s="2">
        <f t="shared" si="36"/>
        <v>0</v>
      </c>
      <c r="CX32" s="2">
        <f t="shared" si="36"/>
        <v>0</v>
      </c>
      <c r="CY32" s="2">
        <f t="shared" si="37"/>
        <v>0</v>
      </c>
      <c r="CZ32" s="2">
        <f t="shared" si="38"/>
        <v>0</v>
      </c>
      <c r="DC32" s="2" t="s">
        <v>30</v>
      </c>
      <c r="DD32" s="2" t="s">
        <v>30</v>
      </c>
      <c r="DE32" s="2" t="s">
        <v>30</v>
      </c>
      <c r="DF32" s="2" t="s">
        <v>30</v>
      </c>
      <c r="DG32" s="2" t="s">
        <v>30</v>
      </c>
      <c r="DH32" s="2" t="s">
        <v>30</v>
      </c>
      <c r="DI32" s="2" t="s">
        <v>30</v>
      </c>
      <c r="DJ32" s="2" t="s">
        <v>30</v>
      </c>
      <c r="DK32" s="2" t="s">
        <v>30</v>
      </c>
      <c r="DL32" s="2" t="s">
        <v>30</v>
      </c>
      <c r="DM32" s="2" t="s">
        <v>30</v>
      </c>
      <c r="DN32" s="2">
        <v>0</v>
      </c>
      <c r="DO32" s="2">
        <v>0</v>
      </c>
      <c r="DP32" s="2">
        <v>1</v>
      </c>
      <c r="DQ32" s="2">
        <v>1</v>
      </c>
      <c r="DU32" s="2">
        <v>1007</v>
      </c>
      <c r="DV32" s="2" t="s">
        <v>62</v>
      </c>
      <c r="DW32" s="2" t="s">
        <v>62</v>
      </c>
      <c r="DX32" s="2">
        <v>1</v>
      </c>
      <c r="DZ32" s="2" t="s">
        <v>30</v>
      </c>
      <c r="EA32" s="2" t="s">
        <v>30</v>
      </c>
      <c r="EB32" s="2" t="s">
        <v>30</v>
      </c>
      <c r="EC32" s="2" t="s">
        <v>30</v>
      </c>
      <c r="EE32" s="2">
        <v>49661954</v>
      </c>
      <c r="EF32" s="2">
        <v>1</v>
      </c>
      <c r="EG32" s="2" t="s">
        <v>180</v>
      </c>
      <c r="EH32" s="2">
        <v>0</v>
      </c>
      <c r="EI32" s="2" t="s">
        <v>30</v>
      </c>
      <c r="EJ32" s="2">
        <v>4</v>
      </c>
      <c r="EK32" s="2">
        <v>0</v>
      </c>
      <c r="EL32" s="2" t="s">
        <v>181</v>
      </c>
      <c r="EM32" s="2" t="s">
        <v>182</v>
      </c>
      <c r="EO32" s="2" t="s">
        <v>30</v>
      </c>
      <c r="EQ32" s="2">
        <v>0</v>
      </c>
      <c r="ER32" s="2">
        <v>1542.75</v>
      </c>
      <c r="ES32" s="2">
        <v>1542.75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FQ32" s="2">
        <v>0</v>
      </c>
      <c r="FR32" s="2">
        <f t="shared" si="39"/>
        <v>0</v>
      </c>
      <c r="FS32" s="2">
        <v>0</v>
      </c>
      <c r="FX32" s="2">
        <v>70</v>
      </c>
      <c r="FY32" s="2">
        <v>10</v>
      </c>
      <c r="GA32" s="2" t="s">
        <v>30</v>
      </c>
      <c r="GD32" s="2">
        <v>0</v>
      </c>
      <c r="GF32" s="2">
        <v>-1914292201</v>
      </c>
      <c r="GG32" s="2">
        <v>2</v>
      </c>
      <c r="GH32" s="2">
        <v>1</v>
      </c>
      <c r="GI32" s="2">
        <v>-2</v>
      </c>
      <c r="GJ32" s="2">
        <v>0</v>
      </c>
      <c r="GK32" s="2">
        <f>ROUND(R32*(R12)/100,2)</f>
        <v>0</v>
      </c>
      <c r="GL32" s="2">
        <f t="shared" si="40"/>
        <v>0</v>
      </c>
      <c r="GM32" s="2">
        <f t="shared" si="41"/>
        <v>-63969.36</v>
      </c>
      <c r="GN32" s="2">
        <f t="shared" si="42"/>
        <v>0</v>
      </c>
      <c r="GO32" s="2">
        <f t="shared" si="43"/>
        <v>0</v>
      </c>
      <c r="GP32" s="2">
        <f t="shared" si="44"/>
        <v>-63969.36</v>
      </c>
      <c r="GR32" s="2">
        <v>0</v>
      </c>
      <c r="GS32" s="2">
        <v>3</v>
      </c>
      <c r="GT32" s="2">
        <v>0</v>
      </c>
      <c r="GU32" s="2" t="s">
        <v>30</v>
      </c>
      <c r="GV32" s="2">
        <f t="shared" si="45"/>
        <v>0</v>
      </c>
      <c r="GW32" s="2">
        <v>1</v>
      </c>
      <c r="GX32" s="2">
        <f t="shared" si="46"/>
        <v>0</v>
      </c>
      <c r="HA32" s="2">
        <v>0</v>
      </c>
      <c r="HB32" s="2">
        <v>0</v>
      </c>
      <c r="HC32" s="2">
        <f t="shared" si="47"/>
        <v>0</v>
      </c>
      <c r="HE32" s="2" t="s">
        <v>30</v>
      </c>
      <c r="HF32" s="2" t="s">
        <v>30</v>
      </c>
      <c r="HM32" s="2" t="s">
        <v>30</v>
      </c>
      <c r="HN32" s="2" t="s">
        <v>30</v>
      </c>
      <c r="HO32" s="2" t="s">
        <v>30</v>
      </c>
      <c r="HP32" s="2" t="s">
        <v>30</v>
      </c>
      <c r="HQ32" s="2" t="s">
        <v>30</v>
      </c>
      <c r="IK32" s="2">
        <v>0</v>
      </c>
    </row>
    <row r="33" spans="1:245" x14ac:dyDescent="0.25">
      <c r="A33" s="2">
        <v>18</v>
      </c>
      <c r="B33" s="2">
        <v>1</v>
      </c>
      <c r="C33" s="2">
        <v>20</v>
      </c>
      <c r="E33" s="2" t="s">
        <v>32</v>
      </c>
      <c r="F33" s="2" t="s">
        <v>107</v>
      </c>
      <c r="G33" s="2" t="s">
        <v>108</v>
      </c>
      <c r="H33" s="2" t="s">
        <v>62</v>
      </c>
      <c r="I33" s="2">
        <f>I30*J33</f>
        <v>41.464500000000001</v>
      </c>
      <c r="J33" s="2">
        <v>55</v>
      </c>
      <c r="K33" s="2">
        <v>55</v>
      </c>
      <c r="O33" s="2">
        <f t="shared" si="12"/>
        <v>51105</v>
      </c>
      <c r="P33" s="2">
        <f t="shared" si="13"/>
        <v>51105</v>
      </c>
      <c r="Q33" s="2">
        <f t="shared" si="14"/>
        <v>0</v>
      </c>
      <c r="R33" s="2">
        <f t="shared" si="15"/>
        <v>0</v>
      </c>
      <c r="S33" s="2">
        <f t="shared" si="16"/>
        <v>0</v>
      </c>
      <c r="T33" s="2">
        <f t="shared" si="17"/>
        <v>0</v>
      </c>
      <c r="U33" s="2">
        <f t="shared" si="18"/>
        <v>0</v>
      </c>
      <c r="V33" s="2">
        <f t="shared" si="19"/>
        <v>0</v>
      </c>
      <c r="W33" s="2">
        <f t="shared" si="20"/>
        <v>0</v>
      </c>
      <c r="X33" s="2">
        <f t="shared" si="21"/>
        <v>0</v>
      </c>
      <c r="Y33" s="2">
        <f t="shared" si="21"/>
        <v>0</v>
      </c>
      <c r="AA33" s="2">
        <v>52261502</v>
      </c>
      <c r="AB33" s="2">
        <f t="shared" si="22"/>
        <v>1232.5</v>
      </c>
      <c r="AC33" s="2">
        <f t="shared" si="23"/>
        <v>1232.5</v>
      </c>
      <c r="AD33" s="2">
        <f t="shared" si="24"/>
        <v>0</v>
      </c>
      <c r="AE33" s="2">
        <f t="shared" si="25"/>
        <v>0</v>
      </c>
      <c r="AF33" s="2">
        <f t="shared" si="25"/>
        <v>0</v>
      </c>
      <c r="AG33" s="2">
        <f t="shared" si="26"/>
        <v>0</v>
      </c>
      <c r="AH33" s="2">
        <f t="shared" si="27"/>
        <v>0</v>
      </c>
      <c r="AI33" s="2">
        <f t="shared" si="27"/>
        <v>0</v>
      </c>
      <c r="AJ33" s="2">
        <f t="shared" si="28"/>
        <v>0</v>
      </c>
      <c r="AK33" s="2">
        <v>1232.5</v>
      </c>
      <c r="AL33" s="2">
        <v>1232.5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70</v>
      </c>
      <c r="AU33" s="2">
        <v>10</v>
      </c>
      <c r="AV33" s="2">
        <v>1</v>
      </c>
      <c r="AW33" s="2">
        <v>1</v>
      </c>
      <c r="AZ33" s="2">
        <v>1</v>
      </c>
      <c r="BA33" s="2">
        <v>1</v>
      </c>
      <c r="BB33" s="2">
        <v>1</v>
      </c>
      <c r="BC33" s="2">
        <v>1</v>
      </c>
      <c r="BD33" s="2" t="s">
        <v>30</v>
      </c>
      <c r="BE33" s="2" t="s">
        <v>30</v>
      </c>
      <c r="BF33" s="2" t="s">
        <v>30</v>
      </c>
      <c r="BG33" s="2" t="s">
        <v>30</v>
      </c>
      <c r="BH33" s="2">
        <v>3</v>
      </c>
      <c r="BI33" s="2">
        <v>4</v>
      </c>
      <c r="BJ33" s="2" t="s">
        <v>197</v>
      </c>
      <c r="BM33" s="2">
        <v>0</v>
      </c>
      <c r="BN33" s="2">
        <v>0</v>
      </c>
      <c r="BO33" s="2" t="s">
        <v>30</v>
      </c>
      <c r="BP33" s="2">
        <v>0</v>
      </c>
      <c r="BQ33" s="2">
        <v>1</v>
      </c>
      <c r="BR33" s="2">
        <v>0</v>
      </c>
      <c r="BS33" s="2">
        <v>1</v>
      </c>
      <c r="BT33" s="2">
        <v>1</v>
      </c>
      <c r="BU33" s="2">
        <v>1</v>
      </c>
      <c r="BV33" s="2">
        <v>1</v>
      </c>
      <c r="BW33" s="2">
        <v>1</v>
      </c>
      <c r="BX33" s="2">
        <v>1</v>
      </c>
      <c r="BY33" s="2" t="s">
        <v>30</v>
      </c>
      <c r="BZ33" s="2">
        <v>70</v>
      </c>
      <c r="CA33" s="2">
        <v>10</v>
      </c>
      <c r="CB33" s="2" t="s">
        <v>30</v>
      </c>
      <c r="CE33" s="2">
        <v>0</v>
      </c>
      <c r="CF33" s="2">
        <v>0</v>
      </c>
      <c r="CG33" s="2">
        <v>0</v>
      </c>
      <c r="CM33" s="2">
        <v>0</v>
      </c>
      <c r="CN33" s="2" t="s">
        <v>30</v>
      </c>
      <c r="CO33" s="2">
        <v>0</v>
      </c>
      <c r="CP33" s="2">
        <f t="shared" si="29"/>
        <v>51105</v>
      </c>
      <c r="CQ33" s="2">
        <f t="shared" si="30"/>
        <v>1232.5</v>
      </c>
      <c r="CR33" s="2">
        <f t="shared" si="31"/>
        <v>0</v>
      </c>
      <c r="CS33" s="2">
        <f t="shared" si="32"/>
        <v>0</v>
      </c>
      <c r="CT33" s="2">
        <f t="shared" si="33"/>
        <v>0</v>
      </c>
      <c r="CU33" s="2">
        <f t="shared" si="34"/>
        <v>0</v>
      </c>
      <c r="CV33" s="2">
        <f t="shared" si="35"/>
        <v>0</v>
      </c>
      <c r="CW33" s="2">
        <f t="shared" si="36"/>
        <v>0</v>
      </c>
      <c r="CX33" s="2">
        <f t="shared" si="36"/>
        <v>0</v>
      </c>
      <c r="CY33" s="2">
        <f t="shared" si="37"/>
        <v>0</v>
      </c>
      <c r="CZ33" s="2">
        <f t="shared" si="38"/>
        <v>0</v>
      </c>
      <c r="DC33" s="2" t="s">
        <v>30</v>
      </c>
      <c r="DD33" s="2" t="s">
        <v>30</v>
      </c>
      <c r="DE33" s="2" t="s">
        <v>30</v>
      </c>
      <c r="DF33" s="2" t="s">
        <v>30</v>
      </c>
      <c r="DG33" s="2" t="s">
        <v>30</v>
      </c>
      <c r="DH33" s="2" t="s">
        <v>30</v>
      </c>
      <c r="DI33" s="2" t="s">
        <v>30</v>
      </c>
      <c r="DJ33" s="2" t="s">
        <v>30</v>
      </c>
      <c r="DK33" s="2" t="s">
        <v>30</v>
      </c>
      <c r="DL33" s="2" t="s">
        <v>30</v>
      </c>
      <c r="DM33" s="2" t="s">
        <v>30</v>
      </c>
      <c r="DN33" s="2">
        <v>0</v>
      </c>
      <c r="DO33" s="2">
        <v>0</v>
      </c>
      <c r="DP33" s="2">
        <v>1</v>
      </c>
      <c r="DQ33" s="2">
        <v>1</v>
      </c>
      <c r="DU33" s="2">
        <v>1007</v>
      </c>
      <c r="DV33" s="2" t="s">
        <v>62</v>
      </c>
      <c r="DW33" s="2" t="s">
        <v>62</v>
      </c>
      <c r="DX33" s="2">
        <v>1</v>
      </c>
      <c r="DZ33" s="2" t="s">
        <v>30</v>
      </c>
      <c r="EA33" s="2" t="s">
        <v>30</v>
      </c>
      <c r="EB33" s="2" t="s">
        <v>30</v>
      </c>
      <c r="EC33" s="2" t="s">
        <v>30</v>
      </c>
      <c r="EE33" s="2">
        <v>49661954</v>
      </c>
      <c r="EF33" s="2">
        <v>1</v>
      </c>
      <c r="EG33" s="2" t="s">
        <v>180</v>
      </c>
      <c r="EH33" s="2">
        <v>0</v>
      </c>
      <c r="EI33" s="2" t="s">
        <v>30</v>
      </c>
      <c r="EJ33" s="2">
        <v>4</v>
      </c>
      <c r="EK33" s="2">
        <v>0</v>
      </c>
      <c r="EL33" s="2" t="s">
        <v>181</v>
      </c>
      <c r="EM33" s="2" t="s">
        <v>182</v>
      </c>
      <c r="EO33" s="2" t="s">
        <v>30</v>
      </c>
      <c r="EQ33" s="2">
        <v>0</v>
      </c>
      <c r="ER33" s="2">
        <v>1232.5</v>
      </c>
      <c r="ES33" s="2">
        <v>1232.5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FQ33" s="2">
        <v>0</v>
      </c>
      <c r="FR33" s="2">
        <f t="shared" si="39"/>
        <v>0</v>
      </c>
      <c r="FS33" s="2">
        <v>0</v>
      </c>
      <c r="FX33" s="2">
        <v>70</v>
      </c>
      <c r="FY33" s="2">
        <v>10</v>
      </c>
      <c r="GA33" s="2" t="s">
        <v>30</v>
      </c>
      <c r="GD33" s="2">
        <v>0</v>
      </c>
      <c r="GF33" s="2">
        <v>-579596608</v>
      </c>
      <c r="GG33" s="2">
        <v>2</v>
      </c>
      <c r="GH33" s="2">
        <v>1</v>
      </c>
      <c r="GI33" s="2">
        <v>-2</v>
      </c>
      <c r="GJ33" s="2">
        <v>0</v>
      </c>
      <c r="GK33" s="2">
        <f>ROUND(R33*(R12)/100,2)</f>
        <v>0</v>
      </c>
      <c r="GL33" s="2">
        <f t="shared" si="40"/>
        <v>0</v>
      </c>
      <c r="GM33" s="2">
        <f t="shared" si="41"/>
        <v>51105</v>
      </c>
      <c r="GN33" s="2">
        <f t="shared" si="42"/>
        <v>0</v>
      </c>
      <c r="GO33" s="2">
        <f t="shared" si="43"/>
        <v>0</v>
      </c>
      <c r="GP33" s="2">
        <f t="shared" si="44"/>
        <v>51105</v>
      </c>
      <c r="GR33" s="2">
        <v>0</v>
      </c>
      <c r="GS33" s="2">
        <v>3</v>
      </c>
      <c r="GT33" s="2">
        <v>0</v>
      </c>
      <c r="GU33" s="2" t="s">
        <v>30</v>
      </c>
      <c r="GV33" s="2">
        <f t="shared" si="45"/>
        <v>0</v>
      </c>
      <c r="GW33" s="2">
        <v>1</v>
      </c>
      <c r="GX33" s="2">
        <f t="shared" si="46"/>
        <v>0</v>
      </c>
      <c r="HA33" s="2">
        <v>0</v>
      </c>
      <c r="HB33" s="2">
        <v>0</v>
      </c>
      <c r="HC33" s="2">
        <f t="shared" si="47"/>
        <v>0</v>
      </c>
      <c r="HE33" s="2" t="s">
        <v>30</v>
      </c>
      <c r="HF33" s="2" t="s">
        <v>30</v>
      </c>
      <c r="HM33" s="2" t="s">
        <v>30</v>
      </c>
      <c r="HN33" s="2" t="s">
        <v>30</v>
      </c>
      <c r="HO33" s="2" t="s">
        <v>30</v>
      </c>
      <c r="HP33" s="2" t="s">
        <v>30</v>
      </c>
      <c r="HQ33" s="2" t="s">
        <v>30</v>
      </c>
      <c r="IK33" s="2">
        <v>0</v>
      </c>
    </row>
    <row r="34" spans="1:245" x14ac:dyDescent="0.25">
      <c r="A34" s="2">
        <v>17</v>
      </c>
      <c r="B34" s="2">
        <v>1</v>
      </c>
      <c r="C34" s="2">
        <f>ROW(SmtRes!A25)</f>
        <v>25</v>
      </c>
      <c r="D34" s="2">
        <f>ROW(EtalonRes!A24)</f>
        <v>24</v>
      </c>
      <c r="E34" s="2" t="s">
        <v>198</v>
      </c>
      <c r="F34" s="2" t="s">
        <v>199</v>
      </c>
      <c r="G34" s="2" t="s">
        <v>200</v>
      </c>
      <c r="H34" s="2" t="s">
        <v>63</v>
      </c>
      <c r="I34" s="2">
        <v>301.56</v>
      </c>
      <c r="J34" s="2">
        <v>0</v>
      </c>
      <c r="K34" s="2">
        <v>301.56</v>
      </c>
      <c r="O34" s="2">
        <f t="shared" si="12"/>
        <v>18461.5</v>
      </c>
      <c r="P34" s="2">
        <f t="shared" si="13"/>
        <v>0</v>
      </c>
      <c r="Q34" s="2">
        <f t="shared" si="14"/>
        <v>18461.5</v>
      </c>
      <c r="R34" s="2">
        <f t="shared" si="15"/>
        <v>9954.5</v>
      </c>
      <c r="S34" s="2">
        <f t="shared" si="16"/>
        <v>0</v>
      </c>
      <c r="T34" s="2">
        <f t="shared" si="17"/>
        <v>0</v>
      </c>
      <c r="U34" s="2">
        <f t="shared" si="18"/>
        <v>0</v>
      </c>
      <c r="V34" s="2">
        <f t="shared" si="19"/>
        <v>0</v>
      </c>
      <c r="W34" s="2">
        <f t="shared" si="20"/>
        <v>0</v>
      </c>
      <c r="X34" s="2">
        <f t="shared" si="21"/>
        <v>0</v>
      </c>
      <c r="Y34" s="2">
        <f t="shared" si="21"/>
        <v>0</v>
      </c>
      <c r="AA34" s="2">
        <v>52261502</v>
      </c>
      <c r="AB34" s="2">
        <f t="shared" si="22"/>
        <v>61.22</v>
      </c>
      <c r="AC34" s="2">
        <f t="shared" si="23"/>
        <v>0</v>
      </c>
      <c r="AD34" s="2">
        <f t="shared" si="24"/>
        <v>61.22</v>
      </c>
      <c r="AE34" s="2">
        <f t="shared" si="25"/>
        <v>33.01</v>
      </c>
      <c r="AF34" s="2">
        <f t="shared" si="25"/>
        <v>0</v>
      </c>
      <c r="AG34" s="2">
        <f t="shared" si="26"/>
        <v>0</v>
      </c>
      <c r="AH34" s="2">
        <f t="shared" si="27"/>
        <v>0</v>
      </c>
      <c r="AI34" s="2">
        <f t="shared" si="27"/>
        <v>0</v>
      </c>
      <c r="AJ34" s="2">
        <f t="shared" si="28"/>
        <v>0</v>
      </c>
      <c r="AK34" s="2">
        <v>61.22</v>
      </c>
      <c r="AL34" s="2">
        <v>0</v>
      </c>
      <c r="AM34" s="2">
        <v>61.22</v>
      </c>
      <c r="AN34" s="2">
        <v>33.01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</v>
      </c>
      <c r="AW34" s="2">
        <v>1</v>
      </c>
      <c r="AZ34" s="2">
        <v>1</v>
      </c>
      <c r="BA34" s="2">
        <v>1</v>
      </c>
      <c r="BB34" s="2">
        <v>1</v>
      </c>
      <c r="BC34" s="2">
        <v>1</v>
      </c>
      <c r="BD34" s="2" t="s">
        <v>30</v>
      </c>
      <c r="BE34" s="2" t="s">
        <v>30</v>
      </c>
      <c r="BF34" s="2" t="s">
        <v>30</v>
      </c>
      <c r="BG34" s="2" t="s">
        <v>30</v>
      </c>
      <c r="BH34" s="2">
        <v>0</v>
      </c>
      <c r="BI34" s="2">
        <v>4</v>
      </c>
      <c r="BJ34" s="2" t="s">
        <v>201</v>
      </c>
      <c r="BM34" s="2">
        <v>1</v>
      </c>
      <c r="BN34" s="2">
        <v>0</v>
      </c>
      <c r="BO34" s="2" t="s">
        <v>30</v>
      </c>
      <c r="BP34" s="2">
        <v>0</v>
      </c>
      <c r="BQ34" s="2">
        <v>1</v>
      </c>
      <c r="BR34" s="2">
        <v>0</v>
      </c>
      <c r="BS34" s="2">
        <v>1</v>
      </c>
      <c r="BT34" s="2">
        <v>1</v>
      </c>
      <c r="BU34" s="2">
        <v>1</v>
      </c>
      <c r="BV34" s="2">
        <v>1</v>
      </c>
      <c r="BW34" s="2">
        <v>1</v>
      </c>
      <c r="BX34" s="2">
        <v>1</v>
      </c>
      <c r="BY34" s="2" t="s">
        <v>30</v>
      </c>
      <c r="BZ34" s="2">
        <v>0</v>
      </c>
      <c r="CA34" s="2">
        <v>0</v>
      </c>
      <c r="CB34" s="2" t="s">
        <v>30</v>
      </c>
      <c r="CE34" s="2">
        <v>0</v>
      </c>
      <c r="CF34" s="2">
        <v>0</v>
      </c>
      <c r="CG34" s="2">
        <v>0</v>
      </c>
      <c r="CM34" s="2">
        <v>0</v>
      </c>
      <c r="CN34" s="2" t="s">
        <v>30</v>
      </c>
      <c r="CO34" s="2">
        <v>0</v>
      </c>
      <c r="CP34" s="2">
        <f t="shared" si="29"/>
        <v>18461.5</v>
      </c>
      <c r="CQ34" s="2">
        <f t="shared" si="30"/>
        <v>0</v>
      </c>
      <c r="CR34" s="2">
        <f t="shared" si="31"/>
        <v>61.22</v>
      </c>
      <c r="CS34" s="2">
        <f t="shared" si="32"/>
        <v>33.01</v>
      </c>
      <c r="CT34" s="2">
        <f t="shared" si="33"/>
        <v>0</v>
      </c>
      <c r="CU34" s="2">
        <f t="shared" si="34"/>
        <v>0</v>
      </c>
      <c r="CV34" s="2">
        <f t="shared" si="35"/>
        <v>0</v>
      </c>
      <c r="CW34" s="2">
        <f t="shared" si="36"/>
        <v>0</v>
      </c>
      <c r="CX34" s="2">
        <f t="shared" si="36"/>
        <v>0</v>
      </c>
      <c r="CY34" s="2">
        <f t="shared" si="37"/>
        <v>0</v>
      </c>
      <c r="CZ34" s="2">
        <f t="shared" si="38"/>
        <v>0</v>
      </c>
      <c r="DC34" s="2" t="s">
        <v>30</v>
      </c>
      <c r="DD34" s="2" t="s">
        <v>30</v>
      </c>
      <c r="DE34" s="2" t="s">
        <v>30</v>
      </c>
      <c r="DF34" s="2" t="s">
        <v>30</v>
      </c>
      <c r="DG34" s="2" t="s">
        <v>30</v>
      </c>
      <c r="DH34" s="2" t="s">
        <v>30</v>
      </c>
      <c r="DI34" s="2" t="s">
        <v>30</v>
      </c>
      <c r="DJ34" s="2" t="s">
        <v>30</v>
      </c>
      <c r="DK34" s="2" t="s">
        <v>30</v>
      </c>
      <c r="DL34" s="2" t="s">
        <v>30</v>
      </c>
      <c r="DM34" s="2" t="s">
        <v>30</v>
      </c>
      <c r="DN34" s="2">
        <v>0</v>
      </c>
      <c r="DO34" s="2">
        <v>0</v>
      </c>
      <c r="DP34" s="2">
        <v>1</v>
      </c>
      <c r="DQ34" s="2">
        <v>1</v>
      </c>
      <c r="DU34" s="2">
        <v>1009</v>
      </c>
      <c r="DV34" s="2" t="s">
        <v>63</v>
      </c>
      <c r="DW34" s="2" t="s">
        <v>63</v>
      </c>
      <c r="DX34" s="2">
        <v>1000</v>
      </c>
      <c r="DZ34" s="2" t="s">
        <v>30</v>
      </c>
      <c r="EA34" s="2" t="s">
        <v>30</v>
      </c>
      <c r="EB34" s="2" t="s">
        <v>30</v>
      </c>
      <c r="EC34" s="2" t="s">
        <v>30</v>
      </c>
      <c r="EE34" s="2">
        <v>49661956</v>
      </c>
      <c r="EF34" s="2">
        <v>1</v>
      </c>
      <c r="EG34" s="2" t="s">
        <v>180</v>
      </c>
      <c r="EH34" s="2">
        <v>0</v>
      </c>
      <c r="EI34" s="2" t="s">
        <v>30</v>
      </c>
      <c r="EJ34" s="2">
        <v>4</v>
      </c>
      <c r="EK34" s="2">
        <v>1</v>
      </c>
      <c r="EL34" s="2" t="s">
        <v>202</v>
      </c>
      <c r="EM34" s="2" t="s">
        <v>182</v>
      </c>
      <c r="EO34" s="2" t="s">
        <v>30</v>
      </c>
      <c r="EQ34" s="2">
        <v>0</v>
      </c>
      <c r="ER34" s="2">
        <v>61.22</v>
      </c>
      <c r="ES34" s="2">
        <v>0</v>
      </c>
      <c r="ET34" s="2">
        <v>61.22</v>
      </c>
      <c r="EU34" s="2">
        <v>33.01</v>
      </c>
      <c r="EV34" s="2">
        <v>0</v>
      </c>
      <c r="EW34" s="2">
        <v>0</v>
      </c>
      <c r="EX34" s="2">
        <v>0</v>
      </c>
      <c r="EY34" s="2">
        <v>0</v>
      </c>
      <c r="FQ34" s="2">
        <v>0</v>
      </c>
      <c r="FR34" s="2">
        <f t="shared" si="39"/>
        <v>0</v>
      </c>
      <c r="FS34" s="2">
        <v>0</v>
      </c>
      <c r="FX34" s="2">
        <v>0</v>
      </c>
      <c r="FY34" s="2">
        <v>0</v>
      </c>
      <c r="GA34" s="2" t="s">
        <v>30</v>
      </c>
      <c r="GD34" s="2">
        <v>1</v>
      </c>
      <c r="GF34" s="2">
        <v>-343939543</v>
      </c>
      <c r="GG34" s="2">
        <v>2</v>
      </c>
      <c r="GH34" s="2">
        <v>1</v>
      </c>
      <c r="GI34" s="2">
        <v>-2</v>
      </c>
      <c r="GJ34" s="2">
        <v>0</v>
      </c>
      <c r="GK34" s="2">
        <v>0</v>
      </c>
      <c r="GL34" s="2">
        <f t="shared" si="40"/>
        <v>0</v>
      </c>
      <c r="GM34" s="2">
        <f>ROUND(O34+X34+Y34,2)+GX34</f>
        <v>18461.5</v>
      </c>
      <c r="GN34" s="2">
        <f>IF(OR(BI34=0,BI34=1),ROUND(O34+X34+Y34,2),0)</f>
        <v>0</v>
      </c>
      <c r="GO34" s="2">
        <f>IF(BI34=2,ROUND(O34+X34+Y34,2),0)</f>
        <v>0</v>
      </c>
      <c r="GP34" s="2">
        <f>IF(BI34=4,ROUND(O34+X34+Y34,2)+GX34,0)</f>
        <v>18461.5</v>
      </c>
      <c r="GR34" s="2">
        <v>0</v>
      </c>
      <c r="GS34" s="2">
        <v>3</v>
      </c>
      <c r="GT34" s="2">
        <v>0</v>
      </c>
      <c r="GU34" s="2" t="s">
        <v>30</v>
      </c>
      <c r="GV34" s="2">
        <f t="shared" si="45"/>
        <v>0</v>
      </c>
      <c r="GW34" s="2">
        <v>1</v>
      </c>
      <c r="GX34" s="2">
        <f t="shared" si="46"/>
        <v>0</v>
      </c>
      <c r="HA34" s="2">
        <v>0</v>
      </c>
      <c r="HB34" s="2">
        <v>0</v>
      </c>
      <c r="HC34" s="2">
        <f t="shared" si="47"/>
        <v>0</v>
      </c>
      <c r="HE34" s="2" t="s">
        <v>30</v>
      </c>
      <c r="HF34" s="2" t="s">
        <v>30</v>
      </c>
      <c r="HM34" s="2" t="s">
        <v>30</v>
      </c>
      <c r="HN34" s="2" t="s">
        <v>30</v>
      </c>
      <c r="HO34" s="2" t="s">
        <v>30</v>
      </c>
      <c r="HP34" s="2" t="s">
        <v>30</v>
      </c>
      <c r="HQ34" s="2" t="s">
        <v>30</v>
      </c>
      <c r="IK34" s="2">
        <v>0</v>
      </c>
    </row>
    <row r="35" spans="1:245" x14ac:dyDescent="0.25">
      <c r="A35" s="2">
        <v>17</v>
      </c>
      <c r="B35" s="2">
        <v>1</v>
      </c>
      <c r="C35" s="2">
        <f>ROW(SmtRes!A27)</f>
        <v>27</v>
      </c>
      <c r="D35" s="2">
        <f>ROW(EtalonRes!A26)</f>
        <v>26</v>
      </c>
      <c r="E35" s="2" t="s">
        <v>203</v>
      </c>
      <c r="F35" s="2" t="s">
        <v>204</v>
      </c>
      <c r="G35" s="2" t="s">
        <v>205</v>
      </c>
      <c r="H35" s="2" t="s">
        <v>63</v>
      </c>
      <c r="I35" s="2">
        <v>301.56</v>
      </c>
      <c r="J35" s="2">
        <v>0</v>
      </c>
      <c r="K35" s="2">
        <v>301.56</v>
      </c>
      <c r="O35" s="2">
        <f t="shared" si="12"/>
        <v>454595.67</v>
      </c>
      <c r="P35" s="2">
        <f t="shared" si="13"/>
        <v>0</v>
      </c>
      <c r="Q35" s="2">
        <f t="shared" si="14"/>
        <v>454595.67</v>
      </c>
      <c r="R35" s="2">
        <f t="shared" si="15"/>
        <v>245252.72</v>
      </c>
      <c r="S35" s="2">
        <f t="shared" si="16"/>
        <v>0</v>
      </c>
      <c r="T35" s="2">
        <f t="shared" si="17"/>
        <v>0</v>
      </c>
      <c r="U35" s="2">
        <f t="shared" si="18"/>
        <v>0</v>
      </c>
      <c r="V35" s="2">
        <f t="shared" si="19"/>
        <v>0</v>
      </c>
      <c r="W35" s="2">
        <f t="shared" si="20"/>
        <v>0</v>
      </c>
      <c r="X35" s="2">
        <f t="shared" si="21"/>
        <v>0</v>
      </c>
      <c r="Y35" s="2">
        <f t="shared" si="21"/>
        <v>0</v>
      </c>
      <c r="AA35" s="2">
        <v>52261502</v>
      </c>
      <c r="AB35" s="2">
        <f t="shared" si="22"/>
        <v>1507.48</v>
      </c>
      <c r="AC35" s="2">
        <f>ROUND(((ES35*52)),6)</f>
        <v>0</v>
      </c>
      <c r="AD35" s="2">
        <f>ROUND(((((ET35*52))-((EU35*52)))+AE35),6)</f>
        <v>1507.48</v>
      </c>
      <c r="AE35" s="2">
        <f>ROUND(((EU35*52)),6)</f>
        <v>813.28</v>
      </c>
      <c r="AF35" s="2">
        <f>ROUND(((EV35*52)),6)</f>
        <v>0</v>
      </c>
      <c r="AG35" s="2">
        <f t="shared" si="26"/>
        <v>0</v>
      </c>
      <c r="AH35" s="2">
        <f>((EW35*52))</f>
        <v>0</v>
      </c>
      <c r="AI35" s="2">
        <f>((EX35*52))</f>
        <v>0</v>
      </c>
      <c r="AJ35" s="2">
        <f t="shared" si="28"/>
        <v>0</v>
      </c>
      <c r="AK35" s="2">
        <v>28.99</v>
      </c>
      <c r="AL35" s="2">
        <v>0</v>
      </c>
      <c r="AM35" s="2">
        <v>28.99</v>
      </c>
      <c r="AN35" s="2">
        <v>15.64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1</v>
      </c>
      <c r="AW35" s="2">
        <v>1</v>
      </c>
      <c r="AZ35" s="2">
        <v>1</v>
      </c>
      <c r="BA35" s="2">
        <v>1</v>
      </c>
      <c r="BB35" s="2">
        <v>1</v>
      </c>
      <c r="BC35" s="2">
        <v>1</v>
      </c>
      <c r="BD35" s="2" t="s">
        <v>30</v>
      </c>
      <c r="BE35" s="2" t="s">
        <v>30</v>
      </c>
      <c r="BF35" s="2" t="s">
        <v>30</v>
      </c>
      <c r="BG35" s="2" t="s">
        <v>30</v>
      </c>
      <c r="BH35" s="2">
        <v>0</v>
      </c>
      <c r="BI35" s="2">
        <v>4</v>
      </c>
      <c r="BJ35" s="2" t="s">
        <v>206</v>
      </c>
      <c r="BM35" s="2">
        <v>1</v>
      </c>
      <c r="BN35" s="2">
        <v>0</v>
      </c>
      <c r="BO35" s="2" t="s">
        <v>30</v>
      </c>
      <c r="BP35" s="2">
        <v>0</v>
      </c>
      <c r="BQ35" s="2">
        <v>1</v>
      </c>
      <c r="BR35" s="2">
        <v>0</v>
      </c>
      <c r="BS35" s="2">
        <v>1</v>
      </c>
      <c r="BT35" s="2">
        <v>1</v>
      </c>
      <c r="BU35" s="2">
        <v>1</v>
      </c>
      <c r="BV35" s="2">
        <v>1</v>
      </c>
      <c r="BW35" s="2">
        <v>1</v>
      </c>
      <c r="BX35" s="2">
        <v>1</v>
      </c>
      <c r="BY35" s="2" t="s">
        <v>30</v>
      </c>
      <c r="BZ35" s="2">
        <v>0</v>
      </c>
      <c r="CA35" s="2">
        <v>0</v>
      </c>
      <c r="CB35" s="2" t="s">
        <v>30</v>
      </c>
      <c r="CE35" s="2">
        <v>0</v>
      </c>
      <c r="CF35" s="2">
        <v>0</v>
      </c>
      <c r="CG35" s="2">
        <v>0</v>
      </c>
      <c r="CM35" s="2">
        <v>0</v>
      </c>
      <c r="CN35" s="2" t="s">
        <v>30</v>
      </c>
      <c r="CO35" s="2">
        <v>0</v>
      </c>
      <c r="CP35" s="2">
        <f t="shared" si="29"/>
        <v>454595.67</v>
      </c>
      <c r="CQ35" s="2">
        <f t="shared" si="30"/>
        <v>0</v>
      </c>
      <c r="CR35" s="2">
        <f>(((((ET35*52))*BB35-((EU35*52))*BS35)+AE35*BS35)*AV35)</f>
        <v>1507.48</v>
      </c>
      <c r="CS35" s="2">
        <f t="shared" si="32"/>
        <v>813.28</v>
      </c>
      <c r="CT35" s="2">
        <f t="shared" si="33"/>
        <v>0</v>
      </c>
      <c r="CU35" s="2">
        <f t="shared" si="34"/>
        <v>0</v>
      </c>
      <c r="CV35" s="2">
        <f t="shared" si="35"/>
        <v>0</v>
      </c>
      <c r="CW35" s="2">
        <f t="shared" si="36"/>
        <v>0</v>
      </c>
      <c r="CX35" s="2">
        <f t="shared" si="36"/>
        <v>0</v>
      </c>
      <c r="CY35" s="2">
        <f t="shared" si="37"/>
        <v>0</v>
      </c>
      <c r="CZ35" s="2">
        <f t="shared" si="38"/>
        <v>0</v>
      </c>
      <c r="DC35" s="2" t="s">
        <v>30</v>
      </c>
      <c r="DD35" s="2" t="s">
        <v>207</v>
      </c>
      <c r="DE35" s="2" t="s">
        <v>207</v>
      </c>
      <c r="DF35" s="2" t="s">
        <v>207</v>
      </c>
      <c r="DG35" s="2" t="s">
        <v>207</v>
      </c>
      <c r="DH35" s="2" t="s">
        <v>30</v>
      </c>
      <c r="DI35" s="2" t="s">
        <v>207</v>
      </c>
      <c r="DJ35" s="2" t="s">
        <v>207</v>
      </c>
      <c r="DK35" s="2" t="s">
        <v>30</v>
      </c>
      <c r="DL35" s="2" t="s">
        <v>30</v>
      </c>
      <c r="DM35" s="2" t="s">
        <v>30</v>
      </c>
      <c r="DN35" s="2">
        <v>0</v>
      </c>
      <c r="DO35" s="2">
        <v>0</v>
      </c>
      <c r="DP35" s="2">
        <v>1</v>
      </c>
      <c r="DQ35" s="2">
        <v>1</v>
      </c>
      <c r="DU35" s="2">
        <v>1009</v>
      </c>
      <c r="DV35" s="2" t="s">
        <v>63</v>
      </c>
      <c r="DW35" s="2" t="s">
        <v>63</v>
      </c>
      <c r="DX35" s="2">
        <v>1000</v>
      </c>
      <c r="DZ35" s="2" t="s">
        <v>30</v>
      </c>
      <c r="EA35" s="2" t="s">
        <v>30</v>
      </c>
      <c r="EB35" s="2" t="s">
        <v>30</v>
      </c>
      <c r="EC35" s="2" t="s">
        <v>30</v>
      </c>
      <c r="EE35" s="2">
        <v>49661956</v>
      </c>
      <c r="EF35" s="2">
        <v>1</v>
      </c>
      <c r="EG35" s="2" t="s">
        <v>180</v>
      </c>
      <c r="EH35" s="2">
        <v>0</v>
      </c>
      <c r="EI35" s="2" t="s">
        <v>30</v>
      </c>
      <c r="EJ35" s="2">
        <v>4</v>
      </c>
      <c r="EK35" s="2">
        <v>1</v>
      </c>
      <c r="EL35" s="2" t="s">
        <v>202</v>
      </c>
      <c r="EM35" s="2" t="s">
        <v>182</v>
      </c>
      <c r="EO35" s="2" t="s">
        <v>30</v>
      </c>
      <c r="EQ35" s="2">
        <v>0</v>
      </c>
      <c r="ER35" s="2">
        <v>28.99</v>
      </c>
      <c r="ES35" s="2">
        <v>0</v>
      </c>
      <c r="ET35" s="2">
        <v>28.99</v>
      </c>
      <c r="EU35" s="2">
        <v>15.64</v>
      </c>
      <c r="EV35" s="2">
        <v>0</v>
      </c>
      <c r="EW35" s="2">
        <v>0</v>
      </c>
      <c r="EX35" s="2">
        <v>0</v>
      </c>
      <c r="EY35" s="2">
        <v>0</v>
      </c>
      <c r="FQ35" s="2">
        <v>0</v>
      </c>
      <c r="FR35" s="2">
        <f t="shared" si="39"/>
        <v>0</v>
      </c>
      <c r="FS35" s="2">
        <v>0</v>
      </c>
      <c r="FX35" s="2">
        <v>0</v>
      </c>
      <c r="FY35" s="2">
        <v>0</v>
      </c>
      <c r="GA35" s="2" t="s">
        <v>30</v>
      </c>
      <c r="GD35" s="2">
        <v>1</v>
      </c>
      <c r="GF35" s="2">
        <v>-1355325295</v>
      </c>
      <c r="GG35" s="2">
        <v>2</v>
      </c>
      <c r="GH35" s="2">
        <v>1</v>
      </c>
      <c r="GI35" s="2">
        <v>-2</v>
      </c>
      <c r="GJ35" s="2">
        <v>0</v>
      </c>
      <c r="GK35" s="2">
        <v>0</v>
      </c>
      <c r="GL35" s="2">
        <f t="shared" si="40"/>
        <v>0</v>
      </c>
      <c r="GM35" s="2">
        <f>ROUND(O35+X35+Y35,2)+GX35</f>
        <v>454595.67</v>
      </c>
      <c r="GN35" s="2">
        <f>IF(OR(BI35=0,BI35=1),ROUND(O35+X35+Y35,2),0)</f>
        <v>0</v>
      </c>
      <c r="GO35" s="2">
        <f>IF(BI35=2,ROUND(O35+X35+Y35,2),0)</f>
        <v>0</v>
      </c>
      <c r="GP35" s="2">
        <f>IF(BI35=4,ROUND(O35+X35+Y35,2)+GX35,0)</f>
        <v>454595.67</v>
      </c>
      <c r="GR35" s="2">
        <v>0</v>
      </c>
      <c r="GS35" s="2">
        <v>3</v>
      </c>
      <c r="GT35" s="2">
        <v>0</v>
      </c>
      <c r="GU35" s="2" t="s">
        <v>30</v>
      </c>
      <c r="GV35" s="2">
        <f t="shared" si="45"/>
        <v>0</v>
      </c>
      <c r="GW35" s="2">
        <v>1</v>
      </c>
      <c r="GX35" s="2">
        <f t="shared" si="46"/>
        <v>0</v>
      </c>
      <c r="HA35" s="2">
        <v>0</v>
      </c>
      <c r="HB35" s="2">
        <v>0</v>
      </c>
      <c r="HC35" s="2">
        <f t="shared" si="47"/>
        <v>0</v>
      </c>
      <c r="HE35" s="2" t="s">
        <v>30</v>
      </c>
      <c r="HF35" s="2" t="s">
        <v>30</v>
      </c>
      <c r="HM35" s="2" t="s">
        <v>30</v>
      </c>
      <c r="HN35" s="2" t="s">
        <v>30</v>
      </c>
      <c r="HO35" s="2" t="s">
        <v>30</v>
      </c>
      <c r="HP35" s="2" t="s">
        <v>30</v>
      </c>
      <c r="HQ35" s="2" t="s">
        <v>30</v>
      </c>
      <c r="IK35" s="2">
        <v>0</v>
      </c>
    </row>
    <row r="36" spans="1:245" x14ac:dyDescent="0.25">
      <c r="A36" s="2">
        <v>17</v>
      </c>
      <c r="B36" s="2">
        <v>1</v>
      </c>
      <c r="C36" s="2">
        <f>ROW(SmtRes!A32)</f>
        <v>32</v>
      </c>
      <c r="D36" s="2">
        <f>ROW(EtalonRes!A30)</f>
        <v>30</v>
      </c>
      <c r="E36" s="2" t="s">
        <v>208</v>
      </c>
      <c r="F36" s="2" t="s">
        <v>209</v>
      </c>
      <c r="G36" s="2" t="s">
        <v>210</v>
      </c>
      <c r="H36" s="2" t="s">
        <v>60</v>
      </c>
      <c r="I36" s="2">
        <f>ROUND(2513/100,9)</f>
        <v>25.13</v>
      </c>
      <c r="J36" s="2">
        <v>0</v>
      </c>
      <c r="K36" s="2">
        <f>ROUND(2513/100,9)</f>
        <v>25.13</v>
      </c>
      <c r="O36" s="2">
        <f t="shared" si="12"/>
        <v>675258.42</v>
      </c>
      <c r="P36" s="2">
        <f t="shared" si="13"/>
        <v>582596.82999999996</v>
      </c>
      <c r="Q36" s="2">
        <f t="shared" si="14"/>
        <v>30522.14</v>
      </c>
      <c r="R36" s="2">
        <f t="shared" si="15"/>
        <v>12446.89</v>
      </c>
      <c r="S36" s="2">
        <f t="shared" si="16"/>
        <v>62139.45</v>
      </c>
      <c r="T36" s="2">
        <f t="shared" si="17"/>
        <v>0</v>
      </c>
      <c r="U36" s="2">
        <f t="shared" si="18"/>
        <v>258.839</v>
      </c>
      <c r="V36" s="2">
        <f t="shared" si="19"/>
        <v>0</v>
      </c>
      <c r="W36" s="2">
        <f t="shared" si="20"/>
        <v>0</v>
      </c>
      <c r="X36" s="2">
        <f t="shared" si="21"/>
        <v>43497.62</v>
      </c>
      <c r="Y36" s="2">
        <f t="shared" si="21"/>
        <v>6213.95</v>
      </c>
      <c r="AA36" s="2">
        <v>52261502</v>
      </c>
      <c r="AB36" s="2">
        <f t="shared" si="22"/>
        <v>26870.61</v>
      </c>
      <c r="AC36" s="2">
        <f>ROUND((ES36),6)</f>
        <v>23183.32</v>
      </c>
      <c r="AD36" s="2">
        <f>ROUND((((ET36)-(EU36))+AE36),6)</f>
        <v>1214.57</v>
      </c>
      <c r="AE36" s="2">
        <f t="shared" ref="AE36:AF38" si="48">ROUND((EU36),6)</f>
        <v>495.3</v>
      </c>
      <c r="AF36" s="2">
        <f t="shared" si="48"/>
        <v>2472.7199999999998</v>
      </c>
      <c r="AG36" s="2">
        <f t="shared" si="26"/>
        <v>0</v>
      </c>
      <c r="AH36" s="2">
        <f t="shared" ref="AH36:AI38" si="49">(EW36)</f>
        <v>10.3</v>
      </c>
      <c r="AI36" s="2">
        <f t="shared" si="49"/>
        <v>0</v>
      </c>
      <c r="AJ36" s="2">
        <f t="shared" si="28"/>
        <v>0</v>
      </c>
      <c r="AK36" s="2">
        <v>26870.61</v>
      </c>
      <c r="AL36" s="2">
        <v>23183.32</v>
      </c>
      <c r="AM36" s="2">
        <v>1214.57</v>
      </c>
      <c r="AN36" s="2">
        <v>495.3</v>
      </c>
      <c r="AO36" s="2">
        <v>2472.7199999999998</v>
      </c>
      <c r="AP36" s="2">
        <v>0</v>
      </c>
      <c r="AQ36" s="2">
        <v>10.3</v>
      </c>
      <c r="AR36" s="2">
        <v>0</v>
      </c>
      <c r="AS36" s="2">
        <v>0</v>
      </c>
      <c r="AT36" s="2">
        <v>70</v>
      </c>
      <c r="AU36" s="2">
        <v>10</v>
      </c>
      <c r="AV36" s="2">
        <v>1</v>
      </c>
      <c r="AW36" s="2">
        <v>1</v>
      </c>
      <c r="AZ36" s="2">
        <v>1</v>
      </c>
      <c r="BA36" s="2">
        <v>1</v>
      </c>
      <c r="BB36" s="2">
        <v>1</v>
      </c>
      <c r="BC36" s="2">
        <v>1</v>
      </c>
      <c r="BD36" s="2" t="s">
        <v>30</v>
      </c>
      <c r="BE36" s="2" t="s">
        <v>30</v>
      </c>
      <c r="BF36" s="2" t="s">
        <v>30</v>
      </c>
      <c r="BG36" s="2" t="s">
        <v>30</v>
      </c>
      <c r="BH36" s="2">
        <v>0</v>
      </c>
      <c r="BI36" s="2">
        <v>4</v>
      </c>
      <c r="BJ36" s="2" t="s">
        <v>211</v>
      </c>
      <c r="BM36" s="2">
        <v>0</v>
      </c>
      <c r="BN36" s="2">
        <v>0</v>
      </c>
      <c r="BO36" s="2" t="s">
        <v>30</v>
      </c>
      <c r="BP36" s="2">
        <v>0</v>
      </c>
      <c r="BQ36" s="2">
        <v>1</v>
      </c>
      <c r="BR36" s="2">
        <v>0</v>
      </c>
      <c r="BS36" s="2">
        <v>1</v>
      </c>
      <c r="BT36" s="2">
        <v>1</v>
      </c>
      <c r="BU36" s="2">
        <v>1</v>
      </c>
      <c r="BV36" s="2">
        <v>1</v>
      </c>
      <c r="BW36" s="2">
        <v>1</v>
      </c>
      <c r="BX36" s="2">
        <v>1</v>
      </c>
      <c r="BY36" s="2" t="s">
        <v>30</v>
      </c>
      <c r="BZ36" s="2">
        <v>70</v>
      </c>
      <c r="CA36" s="2">
        <v>10</v>
      </c>
      <c r="CB36" s="2" t="s">
        <v>30</v>
      </c>
      <c r="CE36" s="2">
        <v>0</v>
      </c>
      <c r="CF36" s="2">
        <v>0</v>
      </c>
      <c r="CG36" s="2">
        <v>0</v>
      </c>
      <c r="CM36" s="2">
        <v>0</v>
      </c>
      <c r="CN36" s="2" t="s">
        <v>30</v>
      </c>
      <c r="CO36" s="2">
        <v>0</v>
      </c>
      <c r="CP36" s="2">
        <f t="shared" si="29"/>
        <v>675258.42</v>
      </c>
      <c r="CQ36" s="2">
        <f t="shared" si="30"/>
        <v>23183.32</v>
      </c>
      <c r="CR36" s="2">
        <f>((((ET36)*BB36-(EU36)*BS36)+AE36*BS36)*AV36)</f>
        <v>1214.57</v>
      </c>
      <c r="CS36" s="2">
        <f t="shared" si="32"/>
        <v>495.3</v>
      </c>
      <c r="CT36" s="2">
        <f t="shared" si="33"/>
        <v>2472.7199999999998</v>
      </c>
      <c r="CU36" s="2">
        <f t="shared" si="34"/>
        <v>0</v>
      </c>
      <c r="CV36" s="2">
        <f t="shared" si="35"/>
        <v>10.3</v>
      </c>
      <c r="CW36" s="2">
        <f t="shared" si="36"/>
        <v>0</v>
      </c>
      <c r="CX36" s="2">
        <f t="shared" si="36"/>
        <v>0</v>
      </c>
      <c r="CY36" s="2">
        <f t="shared" si="37"/>
        <v>43497.614999999998</v>
      </c>
      <c r="CZ36" s="2">
        <f t="shared" si="38"/>
        <v>6213.9449999999997</v>
      </c>
      <c r="DC36" s="2" t="s">
        <v>30</v>
      </c>
      <c r="DD36" s="2" t="s">
        <v>30</v>
      </c>
      <c r="DE36" s="2" t="s">
        <v>30</v>
      </c>
      <c r="DF36" s="2" t="s">
        <v>30</v>
      </c>
      <c r="DG36" s="2" t="s">
        <v>30</v>
      </c>
      <c r="DH36" s="2" t="s">
        <v>30</v>
      </c>
      <c r="DI36" s="2" t="s">
        <v>30</v>
      </c>
      <c r="DJ36" s="2" t="s">
        <v>30</v>
      </c>
      <c r="DK36" s="2" t="s">
        <v>30</v>
      </c>
      <c r="DL36" s="2" t="s">
        <v>30</v>
      </c>
      <c r="DM36" s="2" t="s">
        <v>30</v>
      </c>
      <c r="DN36" s="2">
        <v>0</v>
      </c>
      <c r="DO36" s="2">
        <v>0</v>
      </c>
      <c r="DP36" s="2">
        <v>1</v>
      </c>
      <c r="DQ36" s="2">
        <v>1</v>
      </c>
      <c r="DU36" s="2">
        <v>1005</v>
      </c>
      <c r="DV36" s="2" t="s">
        <v>60</v>
      </c>
      <c r="DW36" s="2" t="s">
        <v>60</v>
      </c>
      <c r="DX36" s="2">
        <v>100</v>
      </c>
      <c r="DZ36" s="2" t="s">
        <v>30</v>
      </c>
      <c r="EA36" s="2" t="s">
        <v>30</v>
      </c>
      <c r="EB36" s="2" t="s">
        <v>30</v>
      </c>
      <c r="EC36" s="2" t="s">
        <v>30</v>
      </c>
      <c r="EE36" s="2">
        <v>49661954</v>
      </c>
      <c r="EF36" s="2">
        <v>1</v>
      </c>
      <c r="EG36" s="2" t="s">
        <v>180</v>
      </c>
      <c r="EH36" s="2">
        <v>0</v>
      </c>
      <c r="EI36" s="2" t="s">
        <v>30</v>
      </c>
      <c r="EJ36" s="2">
        <v>4</v>
      </c>
      <c r="EK36" s="2">
        <v>0</v>
      </c>
      <c r="EL36" s="2" t="s">
        <v>181</v>
      </c>
      <c r="EM36" s="2" t="s">
        <v>182</v>
      </c>
      <c r="EO36" s="2" t="s">
        <v>30</v>
      </c>
      <c r="EQ36" s="2">
        <v>0</v>
      </c>
      <c r="ER36" s="2">
        <v>26870.61</v>
      </c>
      <c r="ES36" s="2">
        <v>23183.32</v>
      </c>
      <c r="ET36" s="2">
        <v>1214.57</v>
      </c>
      <c r="EU36" s="2">
        <v>495.3</v>
      </c>
      <c r="EV36" s="2">
        <v>2472.7199999999998</v>
      </c>
      <c r="EW36" s="2">
        <v>10.3</v>
      </c>
      <c r="EX36" s="2">
        <v>0</v>
      </c>
      <c r="EY36" s="2">
        <v>0</v>
      </c>
      <c r="FQ36" s="2">
        <v>0</v>
      </c>
      <c r="FR36" s="2">
        <f t="shared" si="39"/>
        <v>0</v>
      </c>
      <c r="FS36" s="2">
        <v>0</v>
      </c>
      <c r="FX36" s="2">
        <v>70</v>
      </c>
      <c r="FY36" s="2">
        <v>10</v>
      </c>
      <c r="GA36" s="2" t="s">
        <v>30</v>
      </c>
      <c r="GD36" s="2">
        <v>0</v>
      </c>
      <c r="GF36" s="2">
        <v>-292534151</v>
      </c>
      <c r="GG36" s="2">
        <v>2</v>
      </c>
      <c r="GH36" s="2">
        <v>1</v>
      </c>
      <c r="GI36" s="2">
        <v>-2</v>
      </c>
      <c r="GJ36" s="2">
        <v>0</v>
      </c>
      <c r="GK36" s="2">
        <f>ROUND(R36*(R12)/100,2)</f>
        <v>13442.64</v>
      </c>
      <c r="GL36" s="2">
        <f t="shared" si="40"/>
        <v>0</v>
      </c>
      <c r="GM36" s="2">
        <f>ROUND(O36+X36+Y36+GK36,2)+GX36</f>
        <v>738412.63</v>
      </c>
      <c r="GN36" s="2">
        <f>IF(OR(BI36=0,BI36=1),ROUND(O36+X36+Y36+GK36,2),0)</f>
        <v>0</v>
      </c>
      <c r="GO36" s="2">
        <f>IF(BI36=2,ROUND(O36+X36+Y36+GK36,2),0)</f>
        <v>0</v>
      </c>
      <c r="GP36" s="2">
        <f>IF(BI36=4,ROUND(O36+X36+Y36+GK36,2)+GX36,0)</f>
        <v>738412.63</v>
      </c>
      <c r="GR36" s="2">
        <v>0</v>
      </c>
      <c r="GS36" s="2">
        <v>3</v>
      </c>
      <c r="GT36" s="2">
        <v>0</v>
      </c>
      <c r="GU36" s="2" t="s">
        <v>30</v>
      </c>
      <c r="GV36" s="2">
        <f t="shared" si="45"/>
        <v>0</v>
      </c>
      <c r="GW36" s="2">
        <v>1</v>
      </c>
      <c r="GX36" s="2">
        <f t="shared" si="46"/>
        <v>0</v>
      </c>
      <c r="HA36" s="2">
        <v>0</v>
      </c>
      <c r="HB36" s="2">
        <v>0</v>
      </c>
      <c r="HC36" s="2">
        <f t="shared" si="47"/>
        <v>0</v>
      </c>
      <c r="HE36" s="2" t="s">
        <v>30</v>
      </c>
      <c r="HF36" s="2" t="s">
        <v>30</v>
      </c>
      <c r="HM36" s="2" t="s">
        <v>30</v>
      </c>
      <c r="HN36" s="2" t="s">
        <v>30</v>
      </c>
      <c r="HO36" s="2" t="s">
        <v>30</v>
      </c>
      <c r="HP36" s="2" t="s">
        <v>30</v>
      </c>
      <c r="HQ36" s="2" t="s">
        <v>30</v>
      </c>
      <c r="IK36" s="2">
        <v>0</v>
      </c>
    </row>
    <row r="37" spans="1:245" x14ac:dyDescent="0.25">
      <c r="A37" s="2">
        <v>18</v>
      </c>
      <c r="B37" s="2">
        <v>1</v>
      </c>
      <c r="C37" s="2">
        <v>31</v>
      </c>
      <c r="E37" s="2" t="s">
        <v>33</v>
      </c>
      <c r="F37" s="2" t="s">
        <v>160</v>
      </c>
      <c r="G37" s="2" t="s">
        <v>212</v>
      </c>
      <c r="H37" s="2" t="s">
        <v>63</v>
      </c>
      <c r="I37" s="2">
        <f>I36*J37</f>
        <v>-179.4282</v>
      </c>
      <c r="J37" s="2">
        <v>-7.14</v>
      </c>
      <c r="K37" s="2">
        <v>-7.14</v>
      </c>
      <c r="O37" s="2">
        <f t="shared" si="12"/>
        <v>-530073.97</v>
      </c>
      <c r="P37" s="2">
        <f t="shared" si="13"/>
        <v>-530073.97</v>
      </c>
      <c r="Q37" s="2">
        <f t="shared" si="14"/>
        <v>0</v>
      </c>
      <c r="R37" s="2">
        <f t="shared" si="15"/>
        <v>0</v>
      </c>
      <c r="S37" s="2">
        <f t="shared" si="16"/>
        <v>0</v>
      </c>
      <c r="T37" s="2">
        <f t="shared" si="17"/>
        <v>0</v>
      </c>
      <c r="U37" s="2">
        <f t="shared" si="18"/>
        <v>0</v>
      </c>
      <c r="V37" s="2">
        <f t="shared" si="19"/>
        <v>0</v>
      </c>
      <c r="W37" s="2">
        <f t="shared" si="20"/>
        <v>0</v>
      </c>
      <c r="X37" s="2">
        <f t="shared" si="21"/>
        <v>0</v>
      </c>
      <c r="Y37" s="2">
        <f t="shared" si="21"/>
        <v>0</v>
      </c>
      <c r="AA37" s="2">
        <v>52261502</v>
      </c>
      <c r="AB37" s="2">
        <f t="shared" si="22"/>
        <v>2954.24</v>
      </c>
      <c r="AC37" s="2">
        <f>ROUND((ES37),6)</f>
        <v>2954.24</v>
      </c>
      <c r="AD37" s="2">
        <f>ROUND((((ET37)-(EU37))+AE37),6)</f>
        <v>0</v>
      </c>
      <c r="AE37" s="2">
        <f t="shared" si="48"/>
        <v>0</v>
      </c>
      <c r="AF37" s="2">
        <f t="shared" si="48"/>
        <v>0</v>
      </c>
      <c r="AG37" s="2">
        <f t="shared" si="26"/>
        <v>0</v>
      </c>
      <c r="AH37" s="2">
        <f t="shared" si="49"/>
        <v>0</v>
      </c>
      <c r="AI37" s="2">
        <f t="shared" si="49"/>
        <v>0</v>
      </c>
      <c r="AJ37" s="2">
        <f t="shared" si="28"/>
        <v>0</v>
      </c>
      <c r="AK37" s="2">
        <v>2954.24</v>
      </c>
      <c r="AL37" s="2">
        <v>2954.24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70</v>
      </c>
      <c r="AU37" s="2">
        <v>10</v>
      </c>
      <c r="AV37" s="2">
        <v>1</v>
      </c>
      <c r="AW37" s="2">
        <v>1</v>
      </c>
      <c r="AZ37" s="2">
        <v>1</v>
      </c>
      <c r="BA37" s="2">
        <v>1</v>
      </c>
      <c r="BB37" s="2">
        <v>1</v>
      </c>
      <c r="BC37" s="2">
        <v>1</v>
      </c>
      <c r="BD37" s="2" t="s">
        <v>30</v>
      </c>
      <c r="BE37" s="2" t="s">
        <v>30</v>
      </c>
      <c r="BF37" s="2" t="s">
        <v>30</v>
      </c>
      <c r="BG37" s="2" t="s">
        <v>30</v>
      </c>
      <c r="BH37" s="2">
        <v>3</v>
      </c>
      <c r="BI37" s="2">
        <v>4</v>
      </c>
      <c r="BJ37" s="2" t="s">
        <v>213</v>
      </c>
      <c r="BM37" s="2">
        <v>0</v>
      </c>
      <c r="BN37" s="2">
        <v>0</v>
      </c>
      <c r="BO37" s="2" t="s">
        <v>30</v>
      </c>
      <c r="BP37" s="2">
        <v>0</v>
      </c>
      <c r="BQ37" s="2">
        <v>1</v>
      </c>
      <c r="BR37" s="2">
        <v>1</v>
      </c>
      <c r="BS37" s="2">
        <v>1</v>
      </c>
      <c r="BT37" s="2">
        <v>1</v>
      </c>
      <c r="BU37" s="2">
        <v>1</v>
      </c>
      <c r="BV37" s="2">
        <v>1</v>
      </c>
      <c r="BW37" s="2">
        <v>1</v>
      </c>
      <c r="BX37" s="2">
        <v>1</v>
      </c>
      <c r="BY37" s="2" t="s">
        <v>30</v>
      </c>
      <c r="BZ37" s="2">
        <v>70</v>
      </c>
      <c r="CA37" s="2">
        <v>10</v>
      </c>
      <c r="CB37" s="2" t="s">
        <v>30</v>
      </c>
      <c r="CE37" s="2">
        <v>0</v>
      </c>
      <c r="CF37" s="2">
        <v>0</v>
      </c>
      <c r="CG37" s="2">
        <v>0</v>
      </c>
      <c r="CM37" s="2">
        <v>0</v>
      </c>
      <c r="CN37" s="2" t="s">
        <v>30</v>
      </c>
      <c r="CO37" s="2">
        <v>0</v>
      </c>
      <c r="CP37" s="2">
        <f t="shared" si="29"/>
        <v>-530073.97</v>
      </c>
      <c r="CQ37" s="2">
        <f t="shared" si="30"/>
        <v>2954.24</v>
      </c>
      <c r="CR37" s="2">
        <f>((((ET37)*BB37-(EU37)*BS37)+AE37*BS37)*AV37)</f>
        <v>0</v>
      </c>
      <c r="CS37" s="2">
        <f t="shared" si="32"/>
        <v>0</v>
      </c>
      <c r="CT37" s="2">
        <f t="shared" si="33"/>
        <v>0</v>
      </c>
      <c r="CU37" s="2">
        <f t="shared" si="34"/>
        <v>0</v>
      </c>
      <c r="CV37" s="2">
        <f t="shared" si="35"/>
        <v>0</v>
      </c>
      <c r="CW37" s="2">
        <f t="shared" si="36"/>
        <v>0</v>
      </c>
      <c r="CX37" s="2">
        <f t="shared" si="36"/>
        <v>0</v>
      </c>
      <c r="CY37" s="2">
        <f t="shared" si="37"/>
        <v>0</v>
      </c>
      <c r="CZ37" s="2">
        <f t="shared" si="38"/>
        <v>0</v>
      </c>
      <c r="DC37" s="2" t="s">
        <v>30</v>
      </c>
      <c r="DD37" s="2" t="s">
        <v>30</v>
      </c>
      <c r="DE37" s="2" t="s">
        <v>30</v>
      </c>
      <c r="DF37" s="2" t="s">
        <v>30</v>
      </c>
      <c r="DG37" s="2" t="s">
        <v>30</v>
      </c>
      <c r="DH37" s="2" t="s">
        <v>30</v>
      </c>
      <c r="DI37" s="2" t="s">
        <v>30</v>
      </c>
      <c r="DJ37" s="2" t="s">
        <v>30</v>
      </c>
      <c r="DK37" s="2" t="s">
        <v>30</v>
      </c>
      <c r="DL37" s="2" t="s">
        <v>30</v>
      </c>
      <c r="DM37" s="2" t="s">
        <v>30</v>
      </c>
      <c r="DN37" s="2">
        <v>0</v>
      </c>
      <c r="DO37" s="2">
        <v>0</v>
      </c>
      <c r="DP37" s="2">
        <v>1</v>
      </c>
      <c r="DQ37" s="2">
        <v>1</v>
      </c>
      <c r="DU37" s="2">
        <v>1009</v>
      </c>
      <c r="DV37" s="2" t="s">
        <v>63</v>
      </c>
      <c r="DW37" s="2" t="s">
        <v>63</v>
      </c>
      <c r="DX37" s="2">
        <v>1000</v>
      </c>
      <c r="DZ37" s="2" t="s">
        <v>30</v>
      </c>
      <c r="EA37" s="2" t="s">
        <v>30</v>
      </c>
      <c r="EB37" s="2" t="s">
        <v>30</v>
      </c>
      <c r="EC37" s="2" t="s">
        <v>30</v>
      </c>
      <c r="EE37" s="2">
        <v>49661954</v>
      </c>
      <c r="EF37" s="2">
        <v>1</v>
      </c>
      <c r="EG37" s="2" t="s">
        <v>180</v>
      </c>
      <c r="EH37" s="2">
        <v>0</v>
      </c>
      <c r="EI37" s="2" t="s">
        <v>30</v>
      </c>
      <c r="EJ37" s="2">
        <v>4</v>
      </c>
      <c r="EK37" s="2">
        <v>0</v>
      </c>
      <c r="EL37" s="2" t="s">
        <v>181</v>
      </c>
      <c r="EM37" s="2" t="s">
        <v>182</v>
      </c>
      <c r="EO37" s="2" t="s">
        <v>30</v>
      </c>
      <c r="EQ37" s="2">
        <v>0</v>
      </c>
      <c r="ER37" s="2">
        <v>2954.24</v>
      </c>
      <c r="ES37" s="2">
        <v>2954.24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FQ37" s="2">
        <v>0</v>
      </c>
      <c r="FR37" s="2">
        <f t="shared" si="39"/>
        <v>0</v>
      </c>
      <c r="FS37" s="2">
        <v>0</v>
      </c>
      <c r="FX37" s="2">
        <v>70</v>
      </c>
      <c r="FY37" s="2">
        <v>10</v>
      </c>
      <c r="GA37" s="2" t="s">
        <v>30</v>
      </c>
      <c r="GD37" s="2">
        <v>0</v>
      </c>
      <c r="GF37" s="2">
        <v>-58237108</v>
      </c>
      <c r="GG37" s="2">
        <v>2</v>
      </c>
      <c r="GH37" s="2">
        <v>1</v>
      </c>
      <c r="GI37" s="2">
        <v>-2</v>
      </c>
      <c r="GJ37" s="2">
        <v>0</v>
      </c>
      <c r="GK37" s="2">
        <f>ROUND(R37*(R12)/100,2)</f>
        <v>0</v>
      </c>
      <c r="GL37" s="2">
        <f t="shared" si="40"/>
        <v>0</v>
      </c>
      <c r="GM37" s="2">
        <f>ROUND(O37+X37+Y37+GK37,2)+GX37</f>
        <v>-530073.97</v>
      </c>
      <c r="GN37" s="2">
        <f>IF(OR(BI37=0,BI37=1),ROUND(O37+X37+Y37+GK37,2),0)</f>
        <v>0</v>
      </c>
      <c r="GO37" s="2">
        <f>IF(BI37=2,ROUND(O37+X37+Y37+GK37,2),0)</f>
        <v>0</v>
      </c>
      <c r="GP37" s="2">
        <f>IF(BI37=4,ROUND(O37+X37+Y37+GK37,2)+GX37,0)</f>
        <v>-530073.97</v>
      </c>
      <c r="GR37" s="2">
        <v>0</v>
      </c>
      <c r="GS37" s="2">
        <v>3</v>
      </c>
      <c r="GT37" s="2">
        <v>0</v>
      </c>
      <c r="GU37" s="2" t="s">
        <v>30</v>
      </c>
      <c r="GV37" s="2">
        <f t="shared" si="45"/>
        <v>0</v>
      </c>
      <c r="GW37" s="2">
        <v>1</v>
      </c>
      <c r="GX37" s="2">
        <f t="shared" si="46"/>
        <v>0</v>
      </c>
      <c r="HA37" s="2">
        <v>0</v>
      </c>
      <c r="HB37" s="2">
        <v>0</v>
      </c>
      <c r="HC37" s="2">
        <f t="shared" si="47"/>
        <v>0</v>
      </c>
      <c r="HE37" s="2" t="s">
        <v>30</v>
      </c>
      <c r="HF37" s="2" t="s">
        <v>30</v>
      </c>
      <c r="HM37" s="2" t="s">
        <v>30</v>
      </c>
      <c r="HN37" s="2" t="s">
        <v>30</v>
      </c>
      <c r="HO37" s="2" t="s">
        <v>30</v>
      </c>
      <c r="HP37" s="2" t="s">
        <v>30</v>
      </c>
      <c r="HQ37" s="2" t="s">
        <v>30</v>
      </c>
      <c r="IK37" s="2">
        <v>0</v>
      </c>
    </row>
    <row r="38" spans="1:245" x14ac:dyDescent="0.25">
      <c r="A38" s="2">
        <v>18</v>
      </c>
      <c r="B38" s="2">
        <v>1</v>
      </c>
      <c r="C38" s="2">
        <v>32</v>
      </c>
      <c r="E38" s="2" t="s">
        <v>34</v>
      </c>
      <c r="F38" s="2" t="s">
        <v>160</v>
      </c>
      <c r="G38" s="2" t="s">
        <v>161</v>
      </c>
      <c r="H38" s="2" t="s">
        <v>63</v>
      </c>
      <c r="I38" s="2">
        <f>I36*J38</f>
        <v>293.26710000000003</v>
      </c>
      <c r="J38" s="2">
        <v>11.67</v>
      </c>
      <c r="K38" s="2">
        <v>11.67</v>
      </c>
      <c r="O38" s="2">
        <f t="shared" si="12"/>
        <v>866381.4</v>
      </c>
      <c r="P38" s="2">
        <f t="shared" si="13"/>
        <v>866381.4</v>
      </c>
      <c r="Q38" s="2">
        <f t="shared" si="14"/>
        <v>0</v>
      </c>
      <c r="R38" s="2">
        <f t="shared" si="15"/>
        <v>0</v>
      </c>
      <c r="S38" s="2">
        <f t="shared" si="16"/>
        <v>0</v>
      </c>
      <c r="T38" s="2">
        <f t="shared" si="17"/>
        <v>0</v>
      </c>
      <c r="U38" s="2">
        <f t="shared" si="18"/>
        <v>0</v>
      </c>
      <c r="V38" s="2">
        <f t="shared" si="19"/>
        <v>0</v>
      </c>
      <c r="W38" s="2">
        <f t="shared" si="20"/>
        <v>0</v>
      </c>
      <c r="X38" s="2">
        <f t="shared" si="21"/>
        <v>0</v>
      </c>
      <c r="Y38" s="2">
        <f t="shared" si="21"/>
        <v>0</v>
      </c>
      <c r="AA38" s="2">
        <v>52261502</v>
      </c>
      <c r="AB38" s="2">
        <f t="shared" si="22"/>
        <v>2954.24</v>
      </c>
      <c r="AC38" s="2">
        <f>ROUND((ES38),6)</f>
        <v>2954.24</v>
      </c>
      <c r="AD38" s="2">
        <f>ROUND((((ET38)-(EU38))+AE38),6)</f>
        <v>0</v>
      </c>
      <c r="AE38" s="2">
        <f t="shared" si="48"/>
        <v>0</v>
      </c>
      <c r="AF38" s="2">
        <f t="shared" si="48"/>
        <v>0</v>
      </c>
      <c r="AG38" s="2">
        <f t="shared" si="26"/>
        <v>0</v>
      </c>
      <c r="AH38" s="2">
        <f t="shared" si="49"/>
        <v>0</v>
      </c>
      <c r="AI38" s="2">
        <f t="shared" si="49"/>
        <v>0</v>
      </c>
      <c r="AJ38" s="2">
        <f t="shared" si="28"/>
        <v>0</v>
      </c>
      <c r="AK38" s="2">
        <v>2954.24</v>
      </c>
      <c r="AL38" s="2">
        <v>2954.24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70</v>
      </c>
      <c r="AU38" s="2">
        <v>10</v>
      </c>
      <c r="AV38" s="2">
        <v>1</v>
      </c>
      <c r="AW38" s="2">
        <v>1</v>
      </c>
      <c r="AZ38" s="2">
        <v>1</v>
      </c>
      <c r="BA38" s="2">
        <v>1</v>
      </c>
      <c r="BB38" s="2">
        <v>1</v>
      </c>
      <c r="BC38" s="2">
        <v>1</v>
      </c>
      <c r="BD38" s="2" t="s">
        <v>30</v>
      </c>
      <c r="BE38" s="2" t="s">
        <v>30</v>
      </c>
      <c r="BF38" s="2" t="s">
        <v>30</v>
      </c>
      <c r="BG38" s="2" t="s">
        <v>30</v>
      </c>
      <c r="BH38" s="2">
        <v>3</v>
      </c>
      <c r="BI38" s="2">
        <v>4</v>
      </c>
      <c r="BJ38" s="2" t="s">
        <v>213</v>
      </c>
      <c r="BM38" s="2">
        <v>0</v>
      </c>
      <c r="BN38" s="2">
        <v>0</v>
      </c>
      <c r="BO38" s="2" t="s">
        <v>30</v>
      </c>
      <c r="BP38" s="2">
        <v>0</v>
      </c>
      <c r="BQ38" s="2">
        <v>1</v>
      </c>
      <c r="BR38" s="2">
        <v>1</v>
      </c>
      <c r="BS38" s="2">
        <v>1</v>
      </c>
      <c r="BT38" s="2">
        <v>1</v>
      </c>
      <c r="BU38" s="2">
        <v>1</v>
      </c>
      <c r="BV38" s="2">
        <v>1</v>
      </c>
      <c r="BW38" s="2">
        <v>1</v>
      </c>
      <c r="BX38" s="2">
        <v>1</v>
      </c>
      <c r="BY38" s="2" t="s">
        <v>30</v>
      </c>
      <c r="BZ38" s="2">
        <v>70</v>
      </c>
      <c r="CA38" s="2">
        <v>10</v>
      </c>
      <c r="CB38" s="2" t="s">
        <v>30</v>
      </c>
      <c r="CE38" s="2">
        <v>0</v>
      </c>
      <c r="CF38" s="2">
        <v>0</v>
      </c>
      <c r="CG38" s="2">
        <v>0</v>
      </c>
      <c r="CM38" s="2">
        <v>0</v>
      </c>
      <c r="CN38" s="2" t="s">
        <v>30</v>
      </c>
      <c r="CO38" s="2">
        <v>0</v>
      </c>
      <c r="CP38" s="2">
        <f t="shared" si="29"/>
        <v>866381.4</v>
      </c>
      <c r="CQ38" s="2">
        <f t="shared" si="30"/>
        <v>2954.24</v>
      </c>
      <c r="CR38" s="2">
        <f>((((ET38)*BB38-(EU38)*BS38)+AE38*BS38)*AV38)</f>
        <v>0</v>
      </c>
      <c r="CS38" s="2">
        <f t="shared" si="32"/>
        <v>0</v>
      </c>
      <c r="CT38" s="2">
        <f t="shared" si="33"/>
        <v>0</v>
      </c>
      <c r="CU38" s="2">
        <f t="shared" si="34"/>
        <v>0</v>
      </c>
      <c r="CV38" s="2">
        <f t="shared" si="35"/>
        <v>0</v>
      </c>
      <c r="CW38" s="2">
        <f t="shared" si="36"/>
        <v>0</v>
      </c>
      <c r="CX38" s="2">
        <f t="shared" si="36"/>
        <v>0</v>
      </c>
      <c r="CY38" s="2">
        <f t="shared" si="37"/>
        <v>0</v>
      </c>
      <c r="CZ38" s="2">
        <f t="shared" si="38"/>
        <v>0</v>
      </c>
      <c r="DC38" s="2" t="s">
        <v>30</v>
      </c>
      <c r="DD38" s="2" t="s">
        <v>30</v>
      </c>
      <c r="DE38" s="2" t="s">
        <v>30</v>
      </c>
      <c r="DF38" s="2" t="s">
        <v>30</v>
      </c>
      <c r="DG38" s="2" t="s">
        <v>30</v>
      </c>
      <c r="DH38" s="2" t="s">
        <v>30</v>
      </c>
      <c r="DI38" s="2" t="s">
        <v>30</v>
      </c>
      <c r="DJ38" s="2" t="s">
        <v>30</v>
      </c>
      <c r="DK38" s="2" t="s">
        <v>30</v>
      </c>
      <c r="DL38" s="2" t="s">
        <v>30</v>
      </c>
      <c r="DM38" s="2" t="s">
        <v>30</v>
      </c>
      <c r="DN38" s="2">
        <v>0</v>
      </c>
      <c r="DO38" s="2">
        <v>0</v>
      </c>
      <c r="DP38" s="2">
        <v>1</v>
      </c>
      <c r="DQ38" s="2">
        <v>1</v>
      </c>
      <c r="DU38" s="2">
        <v>1009</v>
      </c>
      <c r="DV38" s="2" t="s">
        <v>63</v>
      </c>
      <c r="DW38" s="2" t="s">
        <v>63</v>
      </c>
      <c r="DX38" s="2">
        <v>1000</v>
      </c>
      <c r="DZ38" s="2" t="s">
        <v>30</v>
      </c>
      <c r="EA38" s="2" t="s">
        <v>30</v>
      </c>
      <c r="EB38" s="2" t="s">
        <v>30</v>
      </c>
      <c r="EC38" s="2" t="s">
        <v>30</v>
      </c>
      <c r="EE38" s="2">
        <v>49661954</v>
      </c>
      <c r="EF38" s="2">
        <v>1</v>
      </c>
      <c r="EG38" s="2" t="s">
        <v>180</v>
      </c>
      <c r="EH38" s="2">
        <v>0</v>
      </c>
      <c r="EI38" s="2" t="s">
        <v>30</v>
      </c>
      <c r="EJ38" s="2">
        <v>4</v>
      </c>
      <c r="EK38" s="2">
        <v>0</v>
      </c>
      <c r="EL38" s="2" t="s">
        <v>181</v>
      </c>
      <c r="EM38" s="2" t="s">
        <v>182</v>
      </c>
      <c r="EO38" s="2" t="s">
        <v>30</v>
      </c>
      <c r="EQ38" s="2">
        <v>32768</v>
      </c>
      <c r="ER38" s="2">
        <v>2954.24</v>
      </c>
      <c r="ES38" s="2">
        <v>2954.24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FQ38" s="2">
        <v>0</v>
      </c>
      <c r="FR38" s="2">
        <f t="shared" si="39"/>
        <v>0</v>
      </c>
      <c r="FS38" s="2">
        <v>0</v>
      </c>
      <c r="FX38" s="2">
        <v>70</v>
      </c>
      <c r="FY38" s="2">
        <v>10</v>
      </c>
      <c r="GA38" s="2" t="s">
        <v>30</v>
      </c>
      <c r="GD38" s="2">
        <v>0</v>
      </c>
      <c r="GF38" s="2">
        <v>946953562</v>
      </c>
      <c r="GG38" s="2">
        <v>2</v>
      </c>
      <c r="GH38" s="2">
        <v>1</v>
      </c>
      <c r="GI38" s="2">
        <v>-2</v>
      </c>
      <c r="GJ38" s="2">
        <v>0</v>
      </c>
      <c r="GK38" s="2">
        <f>ROUND(R38*(R12)/100,2)</f>
        <v>0</v>
      </c>
      <c r="GL38" s="2">
        <f t="shared" si="40"/>
        <v>0</v>
      </c>
      <c r="GM38" s="2">
        <f>ROUND(O38+X38+Y38+GK38,2)+GX38</f>
        <v>866381.4</v>
      </c>
      <c r="GN38" s="2">
        <f>IF(OR(BI38=0,BI38=1),ROUND(O38+X38+Y38+GK38,2),0)</f>
        <v>0</v>
      </c>
      <c r="GO38" s="2">
        <f>IF(BI38=2,ROUND(O38+X38+Y38+GK38,2),0)</f>
        <v>0</v>
      </c>
      <c r="GP38" s="2">
        <f>IF(BI38=4,ROUND(O38+X38+Y38+GK38,2)+GX38,0)</f>
        <v>866381.4</v>
      </c>
      <c r="GR38" s="2">
        <v>0</v>
      </c>
      <c r="GS38" s="2">
        <v>3</v>
      </c>
      <c r="GT38" s="2">
        <v>0</v>
      </c>
      <c r="GU38" s="2" t="s">
        <v>30</v>
      </c>
      <c r="GV38" s="2">
        <f t="shared" si="45"/>
        <v>0</v>
      </c>
      <c r="GW38" s="2">
        <v>1</v>
      </c>
      <c r="GX38" s="2">
        <f t="shared" si="46"/>
        <v>0</v>
      </c>
      <c r="HA38" s="2">
        <v>0</v>
      </c>
      <c r="HB38" s="2">
        <v>0</v>
      </c>
      <c r="HC38" s="2">
        <f t="shared" si="47"/>
        <v>0</v>
      </c>
      <c r="HE38" s="2" t="s">
        <v>30</v>
      </c>
      <c r="HF38" s="2" t="s">
        <v>30</v>
      </c>
      <c r="HM38" s="2" t="s">
        <v>30</v>
      </c>
      <c r="HN38" s="2" t="s">
        <v>30</v>
      </c>
      <c r="HO38" s="2" t="s">
        <v>30</v>
      </c>
      <c r="HP38" s="2" t="s">
        <v>30</v>
      </c>
      <c r="HQ38" s="2" t="s">
        <v>30</v>
      </c>
      <c r="IK38" s="2">
        <v>0</v>
      </c>
    </row>
    <row r="40" spans="1:245" ht="13" x14ac:dyDescent="0.3">
      <c r="A40" s="44">
        <v>51</v>
      </c>
      <c r="B40" s="44">
        <f>B24</f>
        <v>1</v>
      </c>
      <c r="C40" s="44">
        <f>A24</f>
        <v>4</v>
      </c>
      <c r="D40" s="44">
        <f>ROW(A24)</f>
        <v>24</v>
      </c>
      <c r="E40" s="44"/>
      <c r="F40" s="44" t="str">
        <f>IF(F24&lt;&gt;"",F24,"")</f>
        <v>Новый раздел</v>
      </c>
      <c r="G40" s="44" t="str">
        <f>IF(G24&lt;&gt;"",G24,"")</f>
        <v>Ремонт дорожно-тропиночной сети с асфальтобетонным покрытием  - 2513 м2</v>
      </c>
      <c r="H40" s="44">
        <v>0</v>
      </c>
      <c r="I40" s="44"/>
      <c r="J40" s="44"/>
      <c r="K40" s="44"/>
      <c r="L40" s="44"/>
      <c r="M40" s="44"/>
      <c r="N40" s="44"/>
      <c r="O40" s="44">
        <f t="shared" ref="O40:T40" si="50">ROUND(AB40,2)</f>
        <v>1693736.78</v>
      </c>
      <c r="P40" s="44">
        <f t="shared" si="50"/>
        <v>984353.27</v>
      </c>
      <c r="Q40" s="44">
        <f t="shared" si="50"/>
        <v>629897.18999999994</v>
      </c>
      <c r="R40" s="44">
        <f t="shared" si="50"/>
        <v>307816.19</v>
      </c>
      <c r="S40" s="44">
        <f t="shared" si="50"/>
        <v>79486.320000000007</v>
      </c>
      <c r="T40" s="44">
        <f t="shared" si="50"/>
        <v>0</v>
      </c>
      <c r="U40" s="44">
        <f>AH40</f>
        <v>343.49443100000002</v>
      </c>
      <c r="V40" s="44">
        <f>AI40</f>
        <v>0</v>
      </c>
      <c r="W40" s="44">
        <f>ROUND(AJ40,2)</f>
        <v>0</v>
      </c>
      <c r="X40" s="44">
        <f>ROUND(AK40,2)</f>
        <v>55640.43</v>
      </c>
      <c r="Y40" s="44">
        <f>ROUND(AL40,2)</f>
        <v>7948.64</v>
      </c>
      <c r="Z40" s="44"/>
      <c r="AA40" s="44"/>
      <c r="AB40" s="44">
        <f>ROUND(SUMIF(AA28:AA38,"=52261502",O28:O38),2)</f>
        <v>1693736.78</v>
      </c>
      <c r="AC40" s="44">
        <f>ROUND(SUMIF(AA28:AA38,"=52261502",P28:P38),2)</f>
        <v>984353.27</v>
      </c>
      <c r="AD40" s="44">
        <f>ROUND(SUMIF(AA28:AA38,"=52261502",Q28:Q38),2)</f>
        <v>629897.18999999994</v>
      </c>
      <c r="AE40" s="44">
        <f>ROUND(SUMIF(AA28:AA38,"=52261502",R28:R38),2)</f>
        <v>307816.19</v>
      </c>
      <c r="AF40" s="44">
        <f>ROUND(SUMIF(AA28:AA38,"=52261502",S28:S38),2)</f>
        <v>79486.320000000007</v>
      </c>
      <c r="AG40" s="44">
        <f>ROUND(SUMIF(AA28:AA38,"=52261502",T28:T38),2)</f>
        <v>0</v>
      </c>
      <c r="AH40" s="44">
        <f>SUMIF(AA28:AA38,"=52261502",U28:U38)</f>
        <v>343.49443100000002</v>
      </c>
      <c r="AI40" s="44">
        <f>SUMIF(AA28:AA38,"=52261502",V28:V38)</f>
        <v>0</v>
      </c>
      <c r="AJ40" s="44">
        <f>ROUND(SUMIF(AA28:AA38,"=52261502",W28:W38),2)</f>
        <v>0</v>
      </c>
      <c r="AK40" s="44">
        <f>ROUND(SUMIF(AA28:AA38,"=52261502",X28:X38),2)</f>
        <v>55640.43</v>
      </c>
      <c r="AL40" s="44">
        <f>ROUND(SUMIF(AA28:AA38,"=52261502",Y28:Y38),2)</f>
        <v>7948.64</v>
      </c>
      <c r="AM40" s="44"/>
      <c r="AN40" s="44"/>
      <c r="AO40" s="44">
        <f t="shared" ref="AO40:BD40" si="51">ROUND(BX40,2)</f>
        <v>0</v>
      </c>
      <c r="AP40" s="44">
        <f t="shared" si="51"/>
        <v>0</v>
      </c>
      <c r="AQ40" s="44">
        <f t="shared" si="51"/>
        <v>0</v>
      </c>
      <c r="AR40" s="44">
        <f t="shared" si="51"/>
        <v>1814143.53</v>
      </c>
      <c r="AS40" s="44">
        <f t="shared" si="51"/>
        <v>0</v>
      </c>
      <c r="AT40" s="44">
        <f t="shared" si="51"/>
        <v>0</v>
      </c>
      <c r="AU40" s="44">
        <f t="shared" si="51"/>
        <v>1814143.53</v>
      </c>
      <c r="AV40" s="44">
        <f t="shared" si="51"/>
        <v>984353.27</v>
      </c>
      <c r="AW40" s="44">
        <f t="shared" si="51"/>
        <v>984353.27</v>
      </c>
      <c r="AX40" s="44">
        <f t="shared" si="51"/>
        <v>0</v>
      </c>
      <c r="AY40" s="44">
        <f t="shared" si="51"/>
        <v>984353.27</v>
      </c>
      <c r="AZ40" s="44">
        <f t="shared" si="51"/>
        <v>0</v>
      </c>
      <c r="BA40" s="44">
        <f t="shared" si="51"/>
        <v>0</v>
      </c>
      <c r="BB40" s="44">
        <f t="shared" si="51"/>
        <v>0</v>
      </c>
      <c r="BC40" s="44">
        <f t="shared" si="51"/>
        <v>0</v>
      </c>
      <c r="BD40" s="44">
        <f t="shared" si="51"/>
        <v>0</v>
      </c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>
        <f>ROUND(SUMIF(AA28:AA38,"=52261502",FQ28:FQ38),2)</f>
        <v>0</v>
      </c>
      <c r="BY40" s="44">
        <f>ROUND(SUMIF(AA28:AA38,"=52261502",FR28:FR38),2)</f>
        <v>0</v>
      </c>
      <c r="BZ40" s="44">
        <f>ROUND(SUMIF(AA28:AA38,"=52261502",GL28:GL38),2)</f>
        <v>0</v>
      </c>
      <c r="CA40" s="44">
        <f>ROUND(SUMIF(AA28:AA38,"=52261502",GM28:GM38),2)</f>
        <v>1814143.53</v>
      </c>
      <c r="CB40" s="44">
        <f>ROUND(SUMIF(AA28:AA38,"=52261502",GN28:GN38),2)</f>
        <v>0</v>
      </c>
      <c r="CC40" s="44">
        <f>ROUND(SUMIF(AA28:AA38,"=52261502",GO28:GO38),2)</f>
        <v>0</v>
      </c>
      <c r="CD40" s="44">
        <f>ROUND(SUMIF(AA28:AA38,"=52261502",GP28:GP38),2)</f>
        <v>1814143.53</v>
      </c>
      <c r="CE40" s="44">
        <f>AC40-BX40</f>
        <v>984353.27</v>
      </c>
      <c r="CF40" s="44">
        <f>AC40-BY40</f>
        <v>984353.27</v>
      </c>
      <c r="CG40" s="44">
        <f>BX40-BZ40</f>
        <v>0</v>
      </c>
      <c r="CH40" s="44">
        <f>AC40-BX40-BY40+BZ40</f>
        <v>984353.27</v>
      </c>
      <c r="CI40" s="44">
        <f>BY40-BZ40</f>
        <v>0</v>
      </c>
      <c r="CJ40" s="44">
        <f>ROUND(SUMIF(AA28:AA38,"=52261502",GX28:GX38),2)</f>
        <v>0</v>
      </c>
      <c r="CK40" s="44">
        <f>ROUND(SUMIF(AA28:AA38,"=52261502",GY28:GY38),2)</f>
        <v>0</v>
      </c>
      <c r="CL40" s="44">
        <f>ROUND(SUMIF(AA28:AA38,"=52261502",GZ28:GZ38),2)</f>
        <v>0</v>
      </c>
      <c r="CM40" s="44">
        <f>ROUND(SUMIF(AA28:AA38,"=52261502",HD28:HD38),2)</f>
        <v>0</v>
      </c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5"/>
      <c r="DH40" s="45"/>
      <c r="DI40" s="45"/>
      <c r="DJ40" s="45"/>
      <c r="DK40" s="45"/>
      <c r="DL40" s="45"/>
      <c r="DM40" s="45"/>
      <c r="DN40" s="45"/>
      <c r="DO40" s="45"/>
      <c r="DP40" s="45"/>
      <c r="DQ40" s="45"/>
      <c r="DR40" s="45"/>
      <c r="DS40" s="45"/>
      <c r="DT40" s="45"/>
      <c r="DU40" s="45"/>
      <c r="DV40" s="45"/>
      <c r="DW40" s="45"/>
      <c r="DX40" s="45"/>
      <c r="DY40" s="45"/>
      <c r="DZ40" s="45"/>
      <c r="EA40" s="45"/>
      <c r="EB40" s="45"/>
      <c r="EC40" s="45"/>
      <c r="ED40" s="45"/>
      <c r="EE40" s="45"/>
      <c r="EF40" s="45"/>
      <c r="EG40" s="45"/>
      <c r="EH40" s="45"/>
      <c r="EI40" s="45"/>
      <c r="EJ40" s="45"/>
      <c r="EK40" s="45"/>
      <c r="EL40" s="45"/>
      <c r="EM40" s="45"/>
      <c r="EN40" s="45"/>
      <c r="EO40" s="45"/>
      <c r="EP40" s="45"/>
      <c r="EQ40" s="45"/>
      <c r="ER40" s="45"/>
      <c r="ES40" s="45"/>
      <c r="ET40" s="45"/>
      <c r="EU40" s="45"/>
      <c r="EV40" s="45"/>
      <c r="EW40" s="45"/>
      <c r="EX40" s="45"/>
      <c r="EY40" s="45"/>
      <c r="EZ40" s="45"/>
      <c r="FA40" s="45"/>
      <c r="FB40" s="45"/>
      <c r="FC40" s="45"/>
      <c r="FD40" s="45"/>
      <c r="FE40" s="45"/>
      <c r="FF40" s="45"/>
      <c r="FG40" s="45"/>
      <c r="FH40" s="45"/>
      <c r="FI40" s="45"/>
      <c r="FJ40" s="45"/>
      <c r="FK40" s="45"/>
      <c r="FL40" s="45"/>
      <c r="FM40" s="45"/>
      <c r="FN40" s="45"/>
      <c r="FO40" s="45"/>
      <c r="FP40" s="45"/>
      <c r="FQ40" s="45"/>
      <c r="FR40" s="45"/>
      <c r="FS40" s="45"/>
      <c r="FT40" s="45"/>
      <c r="FU40" s="45"/>
      <c r="FV40" s="45"/>
      <c r="FW40" s="45"/>
      <c r="FX40" s="45"/>
      <c r="FY40" s="45"/>
      <c r="FZ40" s="45"/>
      <c r="GA40" s="45"/>
      <c r="GB40" s="45"/>
      <c r="GC40" s="45"/>
      <c r="GD40" s="45"/>
      <c r="GE40" s="45"/>
      <c r="GF40" s="45"/>
      <c r="GG40" s="45"/>
      <c r="GH40" s="45"/>
      <c r="GI40" s="45"/>
      <c r="GJ40" s="45"/>
      <c r="GK40" s="45"/>
      <c r="GL40" s="45"/>
      <c r="GM40" s="45"/>
      <c r="GN40" s="45"/>
      <c r="GO40" s="45"/>
      <c r="GP40" s="45"/>
      <c r="GQ40" s="45"/>
      <c r="GR40" s="45"/>
      <c r="GS40" s="45"/>
      <c r="GT40" s="45"/>
      <c r="GU40" s="45"/>
      <c r="GV40" s="45"/>
      <c r="GW40" s="45"/>
      <c r="GX40" s="45">
        <v>0</v>
      </c>
    </row>
    <row r="42" spans="1:245" ht="13" x14ac:dyDescent="0.3">
      <c r="A42" s="46">
        <v>50</v>
      </c>
      <c r="B42" s="46">
        <v>0</v>
      </c>
      <c r="C42" s="46">
        <v>0</v>
      </c>
      <c r="D42" s="46">
        <v>1</v>
      </c>
      <c r="E42" s="46">
        <v>201</v>
      </c>
      <c r="F42" s="46">
        <f>ROUND(Source!O40,O42)</f>
        <v>1693736.78</v>
      </c>
      <c r="G42" s="46" t="s">
        <v>214</v>
      </c>
      <c r="H42" s="46" t="s">
        <v>215</v>
      </c>
      <c r="I42" s="46"/>
      <c r="J42" s="46"/>
      <c r="K42" s="46">
        <v>201</v>
      </c>
      <c r="L42" s="46">
        <v>1</v>
      </c>
      <c r="M42" s="46">
        <v>3</v>
      </c>
      <c r="N42" s="46" t="s">
        <v>30</v>
      </c>
      <c r="O42" s="46">
        <v>2</v>
      </c>
      <c r="P42" s="46"/>
      <c r="Q42" s="46"/>
      <c r="R42" s="46"/>
      <c r="S42" s="46"/>
      <c r="T42" s="46"/>
      <c r="U42" s="46"/>
      <c r="V42" s="46"/>
      <c r="W42" s="46">
        <v>1693736.78</v>
      </c>
      <c r="X42" s="46">
        <v>1</v>
      </c>
      <c r="Y42" s="46">
        <v>1693736.78</v>
      </c>
      <c r="Z42" s="46"/>
      <c r="AA42" s="46"/>
      <c r="AB42" s="46"/>
    </row>
    <row r="43" spans="1:245" ht="13" x14ac:dyDescent="0.3">
      <c r="A43" s="46">
        <v>50</v>
      </c>
      <c r="B43" s="46">
        <v>0</v>
      </c>
      <c r="C43" s="46">
        <v>0</v>
      </c>
      <c r="D43" s="46">
        <v>1</v>
      </c>
      <c r="E43" s="46">
        <v>202</v>
      </c>
      <c r="F43" s="46">
        <f>ROUND(Source!P40,O43)</f>
        <v>984353.27</v>
      </c>
      <c r="G43" s="46" t="s">
        <v>216</v>
      </c>
      <c r="H43" s="46" t="s">
        <v>217</v>
      </c>
      <c r="I43" s="46"/>
      <c r="J43" s="46"/>
      <c r="K43" s="46">
        <v>202</v>
      </c>
      <c r="L43" s="46">
        <v>2</v>
      </c>
      <c r="M43" s="46">
        <v>3</v>
      </c>
      <c r="N43" s="46" t="s">
        <v>30</v>
      </c>
      <c r="O43" s="46">
        <v>2</v>
      </c>
      <c r="P43" s="46"/>
      <c r="Q43" s="46"/>
      <c r="R43" s="46"/>
      <c r="S43" s="46"/>
      <c r="T43" s="46"/>
      <c r="U43" s="46"/>
      <c r="V43" s="46"/>
      <c r="W43" s="46">
        <v>984353.27</v>
      </c>
      <c r="X43" s="46">
        <v>1</v>
      </c>
      <c r="Y43" s="46">
        <v>984353.27</v>
      </c>
      <c r="Z43" s="46"/>
      <c r="AA43" s="46"/>
      <c r="AB43" s="46"/>
    </row>
    <row r="44" spans="1:245" ht="13" x14ac:dyDescent="0.3">
      <c r="A44" s="46">
        <v>50</v>
      </c>
      <c r="B44" s="46">
        <v>0</v>
      </c>
      <c r="C44" s="46">
        <v>0</v>
      </c>
      <c r="D44" s="46">
        <v>1</v>
      </c>
      <c r="E44" s="46">
        <v>222</v>
      </c>
      <c r="F44" s="46">
        <f>ROUND(Source!AO40,O44)</f>
        <v>0</v>
      </c>
      <c r="G44" s="46" t="s">
        <v>218</v>
      </c>
      <c r="H44" s="46" t="s">
        <v>219</v>
      </c>
      <c r="I44" s="46"/>
      <c r="J44" s="46"/>
      <c r="K44" s="46">
        <v>222</v>
      </c>
      <c r="L44" s="46">
        <v>3</v>
      </c>
      <c r="M44" s="46">
        <v>3</v>
      </c>
      <c r="N44" s="46" t="s">
        <v>30</v>
      </c>
      <c r="O44" s="46">
        <v>2</v>
      </c>
      <c r="P44" s="46"/>
      <c r="Q44" s="46"/>
      <c r="R44" s="46"/>
      <c r="S44" s="46"/>
      <c r="T44" s="46"/>
      <c r="U44" s="46"/>
      <c r="V44" s="46"/>
      <c r="W44" s="46">
        <v>0</v>
      </c>
      <c r="X44" s="46">
        <v>1</v>
      </c>
      <c r="Y44" s="46">
        <v>0</v>
      </c>
      <c r="Z44" s="46"/>
      <c r="AA44" s="46"/>
      <c r="AB44" s="46"/>
    </row>
    <row r="45" spans="1:245" ht="13" x14ac:dyDescent="0.3">
      <c r="A45" s="46">
        <v>50</v>
      </c>
      <c r="B45" s="46">
        <v>0</v>
      </c>
      <c r="C45" s="46">
        <v>0</v>
      </c>
      <c r="D45" s="46">
        <v>1</v>
      </c>
      <c r="E45" s="46">
        <v>225</v>
      </c>
      <c r="F45" s="46">
        <f>ROUND(Source!AV40,O45)</f>
        <v>984353.27</v>
      </c>
      <c r="G45" s="46" t="s">
        <v>220</v>
      </c>
      <c r="H45" s="46" t="s">
        <v>221</v>
      </c>
      <c r="I45" s="46"/>
      <c r="J45" s="46"/>
      <c r="K45" s="46">
        <v>225</v>
      </c>
      <c r="L45" s="46">
        <v>4</v>
      </c>
      <c r="M45" s="46">
        <v>3</v>
      </c>
      <c r="N45" s="46" t="s">
        <v>30</v>
      </c>
      <c r="O45" s="46">
        <v>2</v>
      </c>
      <c r="P45" s="46"/>
      <c r="Q45" s="46"/>
      <c r="R45" s="46"/>
      <c r="S45" s="46"/>
      <c r="T45" s="46"/>
      <c r="U45" s="46"/>
      <c r="V45" s="46"/>
      <c r="W45" s="46">
        <v>984353.27</v>
      </c>
      <c r="X45" s="46">
        <v>1</v>
      </c>
      <c r="Y45" s="46">
        <v>984353.27</v>
      </c>
      <c r="Z45" s="46"/>
      <c r="AA45" s="46"/>
      <c r="AB45" s="46"/>
    </row>
    <row r="46" spans="1:245" ht="13" x14ac:dyDescent="0.3">
      <c r="A46" s="46">
        <v>50</v>
      </c>
      <c r="B46" s="46">
        <v>0</v>
      </c>
      <c r="C46" s="46">
        <v>0</v>
      </c>
      <c r="D46" s="46">
        <v>1</v>
      </c>
      <c r="E46" s="46">
        <v>226</v>
      </c>
      <c r="F46" s="46">
        <f>ROUND(Source!AW40,O46)</f>
        <v>984353.27</v>
      </c>
      <c r="G46" s="46" t="s">
        <v>222</v>
      </c>
      <c r="H46" s="46" t="s">
        <v>223</v>
      </c>
      <c r="I46" s="46"/>
      <c r="J46" s="46"/>
      <c r="K46" s="46">
        <v>226</v>
      </c>
      <c r="L46" s="46">
        <v>5</v>
      </c>
      <c r="M46" s="46">
        <v>3</v>
      </c>
      <c r="N46" s="46" t="s">
        <v>30</v>
      </c>
      <c r="O46" s="46">
        <v>2</v>
      </c>
      <c r="P46" s="46"/>
      <c r="Q46" s="46"/>
      <c r="R46" s="46"/>
      <c r="S46" s="46"/>
      <c r="T46" s="46"/>
      <c r="U46" s="46"/>
      <c r="V46" s="46"/>
      <c r="W46" s="46">
        <v>984353.27</v>
      </c>
      <c r="X46" s="46">
        <v>1</v>
      </c>
      <c r="Y46" s="46">
        <v>984353.27</v>
      </c>
      <c r="Z46" s="46"/>
      <c r="AA46" s="46"/>
      <c r="AB46" s="46"/>
    </row>
    <row r="47" spans="1:245" ht="13" x14ac:dyDescent="0.3">
      <c r="A47" s="46">
        <v>50</v>
      </c>
      <c r="B47" s="46">
        <v>0</v>
      </c>
      <c r="C47" s="46">
        <v>0</v>
      </c>
      <c r="D47" s="46">
        <v>1</v>
      </c>
      <c r="E47" s="46">
        <v>227</v>
      </c>
      <c r="F47" s="46">
        <f>ROUND(Source!AX40,O47)</f>
        <v>0</v>
      </c>
      <c r="G47" s="46" t="s">
        <v>224</v>
      </c>
      <c r="H47" s="46" t="s">
        <v>225</v>
      </c>
      <c r="I47" s="46"/>
      <c r="J47" s="46"/>
      <c r="K47" s="46">
        <v>227</v>
      </c>
      <c r="L47" s="46">
        <v>6</v>
      </c>
      <c r="M47" s="46">
        <v>3</v>
      </c>
      <c r="N47" s="46" t="s">
        <v>30</v>
      </c>
      <c r="O47" s="46">
        <v>2</v>
      </c>
      <c r="P47" s="46"/>
      <c r="Q47" s="46"/>
      <c r="R47" s="46"/>
      <c r="S47" s="46"/>
      <c r="T47" s="46"/>
      <c r="U47" s="46"/>
      <c r="V47" s="46"/>
      <c r="W47" s="46">
        <v>0</v>
      </c>
      <c r="X47" s="46">
        <v>1</v>
      </c>
      <c r="Y47" s="46">
        <v>0</v>
      </c>
      <c r="Z47" s="46"/>
      <c r="AA47" s="46"/>
      <c r="AB47" s="46"/>
    </row>
    <row r="48" spans="1:245" ht="13" x14ac:dyDescent="0.3">
      <c r="A48" s="46">
        <v>50</v>
      </c>
      <c r="B48" s="46">
        <v>0</v>
      </c>
      <c r="C48" s="46">
        <v>0</v>
      </c>
      <c r="D48" s="46">
        <v>1</v>
      </c>
      <c r="E48" s="46">
        <v>228</v>
      </c>
      <c r="F48" s="46">
        <f>ROUND(Source!AY40,O48)</f>
        <v>984353.27</v>
      </c>
      <c r="G48" s="46" t="s">
        <v>226</v>
      </c>
      <c r="H48" s="46" t="s">
        <v>227</v>
      </c>
      <c r="I48" s="46"/>
      <c r="J48" s="46"/>
      <c r="K48" s="46">
        <v>228</v>
      </c>
      <c r="L48" s="46">
        <v>7</v>
      </c>
      <c r="M48" s="46">
        <v>3</v>
      </c>
      <c r="N48" s="46" t="s">
        <v>30</v>
      </c>
      <c r="O48" s="46">
        <v>2</v>
      </c>
      <c r="P48" s="46"/>
      <c r="Q48" s="46"/>
      <c r="R48" s="46"/>
      <c r="S48" s="46"/>
      <c r="T48" s="46"/>
      <c r="U48" s="46"/>
      <c r="V48" s="46"/>
      <c r="W48" s="46">
        <v>984353.27</v>
      </c>
      <c r="X48" s="46">
        <v>1</v>
      </c>
      <c r="Y48" s="46">
        <v>984353.27</v>
      </c>
      <c r="Z48" s="46"/>
      <c r="AA48" s="46"/>
      <c r="AB48" s="46"/>
    </row>
    <row r="49" spans="1:28" ht="13" x14ac:dyDescent="0.3">
      <c r="A49" s="46">
        <v>50</v>
      </c>
      <c r="B49" s="46">
        <v>0</v>
      </c>
      <c r="C49" s="46">
        <v>0</v>
      </c>
      <c r="D49" s="46">
        <v>1</v>
      </c>
      <c r="E49" s="46">
        <v>216</v>
      </c>
      <c r="F49" s="46">
        <f>ROUND(Source!AP40,O49)</f>
        <v>0</v>
      </c>
      <c r="G49" s="46" t="s">
        <v>228</v>
      </c>
      <c r="H49" s="46" t="s">
        <v>229</v>
      </c>
      <c r="I49" s="46"/>
      <c r="J49" s="46"/>
      <c r="K49" s="46">
        <v>216</v>
      </c>
      <c r="L49" s="46">
        <v>8</v>
      </c>
      <c r="M49" s="46">
        <v>3</v>
      </c>
      <c r="N49" s="46" t="s">
        <v>30</v>
      </c>
      <c r="O49" s="46">
        <v>2</v>
      </c>
      <c r="P49" s="46"/>
      <c r="Q49" s="46"/>
      <c r="R49" s="46"/>
      <c r="S49" s="46"/>
      <c r="T49" s="46"/>
      <c r="U49" s="46"/>
      <c r="V49" s="46"/>
      <c r="W49" s="46">
        <v>0</v>
      </c>
      <c r="X49" s="46">
        <v>1</v>
      </c>
      <c r="Y49" s="46">
        <v>0</v>
      </c>
      <c r="Z49" s="46"/>
      <c r="AA49" s="46"/>
      <c r="AB49" s="46"/>
    </row>
    <row r="50" spans="1:28" ht="13" x14ac:dyDescent="0.3">
      <c r="A50" s="46">
        <v>50</v>
      </c>
      <c r="B50" s="46">
        <v>0</v>
      </c>
      <c r="C50" s="46">
        <v>0</v>
      </c>
      <c r="D50" s="46">
        <v>1</v>
      </c>
      <c r="E50" s="46">
        <v>223</v>
      </c>
      <c r="F50" s="46">
        <f>ROUND(Source!AQ40,O50)</f>
        <v>0</v>
      </c>
      <c r="G50" s="46" t="s">
        <v>230</v>
      </c>
      <c r="H50" s="46" t="s">
        <v>231</v>
      </c>
      <c r="I50" s="46"/>
      <c r="J50" s="46"/>
      <c r="K50" s="46">
        <v>223</v>
      </c>
      <c r="L50" s="46">
        <v>9</v>
      </c>
      <c r="M50" s="46">
        <v>3</v>
      </c>
      <c r="N50" s="46" t="s">
        <v>30</v>
      </c>
      <c r="O50" s="46">
        <v>2</v>
      </c>
      <c r="P50" s="46"/>
      <c r="Q50" s="46"/>
      <c r="R50" s="46"/>
      <c r="S50" s="46"/>
      <c r="T50" s="46"/>
      <c r="U50" s="46"/>
      <c r="V50" s="46"/>
      <c r="W50" s="46">
        <v>0</v>
      </c>
      <c r="X50" s="46">
        <v>1</v>
      </c>
      <c r="Y50" s="46">
        <v>0</v>
      </c>
      <c r="Z50" s="46"/>
      <c r="AA50" s="46"/>
      <c r="AB50" s="46"/>
    </row>
    <row r="51" spans="1:28" ht="13" x14ac:dyDescent="0.3">
      <c r="A51" s="46">
        <v>50</v>
      </c>
      <c r="B51" s="46">
        <v>0</v>
      </c>
      <c r="C51" s="46">
        <v>0</v>
      </c>
      <c r="D51" s="46">
        <v>1</v>
      </c>
      <c r="E51" s="46">
        <v>229</v>
      </c>
      <c r="F51" s="46">
        <f>ROUND(Source!AZ40,O51)</f>
        <v>0</v>
      </c>
      <c r="G51" s="46" t="s">
        <v>232</v>
      </c>
      <c r="H51" s="46" t="s">
        <v>233</v>
      </c>
      <c r="I51" s="46"/>
      <c r="J51" s="46"/>
      <c r="K51" s="46">
        <v>229</v>
      </c>
      <c r="L51" s="46">
        <v>10</v>
      </c>
      <c r="M51" s="46">
        <v>3</v>
      </c>
      <c r="N51" s="46" t="s">
        <v>30</v>
      </c>
      <c r="O51" s="46">
        <v>2</v>
      </c>
      <c r="P51" s="46"/>
      <c r="Q51" s="46"/>
      <c r="R51" s="46"/>
      <c r="S51" s="46"/>
      <c r="T51" s="46"/>
      <c r="U51" s="46"/>
      <c r="V51" s="46"/>
      <c r="W51" s="46">
        <v>0</v>
      </c>
      <c r="X51" s="46">
        <v>1</v>
      </c>
      <c r="Y51" s="46">
        <v>0</v>
      </c>
      <c r="Z51" s="46"/>
      <c r="AA51" s="46"/>
      <c r="AB51" s="46"/>
    </row>
    <row r="52" spans="1:28" ht="13" x14ac:dyDescent="0.3">
      <c r="A52" s="46">
        <v>50</v>
      </c>
      <c r="B52" s="46">
        <v>0</v>
      </c>
      <c r="C52" s="46">
        <v>0</v>
      </c>
      <c r="D52" s="46">
        <v>1</v>
      </c>
      <c r="E52" s="46">
        <v>203</v>
      </c>
      <c r="F52" s="46">
        <f>ROUND(Source!Q40,O52)</f>
        <v>629897.18999999994</v>
      </c>
      <c r="G52" s="46" t="s">
        <v>234</v>
      </c>
      <c r="H52" s="46" t="s">
        <v>235</v>
      </c>
      <c r="I52" s="46"/>
      <c r="J52" s="46"/>
      <c r="K52" s="46">
        <v>203</v>
      </c>
      <c r="L52" s="46">
        <v>11</v>
      </c>
      <c r="M52" s="46">
        <v>3</v>
      </c>
      <c r="N52" s="46" t="s">
        <v>30</v>
      </c>
      <c r="O52" s="46">
        <v>2</v>
      </c>
      <c r="P52" s="46"/>
      <c r="Q52" s="46"/>
      <c r="R52" s="46"/>
      <c r="S52" s="46"/>
      <c r="T52" s="46"/>
      <c r="U52" s="46"/>
      <c r="V52" s="46"/>
      <c r="W52" s="46">
        <v>629897.18999999994</v>
      </c>
      <c r="X52" s="46">
        <v>1</v>
      </c>
      <c r="Y52" s="46">
        <v>629897.18999999994</v>
      </c>
      <c r="Z52" s="46"/>
      <c r="AA52" s="46"/>
      <c r="AB52" s="46"/>
    </row>
    <row r="53" spans="1:28" ht="13" x14ac:dyDescent="0.3">
      <c r="A53" s="46">
        <v>50</v>
      </c>
      <c r="B53" s="46">
        <v>0</v>
      </c>
      <c r="C53" s="46">
        <v>0</v>
      </c>
      <c r="D53" s="46">
        <v>1</v>
      </c>
      <c r="E53" s="46">
        <v>231</v>
      </c>
      <c r="F53" s="46">
        <f>ROUND(Source!BB40,O53)</f>
        <v>0</v>
      </c>
      <c r="G53" s="46" t="s">
        <v>236</v>
      </c>
      <c r="H53" s="46" t="s">
        <v>237</v>
      </c>
      <c r="I53" s="46"/>
      <c r="J53" s="46"/>
      <c r="K53" s="46">
        <v>231</v>
      </c>
      <c r="L53" s="46">
        <v>12</v>
      </c>
      <c r="M53" s="46">
        <v>3</v>
      </c>
      <c r="N53" s="46" t="s">
        <v>30</v>
      </c>
      <c r="O53" s="46">
        <v>2</v>
      </c>
      <c r="P53" s="46"/>
      <c r="Q53" s="46"/>
      <c r="R53" s="46"/>
      <c r="S53" s="46"/>
      <c r="T53" s="46"/>
      <c r="U53" s="46"/>
      <c r="V53" s="46"/>
      <c r="W53" s="46">
        <v>0</v>
      </c>
      <c r="X53" s="46">
        <v>1</v>
      </c>
      <c r="Y53" s="46">
        <v>0</v>
      </c>
      <c r="Z53" s="46"/>
      <c r="AA53" s="46"/>
      <c r="AB53" s="46"/>
    </row>
    <row r="54" spans="1:28" ht="13" x14ac:dyDescent="0.3">
      <c r="A54" s="46">
        <v>50</v>
      </c>
      <c r="B54" s="46">
        <v>0</v>
      </c>
      <c r="C54" s="46">
        <v>0</v>
      </c>
      <c r="D54" s="46">
        <v>1</v>
      </c>
      <c r="E54" s="46">
        <v>204</v>
      </c>
      <c r="F54" s="46">
        <f>ROUND(Source!R40,O54)</f>
        <v>307816.19</v>
      </c>
      <c r="G54" s="46" t="s">
        <v>238</v>
      </c>
      <c r="H54" s="46" t="s">
        <v>239</v>
      </c>
      <c r="I54" s="46"/>
      <c r="J54" s="46"/>
      <c r="K54" s="46">
        <v>204</v>
      </c>
      <c r="L54" s="46">
        <v>13</v>
      </c>
      <c r="M54" s="46">
        <v>3</v>
      </c>
      <c r="N54" s="46" t="s">
        <v>30</v>
      </c>
      <c r="O54" s="46">
        <v>2</v>
      </c>
      <c r="P54" s="46"/>
      <c r="Q54" s="46"/>
      <c r="R54" s="46"/>
      <c r="S54" s="46"/>
      <c r="T54" s="46"/>
      <c r="U54" s="46"/>
      <c r="V54" s="46"/>
      <c r="W54" s="46">
        <v>307816.19</v>
      </c>
      <c r="X54" s="46">
        <v>1</v>
      </c>
      <c r="Y54" s="46">
        <v>307816.19</v>
      </c>
      <c r="Z54" s="46"/>
      <c r="AA54" s="46"/>
      <c r="AB54" s="46"/>
    </row>
    <row r="55" spans="1:28" ht="13" x14ac:dyDescent="0.3">
      <c r="A55" s="46">
        <v>50</v>
      </c>
      <c r="B55" s="46">
        <v>0</v>
      </c>
      <c r="C55" s="46">
        <v>0</v>
      </c>
      <c r="D55" s="46">
        <v>1</v>
      </c>
      <c r="E55" s="46">
        <v>205</v>
      </c>
      <c r="F55" s="46">
        <f>ROUND(Source!S40,O55)</f>
        <v>79486.320000000007</v>
      </c>
      <c r="G55" s="46" t="s">
        <v>240</v>
      </c>
      <c r="H55" s="46" t="s">
        <v>241</v>
      </c>
      <c r="I55" s="46"/>
      <c r="J55" s="46"/>
      <c r="K55" s="46">
        <v>205</v>
      </c>
      <c r="L55" s="46">
        <v>14</v>
      </c>
      <c r="M55" s="46">
        <v>3</v>
      </c>
      <c r="N55" s="46" t="s">
        <v>30</v>
      </c>
      <c r="O55" s="46">
        <v>2</v>
      </c>
      <c r="P55" s="46"/>
      <c r="Q55" s="46"/>
      <c r="R55" s="46"/>
      <c r="S55" s="46"/>
      <c r="T55" s="46"/>
      <c r="U55" s="46"/>
      <c r="V55" s="46"/>
      <c r="W55" s="46">
        <v>79486.320000000007</v>
      </c>
      <c r="X55" s="46">
        <v>1</v>
      </c>
      <c r="Y55" s="46">
        <v>79486.320000000007</v>
      </c>
      <c r="Z55" s="46"/>
      <c r="AA55" s="46"/>
      <c r="AB55" s="46"/>
    </row>
    <row r="56" spans="1:28" ht="13" x14ac:dyDescent="0.3">
      <c r="A56" s="46">
        <v>50</v>
      </c>
      <c r="B56" s="46">
        <v>0</v>
      </c>
      <c r="C56" s="46">
        <v>0</v>
      </c>
      <c r="D56" s="46">
        <v>1</v>
      </c>
      <c r="E56" s="46">
        <v>232</v>
      </c>
      <c r="F56" s="46">
        <f>ROUND(Source!BC40,O56)</f>
        <v>0</v>
      </c>
      <c r="G56" s="46" t="s">
        <v>242</v>
      </c>
      <c r="H56" s="46" t="s">
        <v>243</v>
      </c>
      <c r="I56" s="46"/>
      <c r="J56" s="46"/>
      <c r="K56" s="46">
        <v>232</v>
      </c>
      <c r="L56" s="46">
        <v>15</v>
      </c>
      <c r="M56" s="46">
        <v>3</v>
      </c>
      <c r="N56" s="46" t="s">
        <v>30</v>
      </c>
      <c r="O56" s="46">
        <v>2</v>
      </c>
      <c r="P56" s="46"/>
      <c r="Q56" s="46"/>
      <c r="R56" s="46"/>
      <c r="S56" s="46"/>
      <c r="T56" s="46"/>
      <c r="U56" s="46"/>
      <c r="V56" s="46"/>
      <c r="W56" s="46">
        <v>0</v>
      </c>
      <c r="X56" s="46">
        <v>1</v>
      </c>
      <c r="Y56" s="46">
        <v>0</v>
      </c>
      <c r="Z56" s="46"/>
      <c r="AA56" s="46"/>
      <c r="AB56" s="46"/>
    </row>
    <row r="57" spans="1:28" ht="13" x14ac:dyDescent="0.3">
      <c r="A57" s="46">
        <v>50</v>
      </c>
      <c r="B57" s="46">
        <v>0</v>
      </c>
      <c r="C57" s="46">
        <v>0</v>
      </c>
      <c r="D57" s="46">
        <v>1</v>
      </c>
      <c r="E57" s="46">
        <v>214</v>
      </c>
      <c r="F57" s="46">
        <f>ROUND(Source!AS40,O57)</f>
        <v>0</v>
      </c>
      <c r="G57" s="46" t="s">
        <v>244</v>
      </c>
      <c r="H57" s="46" t="s">
        <v>245</v>
      </c>
      <c r="I57" s="46"/>
      <c r="J57" s="46"/>
      <c r="K57" s="46">
        <v>214</v>
      </c>
      <c r="L57" s="46">
        <v>16</v>
      </c>
      <c r="M57" s="46">
        <v>3</v>
      </c>
      <c r="N57" s="46" t="s">
        <v>30</v>
      </c>
      <c r="O57" s="46">
        <v>2</v>
      </c>
      <c r="P57" s="46"/>
      <c r="Q57" s="46"/>
      <c r="R57" s="46"/>
      <c r="S57" s="46"/>
      <c r="T57" s="46"/>
      <c r="U57" s="46"/>
      <c r="V57" s="46"/>
      <c r="W57" s="46">
        <v>0</v>
      </c>
      <c r="X57" s="46">
        <v>1</v>
      </c>
      <c r="Y57" s="46">
        <v>0</v>
      </c>
      <c r="Z57" s="46"/>
      <c r="AA57" s="46"/>
      <c r="AB57" s="46"/>
    </row>
    <row r="58" spans="1:28" ht="13" x14ac:dyDescent="0.3">
      <c r="A58" s="46">
        <v>50</v>
      </c>
      <c r="B58" s="46">
        <v>0</v>
      </c>
      <c r="C58" s="46">
        <v>0</v>
      </c>
      <c r="D58" s="46">
        <v>1</v>
      </c>
      <c r="E58" s="46">
        <v>215</v>
      </c>
      <c r="F58" s="46">
        <f>ROUND(Source!AT40,O58)</f>
        <v>0</v>
      </c>
      <c r="G58" s="46" t="s">
        <v>246</v>
      </c>
      <c r="H58" s="46" t="s">
        <v>247</v>
      </c>
      <c r="I58" s="46"/>
      <c r="J58" s="46"/>
      <c r="K58" s="46">
        <v>215</v>
      </c>
      <c r="L58" s="46">
        <v>17</v>
      </c>
      <c r="M58" s="46">
        <v>3</v>
      </c>
      <c r="N58" s="46" t="s">
        <v>30</v>
      </c>
      <c r="O58" s="46">
        <v>2</v>
      </c>
      <c r="P58" s="46"/>
      <c r="Q58" s="46"/>
      <c r="R58" s="46"/>
      <c r="S58" s="46"/>
      <c r="T58" s="46"/>
      <c r="U58" s="46"/>
      <c r="V58" s="46"/>
      <c r="W58" s="46">
        <v>0</v>
      </c>
      <c r="X58" s="46">
        <v>1</v>
      </c>
      <c r="Y58" s="46">
        <v>0</v>
      </c>
      <c r="Z58" s="46"/>
      <c r="AA58" s="46"/>
      <c r="AB58" s="46"/>
    </row>
    <row r="59" spans="1:28" ht="13" x14ac:dyDescent="0.3">
      <c r="A59" s="46">
        <v>50</v>
      </c>
      <c r="B59" s="46">
        <v>0</v>
      </c>
      <c r="C59" s="46">
        <v>0</v>
      </c>
      <c r="D59" s="46">
        <v>1</v>
      </c>
      <c r="E59" s="46">
        <v>217</v>
      </c>
      <c r="F59" s="46">
        <f>ROUND(Source!AU40,O59)</f>
        <v>1814143.53</v>
      </c>
      <c r="G59" s="46" t="s">
        <v>248</v>
      </c>
      <c r="H59" s="46" t="s">
        <v>249</v>
      </c>
      <c r="I59" s="46"/>
      <c r="J59" s="46"/>
      <c r="K59" s="46">
        <v>217</v>
      </c>
      <c r="L59" s="46">
        <v>18</v>
      </c>
      <c r="M59" s="46">
        <v>3</v>
      </c>
      <c r="N59" s="46" t="s">
        <v>30</v>
      </c>
      <c r="O59" s="46">
        <v>2</v>
      </c>
      <c r="P59" s="46"/>
      <c r="Q59" s="46"/>
      <c r="R59" s="46"/>
      <c r="S59" s="46"/>
      <c r="T59" s="46"/>
      <c r="U59" s="46"/>
      <c r="V59" s="46"/>
      <c r="W59" s="46">
        <v>1814143.53</v>
      </c>
      <c r="X59" s="46">
        <v>1</v>
      </c>
      <c r="Y59" s="46">
        <v>1814143.53</v>
      </c>
      <c r="Z59" s="46"/>
      <c r="AA59" s="46"/>
      <c r="AB59" s="46"/>
    </row>
    <row r="60" spans="1:28" ht="13" x14ac:dyDescent="0.3">
      <c r="A60" s="46">
        <v>50</v>
      </c>
      <c r="B60" s="46">
        <v>0</v>
      </c>
      <c r="C60" s="46">
        <v>0</v>
      </c>
      <c r="D60" s="46">
        <v>1</v>
      </c>
      <c r="E60" s="46">
        <v>230</v>
      </c>
      <c r="F60" s="46">
        <f>ROUND(Source!BA40,O60)</f>
        <v>0</v>
      </c>
      <c r="G60" s="46" t="s">
        <v>250</v>
      </c>
      <c r="H60" s="46" t="s">
        <v>251</v>
      </c>
      <c r="I60" s="46"/>
      <c r="J60" s="46"/>
      <c r="K60" s="46">
        <v>230</v>
      </c>
      <c r="L60" s="46">
        <v>19</v>
      </c>
      <c r="M60" s="46">
        <v>3</v>
      </c>
      <c r="N60" s="46" t="s">
        <v>30</v>
      </c>
      <c r="O60" s="46">
        <v>2</v>
      </c>
      <c r="P60" s="46"/>
      <c r="Q60" s="46"/>
      <c r="R60" s="46"/>
      <c r="S60" s="46"/>
      <c r="T60" s="46"/>
      <c r="U60" s="46"/>
      <c r="V60" s="46"/>
      <c r="W60" s="46">
        <v>0</v>
      </c>
      <c r="X60" s="46">
        <v>1</v>
      </c>
      <c r="Y60" s="46">
        <v>0</v>
      </c>
      <c r="Z60" s="46"/>
      <c r="AA60" s="46"/>
      <c r="AB60" s="46"/>
    </row>
    <row r="61" spans="1:28" ht="13" x14ac:dyDescent="0.3">
      <c r="A61" s="46">
        <v>50</v>
      </c>
      <c r="B61" s="46">
        <v>0</v>
      </c>
      <c r="C61" s="46">
        <v>0</v>
      </c>
      <c r="D61" s="46">
        <v>1</v>
      </c>
      <c r="E61" s="46">
        <v>206</v>
      </c>
      <c r="F61" s="46">
        <f>ROUND(Source!T40,O61)</f>
        <v>0</v>
      </c>
      <c r="G61" s="46" t="s">
        <v>252</v>
      </c>
      <c r="H61" s="46" t="s">
        <v>253</v>
      </c>
      <c r="I61" s="46"/>
      <c r="J61" s="46"/>
      <c r="K61" s="46">
        <v>206</v>
      </c>
      <c r="L61" s="46">
        <v>20</v>
      </c>
      <c r="M61" s="46">
        <v>3</v>
      </c>
      <c r="N61" s="46" t="s">
        <v>30</v>
      </c>
      <c r="O61" s="46">
        <v>2</v>
      </c>
      <c r="P61" s="46"/>
      <c r="Q61" s="46"/>
      <c r="R61" s="46"/>
      <c r="S61" s="46"/>
      <c r="T61" s="46"/>
      <c r="U61" s="46"/>
      <c r="V61" s="46"/>
      <c r="W61" s="46">
        <v>0</v>
      </c>
      <c r="X61" s="46">
        <v>1</v>
      </c>
      <c r="Y61" s="46">
        <v>0</v>
      </c>
      <c r="Z61" s="46"/>
      <c r="AA61" s="46"/>
      <c r="AB61" s="46"/>
    </row>
    <row r="62" spans="1:28" ht="13" x14ac:dyDescent="0.3">
      <c r="A62" s="46">
        <v>50</v>
      </c>
      <c r="B62" s="46">
        <v>0</v>
      </c>
      <c r="C62" s="46">
        <v>0</v>
      </c>
      <c r="D62" s="46">
        <v>1</v>
      </c>
      <c r="E62" s="46">
        <v>207</v>
      </c>
      <c r="F62" s="46">
        <f>Source!U40</f>
        <v>343.49443100000002</v>
      </c>
      <c r="G62" s="46" t="s">
        <v>254</v>
      </c>
      <c r="H62" s="46" t="s">
        <v>255</v>
      </c>
      <c r="I62" s="46"/>
      <c r="J62" s="46"/>
      <c r="K62" s="46">
        <v>207</v>
      </c>
      <c r="L62" s="46">
        <v>21</v>
      </c>
      <c r="M62" s="46">
        <v>3</v>
      </c>
      <c r="N62" s="46" t="s">
        <v>30</v>
      </c>
      <c r="O62" s="46">
        <v>-1</v>
      </c>
      <c r="P62" s="46"/>
      <c r="Q62" s="46"/>
      <c r="R62" s="46"/>
      <c r="S62" s="46"/>
      <c r="T62" s="46"/>
      <c r="U62" s="46"/>
      <c r="V62" s="46"/>
      <c r="W62" s="46">
        <v>343.49443100000002</v>
      </c>
      <c r="X62" s="46">
        <v>1</v>
      </c>
      <c r="Y62" s="46">
        <v>343.49443100000002</v>
      </c>
      <c r="Z62" s="46"/>
      <c r="AA62" s="46"/>
      <c r="AB62" s="46"/>
    </row>
    <row r="63" spans="1:28" ht="13" x14ac:dyDescent="0.3">
      <c r="A63" s="46">
        <v>50</v>
      </c>
      <c r="B63" s="46">
        <v>0</v>
      </c>
      <c r="C63" s="46">
        <v>0</v>
      </c>
      <c r="D63" s="46">
        <v>1</v>
      </c>
      <c r="E63" s="46">
        <v>208</v>
      </c>
      <c r="F63" s="46">
        <f>Source!V40</f>
        <v>0</v>
      </c>
      <c r="G63" s="46" t="s">
        <v>256</v>
      </c>
      <c r="H63" s="46" t="s">
        <v>257</v>
      </c>
      <c r="I63" s="46"/>
      <c r="J63" s="46"/>
      <c r="K63" s="46">
        <v>208</v>
      </c>
      <c r="L63" s="46">
        <v>22</v>
      </c>
      <c r="M63" s="46">
        <v>3</v>
      </c>
      <c r="N63" s="46" t="s">
        <v>30</v>
      </c>
      <c r="O63" s="46">
        <v>-1</v>
      </c>
      <c r="P63" s="46"/>
      <c r="Q63" s="46"/>
      <c r="R63" s="46"/>
      <c r="S63" s="46"/>
      <c r="T63" s="46"/>
      <c r="U63" s="46"/>
      <c r="V63" s="46"/>
      <c r="W63" s="46">
        <v>0</v>
      </c>
      <c r="X63" s="46">
        <v>1</v>
      </c>
      <c r="Y63" s="46">
        <v>0</v>
      </c>
      <c r="Z63" s="46"/>
      <c r="AA63" s="46"/>
      <c r="AB63" s="46"/>
    </row>
    <row r="64" spans="1:28" ht="13" x14ac:dyDescent="0.3">
      <c r="A64" s="46">
        <v>50</v>
      </c>
      <c r="B64" s="46">
        <v>0</v>
      </c>
      <c r="C64" s="46">
        <v>0</v>
      </c>
      <c r="D64" s="46">
        <v>1</v>
      </c>
      <c r="E64" s="46">
        <v>209</v>
      </c>
      <c r="F64" s="46">
        <f>ROUND(Source!W40,O64)</f>
        <v>0</v>
      </c>
      <c r="G64" s="46" t="s">
        <v>258</v>
      </c>
      <c r="H64" s="46" t="s">
        <v>259</v>
      </c>
      <c r="I64" s="46"/>
      <c r="J64" s="46"/>
      <c r="K64" s="46">
        <v>209</v>
      </c>
      <c r="L64" s="46">
        <v>23</v>
      </c>
      <c r="M64" s="46">
        <v>3</v>
      </c>
      <c r="N64" s="46" t="s">
        <v>30</v>
      </c>
      <c r="O64" s="46">
        <v>2</v>
      </c>
      <c r="P64" s="46"/>
      <c r="Q64" s="46"/>
      <c r="R64" s="46"/>
      <c r="S64" s="46"/>
      <c r="T64" s="46"/>
      <c r="U64" s="46"/>
      <c r="V64" s="46"/>
      <c r="W64" s="46">
        <v>0</v>
      </c>
      <c r="X64" s="46">
        <v>1</v>
      </c>
      <c r="Y64" s="46">
        <v>0</v>
      </c>
      <c r="Z64" s="46"/>
      <c r="AA64" s="46"/>
      <c r="AB64" s="46"/>
    </row>
    <row r="65" spans="1:88" ht="13" x14ac:dyDescent="0.3">
      <c r="A65" s="46">
        <v>50</v>
      </c>
      <c r="B65" s="46">
        <v>0</v>
      </c>
      <c r="C65" s="46">
        <v>0</v>
      </c>
      <c r="D65" s="46">
        <v>1</v>
      </c>
      <c r="E65" s="46">
        <v>233</v>
      </c>
      <c r="F65" s="46">
        <f>ROUND(Source!BD40,O65)</f>
        <v>0</v>
      </c>
      <c r="G65" s="46" t="s">
        <v>260</v>
      </c>
      <c r="H65" s="46" t="s">
        <v>261</v>
      </c>
      <c r="I65" s="46"/>
      <c r="J65" s="46"/>
      <c r="K65" s="46">
        <v>233</v>
      </c>
      <c r="L65" s="46">
        <v>24</v>
      </c>
      <c r="M65" s="46">
        <v>3</v>
      </c>
      <c r="N65" s="46" t="s">
        <v>30</v>
      </c>
      <c r="O65" s="46">
        <v>2</v>
      </c>
      <c r="P65" s="46"/>
      <c r="Q65" s="46"/>
      <c r="R65" s="46"/>
      <c r="S65" s="46"/>
      <c r="T65" s="46"/>
      <c r="U65" s="46"/>
      <c r="V65" s="46"/>
      <c r="W65" s="46">
        <v>0</v>
      </c>
      <c r="X65" s="46">
        <v>1</v>
      </c>
      <c r="Y65" s="46">
        <v>0</v>
      </c>
      <c r="Z65" s="46"/>
      <c r="AA65" s="46"/>
      <c r="AB65" s="46"/>
    </row>
    <row r="66" spans="1:88" ht="13" x14ac:dyDescent="0.3">
      <c r="A66" s="46">
        <v>50</v>
      </c>
      <c r="B66" s="46">
        <v>0</v>
      </c>
      <c r="C66" s="46">
        <v>0</v>
      </c>
      <c r="D66" s="46">
        <v>1</v>
      </c>
      <c r="E66" s="46">
        <v>210</v>
      </c>
      <c r="F66" s="46">
        <f>ROUND(Source!X40,O66)</f>
        <v>55640.43</v>
      </c>
      <c r="G66" s="46" t="s">
        <v>262</v>
      </c>
      <c r="H66" s="46" t="s">
        <v>263</v>
      </c>
      <c r="I66" s="46"/>
      <c r="J66" s="46"/>
      <c r="K66" s="46">
        <v>210</v>
      </c>
      <c r="L66" s="46">
        <v>25</v>
      </c>
      <c r="M66" s="46">
        <v>3</v>
      </c>
      <c r="N66" s="46" t="s">
        <v>30</v>
      </c>
      <c r="O66" s="46">
        <v>2</v>
      </c>
      <c r="P66" s="46"/>
      <c r="Q66" s="46"/>
      <c r="R66" s="46"/>
      <c r="S66" s="46"/>
      <c r="T66" s="46"/>
      <c r="U66" s="46"/>
      <c r="V66" s="46"/>
      <c r="W66" s="46">
        <v>55640.43</v>
      </c>
      <c r="X66" s="46">
        <v>1</v>
      </c>
      <c r="Y66" s="46">
        <v>55640.43</v>
      </c>
      <c r="Z66" s="46"/>
      <c r="AA66" s="46"/>
      <c r="AB66" s="46"/>
    </row>
    <row r="67" spans="1:88" ht="13" x14ac:dyDescent="0.3">
      <c r="A67" s="46">
        <v>50</v>
      </c>
      <c r="B67" s="46">
        <v>0</v>
      </c>
      <c r="C67" s="46">
        <v>0</v>
      </c>
      <c r="D67" s="46">
        <v>1</v>
      </c>
      <c r="E67" s="46">
        <v>211</v>
      </c>
      <c r="F67" s="46">
        <f>ROUND(Source!Y40,O67)</f>
        <v>7948.64</v>
      </c>
      <c r="G67" s="46" t="s">
        <v>264</v>
      </c>
      <c r="H67" s="46" t="s">
        <v>265</v>
      </c>
      <c r="I67" s="46"/>
      <c r="J67" s="46"/>
      <c r="K67" s="46">
        <v>211</v>
      </c>
      <c r="L67" s="46">
        <v>26</v>
      </c>
      <c r="M67" s="46">
        <v>3</v>
      </c>
      <c r="N67" s="46" t="s">
        <v>30</v>
      </c>
      <c r="O67" s="46">
        <v>2</v>
      </c>
      <c r="P67" s="46"/>
      <c r="Q67" s="46"/>
      <c r="R67" s="46"/>
      <c r="S67" s="46"/>
      <c r="T67" s="46"/>
      <c r="U67" s="46"/>
      <c r="V67" s="46"/>
      <c r="W67" s="46">
        <v>7948.64</v>
      </c>
      <c r="X67" s="46">
        <v>1</v>
      </c>
      <c r="Y67" s="46">
        <v>7948.64</v>
      </c>
      <c r="Z67" s="46"/>
      <c r="AA67" s="46"/>
      <c r="AB67" s="46"/>
    </row>
    <row r="68" spans="1:88" ht="13" x14ac:dyDescent="0.3">
      <c r="A68" s="46">
        <v>50</v>
      </c>
      <c r="B68" s="46">
        <v>0</v>
      </c>
      <c r="C68" s="46">
        <v>0</v>
      </c>
      <c r="D68" s="46">
        <v>1</v>
      </c>
      <c r="E68" s="46">
        <v>224</v>
      </c>
      <c r="F68" s="46">
        <f>ROUND(Source!AR40,O68)</f>
        <v>1814143.53</v>
      </c>
      <c r="G68" s="46" t="s">
        <v>266</v>
      </c>
      <c r="H68" s="46" t="s">
        <v>267</v>
      </c>
      <c r="I68" s="46"/>
      <c r="J68" s="46"/>
      <c r="K68" s="46">
        <v>224</v>
      </c>
      <c r="L68" s="46">
        <v>27</v>
      </c>
      <c r="M68" s="46">
        <v>3</v>
      </c>
      <c r="N68" s="46" t="s">
        <v>30</v>
      </c>
      <c r="O68" s="46">
        <v>2</v>
      </c>
      <c r="P68" s="46"/>
      <c r="Q68" s="46"/>
      <c r="R68" s="46"/>
      <c r="S68" s="46"/>
      <c r="T68" s="46"/>
      <c r="U68" s="46"/>
      <c r="V68" s="46"/>
      <c r="W68" s="46">
        <v>1814143.53</v>
      </c>
      <c r="X68" s="46">
        <v>1</v>
      </c>
      <c r="Y68" s="46">
        <v>1814143.53</v>
      </c>
      <c r="Z68" s="46"/>
      <c r="AA68" s="46"/>
      <c r="AB68" s="46"/>
    </row>
    <row r="69" spans="1:88" ht="13" x14ac:dyDescent="0.3">
      <c r="A69" s="46">
        <v>50</v>
      </c>
      <c r="B69" s="46">
        <v>1</v>
      </c>
      <c r="C69" s="46">
        <v>0</v>
      </c>
      <c r="D69" s="46">
        <v>2</v>
      </c>
      <c r="E69" s="46">
        <v>0</v>
      </c>
      <c r="F69" s="46">
        <f>ROUND(F68,O69)</f>
        <v>1814143.53</v>
      </c>
      <c r="G69" s="46" t="s">
        <v>268</v>
      </c>
      <c r="H69" s="46" t="s">
        <v>269</v>
      </c>
      <c r="I69" s="46"/>
      <c r="J69" s="46"/>
      <c r="K69" s="46">
        <v>212</v>
      </c>
      <c r="L69" s="46">
        <v>28</v>
      </c>
      <c r="M69" s="46">
        <v>0</v>
      </c>
      <c r="N69" s="46" t="s">
        <v>30</v>
      </c>
      <c r="O69" s="46">
        <v>2</v>
      </c>
      <c r="P69" s="46"/>
      <c r="Q69" s="46"/>
      <c r="R69" s="46"/>
      <c r="S69" s="46"/>
      <c r="T69" s="46"/>
      <c r="U69" s="46"/>
      <c r="V69" s="46"/>
      <c r="W69" s="46">
        <v>1814143.53</v>
      </c>
      <c r="X69" s="46">
        <v>1</v>
      </c>
      <c r="Y69" s="46">
        <v>1814143.53</v>
      </c>
      <c r="Z69" s="46"/>
      <c r="AA69" s="46"/>
      <c r="AB69" s="46"/>
    </row>
    <row r="70" spans="1:88" ht="13" x14ac:dyDescent="0.3">
      <c r="A70" s="46">
        <v>50</v>
      </c>
      <c r="B70" s="46">
        <v>1</v>
      </c>
      <c r="C70" s="46">
        <v>0</v>
      </c>
      <c r="D70" s="46">
        <v>2</v>
      </c>
      <c r="E70" s="46">
        <v>0</v>
      </c>
      <c r="F70" s="46">
        <f>ROUND(F68-F55-F54,O70)</f>
        <v>1426841.02</v>
      </c>
      <c r="G70" s="46" t="s">
        <v>270</v>
      </c>
      <c r="H70" s="46" t="s">
        <v>271</v>
      </c>
      <c r="I70" s="46"/>
      <c r="J70" s="46"/>
      <c r="K70" s="46">
        <v>212</v>
      </c>
      <c r="L70" s="46">
        <v>29</v>
      </c>
      <c r="M70" s="46">
        <v>0</v>
      </c>
      <c r="N70" s="46" t="s">
        <v>30</v>
      </c>
      <c r="O70" s="46">
        <v>2</v>
      </c>
      <c r="P70" s="46"/>
      <c r="Q70" s="46"/>
      <c r="R70" s="46"/>
      <c r="S70" s="46"/>
      <c r="T70" s="46"/>
      <c r="U70" s="46"/>
      <c r="V70" s="46"/>
      <c r="W70" s="46">
        <v>1426841.02</v>
      </c>
      <c r="X70" s="46">
        <v>1</v>
      </c>
      <c r="Y70" s="46">
        <v>1426841.02</v>
      </c>
      <c r="Z70" s="46"/>
      <c r="AA70" s="46"/>
      <c r="AB70" s="46"/>
    </row>
    <row r="71" spans="1:88" ht="13" x14ac:dyDescent="0.3">
      <c r="A71" s="46">
        <v>50</v>
      </c>
      <c r="B71" s="46">
        <v>1</v>
      </c>
      <c r="C71" s="46">
        <v>0</v>
      </c>
      <c r="D71" s="46">
        <v>2</v>
      </c>
      <c r="E71" s="46">
        <v>0</v>
      </c>
      <c r="F71" s="46">
        <f>ROUND(F67,O71)</f>
        <v>7948.64</v>
      </c>
      <c r="G71" s="46" t="s">
        <v>25</v>
      </c>
      <c r="H71" s="46" t="s">
        <v>25</v>
      </c>
      <c r="I71" s="46"/>
      <c r="J71" s="46"/>
      <c r="K71" s="46">
        <v>212</v>
      </c>
      <c r="L71" s="46">
        <v>30</v>
      </c>
      <c r="M71" s="46">
        <v>0</v>
      </c>
      <c r="N71" s="46" t="s">
        <v>30</v>
      </c>
      <c r="O71" s="46">
        <v>2</v>
      </c>
      <c r="P71" s="46"/>
      <c r="Q71" s="46"/>
      <c r="R71" s="46"/>
      <c r="S71" s="46"/>
      <c r="T71" s="46"/>
      <c r="U71" s="46"/>
      <c r="V71" s="46"/>
      <c r="W71" s="46">
        <v>7948.64</v>
      </c>
      <c r="X71" s="46">
        <v>1</v>
      </c>
      <c r="Y71" s="46">
        <v>7948.64</v>
      </c>
      <c r="Z71" s="46"/>
      <c r="AA71" s="46"/>
      <c r="AB71" s="46"/>
    </row>
    <row r="72" spans="1:88" ht="13" x14ac:dyDescent="0.3">
      <c r="A72" s="46">
        <v>50</v>
      </c>
      <c r="B72" s="46">
        <v>1</v>
      </c>
      <c r="C72" s="46">
        <v>0</v>
      </c>
      <c r="D72" s="46">
        <v>2</v>
      </c>
      <c r="E72" s="46">
        <v>0</v>
      </c>
      <c r="F72" s="46">
        <f>ROUND(F77*0.3,O72)</f>
        <v>92344.86</v>
      </c>
      <c r="G72" s="46" t="s">
        <v>272</v>
      </c>
      <c r="H72" s="46" t="s">
        <v>272</v>
      </c>
      <c r="I72" s="46"/>
      <c r="J72" s="46"/>
      <c r="K72" s="46">
        <v>212</v>
      </c>
      <c r="L72" s="46">
        <v>31</v>
      </c>
      <c r="M72" s="46">
        <v>0</v>
      </c>
      <c r="N72" s="46" t="s">
        <v>30</v>
      </c>
      <c r="O72" s="46">
        <v>2</v>
      </c>
      <c r="P72" s="46"/>
      <c r="Q72" s="46"/>
      <c r="R72" s="46"/>
      <c r="S72" s="46"/>
      <c r="T72" s="46"/>
      <c r="U72" s="46"/>
      <c r="V72" s="46"/>
      <c r="W72" s="46">
        <v>92344.86</v>
      </c>
      <c r="X72" s="46">
        <v>1</v>
      </c>
      <c r="Y72" s="46">
        <v>92344.86</v>
      </c>
      <c r="Z72" s="46"/>
      <c r="AA72" s="46"/>
      <c r="AB72" s="46"/>
    </row>
    <row r="73" spans="1:88" ht="13" x14ac:dyDescent="0.3">
      <c r="A73" s="46">
        <v>50</v>
      </c>
      <c r="B73" s="46">
        <v>1</v>
      </c>
      <c r="C73" s="46">
        <v>0</v>
      </c>
      <c r="D73" s="46">
        <v>2</v>
      </c>
      <c r="E73" s="46">
        <v>0</v>
      </c>
      <c r="F73" s="46">
        <f>ROUND(F70-F71-F72,O73)</f>
        <v>1326547.52</v>
      </c>
      <c r="G73" s="46" t="s">
        <v>273</v>
      </c>
      <c r="H73" s="46" t="s">
        <v>274</v>
      </c>
      <c r="I73" s="46"/>
      <c r="J73" s="46"/>
      <c r="K73" s="46">
        <v>212</v>
      </c>
      <c r="L73" s="46">
        <v>32</v>
      </c>
      <c r="M73" s="46">
        <v>0</v>
      </c>
      <c r="N73" s="46" t="s">
        <v>30</v>
      </c>
      <c r="O73" s="46">
        <v>2</v>
      </c>
      <c r="P73" s="46"/>
      <c r="Q73" s="46"/>
      <c r="R73" s="46"/>
      <c r="S73" s="46"/>
      <c r="T73" s="46"/>
      <c r="U73" s="46"/>
      <c r="V73" s="46"/>
      <c r="W73" s="46">
        <v>1326547.52</v>
      </c>
      <c r="X73" s="46">
        <v>1</v>
      </c>
      <c r="Y73" s="46">
        <v>1326547.52</v>
      </c>
      <c r="Z73" s="46"/>
      <c r="AA73" s="46"/>
      <c r="AB73" s="46"/>
    </row>
    <row r="74" spans="1:88" ht="13" x14ac:dyDescent="0.3">
      <c r="A74" s="46">
        <v>50</v>
      </c>
      <c r="B74" s="46">
        <v>1</v>
      </c>
      <c r="C74" s="46">
        <v>0</v>
      </c>
      <c r="D74" s="46">
        <v>2</v>
      </c>
      <c r="E74" s="46">
        <v>0</v>
      </c>
      <c r="F74" s="46">
        <f>ROUND(F73*0.2,O74)</f>
        <v>265309.5</v>
      </c>
      <c r="G74" s="46" t="s">
        <v>42</v>
      </c>
      <c r="H74" s="46" t="s">
        <v>42</v>
      </c>
      <c r="I74" s="46"/>
      <c r="J74" s="46"/>
      <c r="K74" s="46">
        <v>212</v>
      </c>
      <c r="L74" s="46">
        <v>33</v>
      </c>
      <c r="M74" s="46">
        <v>0</v>
      </c>
      <c r="N74" s="46" t="s">
        <v>30</v>
      </c>
      <c r="O74" s="46">
        <v>2</v>
      </c>
      <c r="P74" s="46"/>
      <c r="Q74" s="46"/>
      <c r="R74" s="46"/>
      <c r="S74" s="46"/>
      <c r="T74" s="46"/>
      <c r="U74" s="46"/>
      <c r="V74" s="46"/>
      <c r="W74" s="46">
        <v>265309.5</v>
      </c>
      <c r="X74" s="46">
        <v>1</v>
      </c>
      <c r="Y74" s="46">
        <v>265309.5</v>
      </c>
      <c r="Z74" s="46"/>
      <c r="AA74" s="46"/>
      <c r="AB74" s="46"/>
    </row>
    <row r="75" spans="1:88" ht="13" x14ac:dyDescent="0.3">
      <c r="A75" s="46">
        <v>50</v>
      </c>
      <c r="B75" s="46">
        <v>1</v>
      </c>
      <c r="C75" s="46">
        <v>0</v>
      </c>
      <c r="D75" s="46">
        <v>2</v>
      </c>
      <c r="E75" s="46">
        <v>0</v>
      </c>
      <c r="F75" s="46">
        <f>ROUND(F73+F74,O75)</f>
        <v>1591857.02</v>
      </c>
      <c r="G75" s="46" t="s">
        <v>43</v>
      </c>
      <c r="H75" s="46" t="s">
        <v>275</v>
      </c>
      <c r="I75" s="46"/>
      <c r="J75" s="46"/>
      <c r="K75" s="46">
        <v>212</v>
      </c>
      <c r="L75" s="46">
        <v>34</v>
      </c>
      <c r="M75" s="46">
        <v>0</v>
      </c>
      <c r="N75" s="46" t="s">
        <v>30</v>
      </c>
      <c r="O75" s="46">
        <v>2</v>
      </c>
      <c r="P75" s="46"/>
      <c r="Q75" s="46"/>
      <c r="R75" s="46"/>
      <c r="S75" s="46"/>
      <c r="T75" s="46"/>
      <c r="U75" s="46"/>
      <c r="V75" s="46"/>
      <c r="W75" s="46">
        <v>1591857.02</v>
      </c>
      <c r="X75" s="46">
        <v>1</v>
      </c>
      <c r="Y75" s="46">
        <v>1591857.02</v>
      </c>
      <c r="Z75" s="46"/>
      <c r="AA75" s="46"/>
      <c r="AB75" s="46"/>
    </row>
    <row r="76" spans="1:88" ht="13" x14ac:dyDescent="0.3">
      <c r="A76" s="46">
        <v>50</v>
      </c>
      <c r="B76" s="46">
        <v>1</v>
      </c>
      <c r="C76" s="46">
        <v>0</v>
      </c>
      <c r="D76" s="46">
        <v>2</v>
      </c>
      <c r="E76" s="46">
        <v>0</v>
      </c>
      <c r="F76" s="46">
        <f>ROUND(F55,O76)</f>
        <v>79486.320000000007</v>
      </c>
      <c r="G76" s="46" t="s">
        <v>276</v>
      </c>
      <c r="H76" s="46" t="s">
        <v>277</v>
      </c>
      <c r="I76" s="46"/>
      <c r="J76" s="46"/>
      <c r="K76" s="46">
        <v>212</v>
      </c>
      <c r="L76" s="46">
        <v>35</v>
      </c>
      <c r="M76" s="46">
        <v>0</v>
      </c>
      <c r="N76" s="46" t="s">
        <v>30</v>
      </c>
      <c r="O76" s="46">
        <v>2</v>
      </c>
      <c r="P76" s="46"/>
      <c r="Q76" s="46"/>
      <c r="R76" s="46"/>
      <c r="S76" s="46"/>
      <c r="T76" s="46"/>
      <c r="U76" s="46"/>
      <c r="V76" s="46"/>
      <c r="W76" s="46">
        <v>79486.320000000007</v>
      </c>
      <c r="X76" s="46">
        <v>1</v>
      </c>
      <c r="Y76" s="46">
        <v>79486.320000000007</v>
      </c>
      <c r="Z76" s="46"/>
      <c r="AA76" s="46"/>
      <c r="AB76" s="46"/>
    </row>
    <row r="77" spans="1:88" ht="13" x14ac:dyDescent="0.3">
      <c r="A77" s="46">
        <v>50</v>
      </c>
      <c r="B77" s="46">
        <v>1</v>
      </c>
      <c r="C77" s="46">
        <v>0</v>
      </c>
      <c r="D77" s="46">
        <v>2</v>
      </c>
      <c r="E77" s="46">
        <v>0</v>
      </c>
      <c r="F77" s="46">
        <f>ROUND(F54,O77)</f>
        <v>307816.19</v>
      </c>
      <c r="G77" s="46" t="s">
        <v>278</v>
      </c>
      <c r="H77" s="46" t="s">
        <v>279</v>
      </c>
      <c r="I77" s="46"/>
      <c r="J77" s="46"/>
      <c r="K77" s="46">
        <v>212</v>
      </c>
      <c r="L77" s="46">
        <v>36</v>
      </c>
      <c r="M77" s="46">
        <v>0</v>
      </c>
      <c r="N77" s="46" t="s">
        <v>30</v>
      </c>
      <c r="O77" s="46">
        <v>2</v>
      </c>
      <c r="P77" s="46"/>
      <c r="Q77" s="46"/>
      <c r="R77" s="46"/>
      <c r="S77" s="46"/>
      <c r="T77" s="46"/>
      <c r="U77" s="46"/>
      <c r="V77" s="46"/>
      <c r="W77" s="46">
        <v>307816.19</v>
      </c>
      <c r="X77" s="46">
        <v>1</v>
      </c>
      <c r="Y77" s="46">
        <v>307816.19</v>
      </c>
      <c r="Z77" s="46"/>
      <c r="AA77" s="46"/>
      <c r="AB77" s="46"/>
    </row>
    <row r="78" spans="1:88" ht="13" x14ac:dyDescent="0.3">
      <c r="A78" s="46">
        <v>50</v>
      </c>
      <c r="B78" s="46">
        <v>1</v>
      </c>
      <c r="C78" s="46">
        <v>0</v>
      </c>
      <c r="D78" s="46">
        <v>2</v>
      </c>
      <c r="E78" s="46">
        <v>0</v>
      </c>
      <c r="F78" s="46">
        <f>ROUND(F75+F76+F77,O78)</f>
        <v>1979159.53</v>
      </c>
      <c r="G78" s="46" t="s">
        <v>266</v>
      </c>
      <c r="H78" s="46" t="s">
        <v>280</v>
      </c>
      <c r="I78" s="46"/>
      <c r="J78" s="46"/>
      <c r="K78" s="46">
        <v>212</v>
      </c>
      <c r="L78" s="46">
        <v>37</v>
      </c>
      <c r="M78" s="46">
        <v>0</v>
      </c>
      <c r="N78" s="46" t="s">
        <v>30</v>
      </c>
      <c r="O78" s="46">
        <v>2</v>
      </c>
      <c r="P78" s="46"/>
      <c r="Q78" s="46"/>
      <c r="R78" s="46"/>
      <c r="S78" s="46"/>
      <c r="T78" s="46"/>
      <c r="U78" s="46"/>
      <c r="V78" s="46"/>
      <c r="W78" s="46">
        <v>1979159.53</v>
      </c>
      <c r="X78" s="46">
        <v>1</v>
      </c>
      <c r="Y78" s="46">
        <v>1979159.53</v>
      </c>
      <c r="Z78" s="46"/>
      <c r="AA78" s="46"/>
      <c r="AB78" s="46"/>
    </row>
    <row r="80" spans="1:88" ht="13" x14ac:dyDescent="0.3">
      <c r="A80" s="43">
        <v>4</v>
      </c>
      <c r="B80" s="43">
        <v>1</v>
      </c>
      <c r="C80" s="43"/>
      <c r="D80" s="43">
        <f>ROW(A93)</f>
        <v>93</v>
      </c>
      <c r="E80" s="43"/>
      <c r="F80" s="43" t="s">
        <v>174</v>
      </c>
      <c r="G80" s="43" t="s">
        <v>281</v>
      </c>
      <c r="H80" s="43" t="s">
        <v>30</v>
      </c>
      <c r="I80" s="43">
        <v>0</v>
      </c>
      <c r="J80" s="43"/>
      <c r="K80" s="43">
        <v>-1</v>
      </c>
      <c r="L80" s="43"/>
      <c r="M80" s="43" t="s">
        <v>30</v>
      </c>
      <c r="N80" s="43"/>
      <c r="O80" s="43"/>
      <c r="P80" s="43"/>
      <c r="Q80" s="43"/>
      <c r="R80" s="43"/>
      <c r="S80" s="43">
        <v>0</v>
      </c>
      <c r="T80" s="43"/>
      <c r="U80" s="43" t="s">
        <v>30</v>
      </c>
      <c r="V80" s="43">
        <v>0</v>
      </c>
      <c r="W80" s="43"/>
      <c r="X80" s="43"/>
      <c r="Y80" s="43"/>
      <c r="Z80" s="43"/>
      <c r="AA80" s="43"/>
      <c r="AB80" s="43" t="s">
        <v>30</v>
      </c>
      <c r="AC80" s="43" t="s">
        <v>30</v>
      </c>
      <c r="AD80" s="43" t="s">
        <v>30</v>
      </c>
      <c r="AE80" s="43" t="s">
        <v>30</v>
      </c>
      <c r="AF80" s="43" t="s">
        <v>30</v>
      </c>
      <c r="AG80" s="43" t="s">
        <v>30</v>
      </c>
      <c r="AH80" s="43"/>
      <c r="AI80" s="43"/>
      <c r="AJ80" s="43"/>
      <c r="AK80" s="43"/>
      <c r="AL80" s="43"/>
      <c r="AM80" s="43"/>
      <c r="AN80" s="43"/>
      <c r="AO80" s="43"/>
      <c r="AP80" s="43" t="s">
        <v>30</v>
      </c>
      <c r="AQ80" s="43" t="s">
        <v>30</v>
      </c>
      <c r="AR80" s="43" t="s">
        <v>30</v>
      </c>
      <c r="AS80" s="43"/>
      <c r="AT80" s="43"/>
      <c r="AU80" s="43"/>
      <c r="AV80" s="43"/>
      <c r="AW80" s="43"/>
      <c r="AX80" s="43"/>
      <c r="AY80" s="43"/>
      <c r="AZ80" s="43" t="s">
        <v>30</v>
      </c>
      <c r="BA80" s="43"/>
      <c r="BB80" s="43" t="s">
        <v>30</v>
      </c>
      <c r="BC80" s="43" t="s">
        <v>30</v>
      </c>
      <c r="BD80" s="43" t="s">
        <v>30</v>
      </c>
      <c r="BE80" s="43" t="s">
        <v>30</v>
      </c>
      <c r="BF80" s="43" t="s">
        <v>30</v>
      </c>
      <c r="BG80" s="43" t="s">
        <v>30</v>
      </c>
      <c r="BH80" s="43" t="s">
        <v>30</v>
      </c>
      <c r="BI80" s="43" t="s">
        <v>30</v>
      </c>
      <c r="BJ80" s="43" t="s">
        <v>30</v>
      </c>
      <c r="BK80" s="43" t="s">
        <v>30</v>
      </c>
      <c r="BL80" s="43" t="s">
        <v>30</v>
      </c>
      <c r="BM80" s="43" t="s">
        <v>30</v>
      </c>
      <c r="BN80" s="43" t="s">
        <v>30</v>
      </c>
      <c r="BO80" s="43" t="s">
        <v>30</v>
      </c>
      <c r="BP80" s="43" t="s">
        <v>30</v>
      </c>
      <c r="BQ80" s="43"/>
      <c r="BR80" s="43"/>
      <c r="BS80" s="43"/>
      <c r="BT80" s="43"/>
      <c r="BU80" s="43"/>
      <c r="BV80" s="43"/>
      <c r="BW80" s="43"/>
      <c r="BX80" s="43">
        <v>0</v>
      </c>
      <c r="BY80" s="43"/>
      <c r="BZ80" s="43"/>
      <c r="CA80" s="43"/>
      <c r="CB80" s="43"/>
      <c r="CC80" s="43"/>
      <c r="CD80" s="43"/>
      <c r="CE80" s="43"/>
      <c r="CF80" s="43"/>
      <c r="CG80" s="43"/>
      <c r="CH80" s="43"/>
      <c r="CI80" s="43"/>
      <c r="CJ80" s="43">
        <v>0</v>
      </c>
    </row>
    <row r="82" spans="1:245" ht="13" x14ac:dyDescent="0.3">
      <c r="A82" s="44">
        <v>52</v>
      </c>
      <c r="B82" s="44">
        <f t="shared" ref="B82:G82" si="52">B93</f>
        <v>1</v>
      </c>
      <c r="C82" s="44">
        <f t="shared" si="52"/>
        <v>4</v>
      </c>
      <c r="D82" s="44">
        <f t="shared" si="52"/>
        <v>80</v>
      </c>
      <c r="E82" s="44">
        <f t="shared" si="52"/>
        <v>0</v>
      </c>
      <c r="F82" s="44" t="str">
        <f t="shared" si="52"/>
        <v>Новый раздел</v>
      </c>
      <c r="G82" s="44" t="str">
        <f t="shared" si="52"/>
        <v>Устройство бортового камня</v>
      </c>
      <c r="H82" s="44"/>
      <c r="I82" s="44"/>
      <c r="J82" s="44"/>
      <c r="K82" s="44"/>
      <c r="L82" s="44"/>
      <c r="M82" s="44"/>
      <c r="N82" s="44"/>
      <c r="O82" s="44">
        <f t="shared" ref="O82:BZ82" si="53">O93</f>
        <v>805058.99</v>
      </c>
      <c r="P82" s="44">
        <f t="shared" si="53"/>
        <v>490901.35</v>
      </c>
      <c r="Q82" s="44">
        <f t="shared" si="53"/>
        <v>203882.83</v>
      </c>
      <c r="R82" s="44">
        <f t="shared" si="53"/>
        <v>111780.15</v>
      </c>
      <c r="S82" s="44">
        <f t="shared" si="53"/>
        <v>110274.81</v>
      </c>
      <c r="T82" s="44">
        <f t="shared" si="53"/>
        <v>0</v>
      </c>
      <c r="U82" s="44">
        <f t="shared" si="53"/>
        <v>512.13840000000005</v>
      </c>
      <c r="V82" s="44">
        <f t="shared" si="53"/>
        <v>0</v>
      </c>
      <c r="W82" s="44">
        <f t="shared" si="53"/>
        <v>0</v>
      </c>
      <c r="X82" s="44">
        <f t="shared" si="53"/>
        <v>77192.36</v>
      </c>
      <c r="Y82" s="44">
        <f t="shared" si="53"/>
        <v>11027.48</v>
      </c>
      <c r="Z82" s="44">
        <f t="shared" si="53"/>
        <v>0</v>
      </c>
      <c r="AA82" s="44">
        <f t="shared" si="53"/>
        <v>0</v>
      </c>
      <c r="AB82" s="44">
        <f t="shared" si="53"/>
        <v>805058.99</v>
      </c>
      <c r="AC82" s="44">
        <f t="shared" si="53"/>
        <v>490901.35</v>
      </c>
      <c r="AD82" s="44">
        <f t="shared" si="53"/>
        <v>203882.83</v>
      </c>
      <c r="AE82" s="44">
        <f t="shared" si="53"/>
        <v>111780.15</v>
      </c>
      <c r="AF82" s="44">
        <f t="shared" si="53"/>
        <v>110274.81</v>
      </c>
      <c r="AG82" s="44">
        <f t="shared" si="53"/>
        <v>0</v>
      </c>
      <c r="AH82" s="44">
        <f t="shared" si="53"/>
        <v>512.13840000000005</v>
      </c>
      <c r="AI82" s="44">
        <f t="shared" si="53"/>
        <v>0</v>
      </c>
      <c r="AJ82" s="44">
        <f t="shared" si="53"/>
        <v>0</v>
      </c>
      <c r="AK82" s="44">
        <f t="shared" si="53"/>
        <v>77192.36</v>
      </c>
      <c r="AL82" s="44">
        <f t="shared" si="53"/>
        <v>11027.48</v>
      </c>
      <c r="AM82" s="44">
        <f t="shared" si="53"/>
        <v>0</v>
      </c>
      <c r="AN82" s="44">
        <f t="shared" si="53"/>
        <v>0</v>
      </c>
      <c r="AO82" s="44">
        <f t="shared" si="53"/>
        <v>0</v>
      </c>
      <c r="AP82" s="44">
        <f t="shared" si="53"/>
        <v>0</v>
      </c>
      <c r="AQ82" s="44">
        <f t="shared" si="53"/>
        <v>0</v>
      </c>
      <c r="AR82" s="44">
        <f t="shared" si="53"/>
        <v>935756.27</v>
      </c>
      <c r="AS82" s="44">
        <f t="shared" si="53"/>
        <v>0</v>
      </c>
      <c r="AT82" s="44">
        <f t="shared" si="53"/>
        <v>0</v>
      </c>
      <c r="AU82" s="44">
        <f t="shared" si="53"/>
        <v>935756.27</v>
      </c>
      <c r="AV82" s="44">
        <f t="shared" si="53"/>
        <v>490901.35</v>
      </c>
      <c r="AW82" s="44">
        <f t="shared" si="53"/>
        <v>490901.35</v>
      </c>
      <c r="AX82" s="44">
        <f t="shared" si="53"/>
        <v>0</v>
      </c>
      <c r="AY82" s="44">
        <f t="shared" si="53"/>
        <v>490901.35</v>
      </c>
      <c r="AZ82" s="44">
        <f t="shared" si="53"/>
        <v>0</v>
      </c>
      <c r="BA82" s="44">
        <f t="shared" si="53"/>
        <v>0</v>
      </c>
      <c r="BB82" s="44">
        <f t="shared" si="53"/>
        <v>0</v>
      </c>
      <c r="BC82" s="44">
        <f t="shared" si="53"/>
        <v>0</v>
      </c>
      <c r="BD82" s="44">
        <f t="shared" si="53"/>
        <v>0</v>
      </c>
      <c r="BE82" s="44">
        <f t="shared" si="53"/>
        <v>0</v>
      </c>
      <c r="BF82" s="44">
        <f t="shared" si="53"/>
        <v>0</v>
      </c>
      <c r="BG82" s="44">
        <f t="shared" si="53"/>
        <v>0</v>
      </c>
      <c r="BH82" s="44">
        <f t="shared" si="53"/>
        <v>0</v>
      </c>
      <c r="BI82" s="44">
        <f t="shared" si="53"/>
        <v>0</v>
      </c>
      <c r="BJ82" s="44">
        <f t="shared" si="53"/>
        <v>0</v>
      </c>
      <c r="BK82" s="44">
        <f t="shared" si="53"/>
        <v>0</v>
      </c>
      <c r="BL82" s="44">
        <f t="shared" si="53"/>
        <v>0</v>
      </c>
      <c r="BM82" s="44">
        <f t="shared" si="53"/>
        <v>0</v>
      </c>
      <c r="BN82" s="44">
        <f t="shared" si="53"/>
        <v>0</v>
      </c>
      <c r="BO82" s="44">
        <f t="shared" si="53"/>
        <v>0</v>
      </c>
      <c r="BP82" s="44">
        <f t="shared" si="53"/>
        <v>0</v>
      </c>
      <c r="BQ82" s="44">
        <f t="shared" si="53"/>
        <v>0</v>
      </c>
      <c r="BR82" s="44">
        <f t="shared" si="53"/>
        <v>0</v>
      </c>
      <c r="BS82" s="44">
        <f t="shared" si="53"/>
        <v>0</v>
      </c>
      <c r="BT82" s="44">
        <f t="shared" si="53"/>
        <v>0</v>
      </c>
      <c r="BU82" s="44">
        <f t="shared" si="53"/>
        <v>0</v>
      </c>
      <c r="BV82" s="44">
        <f t="shared" si="53"/>
        <v>0</v>
      </c>
      <c r="BW82" s="44">
        <f t="shared" si="53"/>
        <v>0</v>
      </c>
      <c r="BX82" s="44">
        <f t="shared" si="53"/>
        <v>0</v>
      </c>
      <c r="BY82" s="44">
        <f t="shared" si="53"/>
        <v>0</v>
      </c>
      <c r="BZ82" s="44">
        <f t="shared" si="53"/>
        <v>0</v>
      </c>
      <c r="CA82" s="44">
        <f t="shared" ref="CA82:EL82" si="54">CA93</f>
        <v>935756.27</v>
      </c>
      <c r="CB82" s="44">
        <f t="shared" si="54"/>
        <v>0</v>
      </c>
      <c r="CC82" s="44">
        <f t="shared" si="54"/>
        <v>0</v>
      </c>
      <c r="CD82" s="44">
        <f t="shared" si="54"/>
        <v>935756.27</v>
      </c>
      <c r="CE82" s="44">
        <f t="shared" si="54"/>
        <v>490901.35</v>
      </c>
      <c r="CF82" s="44">
        <f t="shared" si="54"/>
        <v>490901.35</v>
      </c>
      <c r="CG82" s="44">
        <f t="shared" si="54"/>
        <v>0</v>
      </c>
      <c r="CH82" s="44">
        <f t="shared" si="54"/>
        <v>490901.35</v>
      </c>
      <c r="CI82" s="44">
        <f t="shared" si="54"/>
        <v>0</v>
      </c>
      <c r="CJ82" s="44">
        <f t="shared" si="54"/>
        <v>0</v>
      </c>
      <c r="CK82" s="44">
        <f t="shared" si="54"/>
        <v>0</v>
      </c>
      <c r="CL82" s="44">
        <f t="shared" si="54"/>
        <v>0</v>
      </c>
      <c r="CM82" s="44">
        <f t="shared" si="54"/>
        <v>0</v>
      </c>
      <c r="CN82" s="44">
        <f t="shared" si="54"/>
        <v>0</v>
      </c>
      <c r="CO82" s="44">
        <f t="shared" si="54"/>
        <v>0</v>
      </c>
      <c r="CP82" s="44">
        <f t="shared" si="54"/>
        <v>0</v>
      </c>
      <c r="CQ82" s="44">
        <f t="shared" si="54"/>
        <v>0</v>
      </c>
      <c r="CR82" s="44">
        <f t="shared" si="54"/>
        <v>0</v>
      </c>
      <c r="CS82" s="44">
        <f t="shared" si="54"/>
        <v>0</v>
      </c>
      <c r="CT82" s="44">
        <f t="shared" si="54"/>
        <v>0</v>
      </c>
      <c r="CU82" s="44">
        <f t="shared" si="54"/>
        <v>0</v>
      </c>
      <c r="CV82" s="44">
        <f t="shared" si="54"/>
        <v>0</v>
      </c>
      <c r="CW82" s="44">
        <f t="shared" si="54"/>
        <v>0</v>
      </c>
      <c r="CX82" s="44">
        <f t="shared" si="54"/>
        <v>0</v>
      </c>
      <c r="CY82" s="44">
        <f t="shared" si="54"/>
        <v>0</v>
      </c>
      <c r="CZ82" s="44">
        <f t="shared" si="54"/>
        <v>0</v>
      </c>
      <c r="DA82" s="44">
        <f t="shared" si="54"/>
        <v>0</v>
      </c>
      <c r="DB82" s="44">
        <f t="shared" si="54"/>
        <v>0</v>
      </c>
      <c r="DC82" s="44">
        <f t="shared" si="54"/>
        <v>0</v>
      </c>
      <c r="DD82" s="44">
        <f t="shared" si="54"/>
        <v>0</v>
      </c>
      <c r="DE82" s="44">
        <f t="shared" si="54"/>
        <v>0</v>
      </c>
      <c r="DF82" s="44">
        <f t="shared" si="54"/>
        <v>0</v>
      </c>
      <c r="DG82" s="45">
        <f t="shared" si="54"/>
        <v>0</v>
      </c>
      <c r="DH82" s="45">
        <f t="shared" si="54"/>
        <v>0</v>
      </c>
      <c r="DI82" s="45">
        <f t="shared" si="54"/>
        <v>0</v>
      </c>
      <c r="DJ82" s="45">
        <f t="shared" si="54"/>
        <v>0</v>
      </c>
      <c r="DK82" s="45">
        <f t="shared" si="54"/>
        <v>0</v>
      </c>
      <c r="DL82" s="45">
        <f t="shared" si="54"/>
        <v>0</v>
      </c>
      <c r="DM82" s="45">
        <f t="shared" si="54"/>
        <v>0</v>
      </c>
      <c r="DN82" s="45">
        <f t="shared" si="54"/>
        <v>0</v>
      </c>
      <c r="DO82" s="45">
        <f t="shared" si="54"/>
        <v>0</v>
      </c>
      <c r="DP82" s="45">
        <f t="shared" si="54"/>
        <v>0</v>
      </c>
      <c r="DQ82" s="45">
        <f t="shared" si="54"/>
        <v>0</v>
      </c>
      <c r="DR82" s="45">
        <f t="shared" si="54"/>
        <v>0</v>
      </c>
      <c r="DS82" s="45">
        <f t="shared" si="54"/>
        <v>0</v>
      </c>
      <c r="DT82" s="45">
        <f t="shared" si="54"/>
        <v>0</v>
      </c>
      <c r="DU82" s="45">
        <f t="shared" si="54"/>
        <v>0</v>
      </c>
      <c r="DV82" s="45">
        <f t="shared" si="54"/>
        <v>0</v>
      </c>
      <c r="DW82" s="45">
        <f t="shared" si="54"/>
        <v>0</v>
      </c>
      <c r="DX82" s="45">
        <f t="shared" si="54"/>
        <v>0</v>
      </c>
      <c r="DY82" s="45">
        <f t="shared" si="54"/>
        <v>0</v>
      </c>
      <c r="DZ82" s="45">
        <f t="shared" si="54"/>
        <v>0</v>
      </c>
      <c r="EA82" s="45">
        <f t="shared" si="54"/>
        <v>0</v>
      </c>
      <c r="EB82" s="45">
        <f t="shared" si="54"/>
        <v>0</v>
      </c>
      <c r="EC82" s="45">
        <f t="shared" si="54"/>
        <v>0</v>
      </c>
      <c r="ED82" s="45">
        <f t="shared" si="54"/>
        <v>0</v>
      </c>
      <c r="EE82" s="45">
        <f t="shared" si="54"/>
        <v>0</v>
      </c>
      <c r="EF82" s="45">
        <f t="shared" si="54"/>
        <v>0</v>
      </c>
      <c r="EG82" s="45">
        <f t="shared" si="54"/>
        <v>0</v>
      </c>
      <c r="EH82" s="45">
        <f t="shared" si="54"/>
        <v>0</v>
      </c>
      <c r="EI82" s="45">
        <f t="shared" si="54"/>
        <v>0</v>
      </c>
      <c r="EJ82" s="45">
        <f t="shared" si="54"/>
        <v>0</v>
      </c>
      <c r="EK82" s="45">
        <f t="shared" si="54"/>
        <v>0</v>
      </c>
      <c r="EL82" s="45">
        <f t="shared" si="54"/>
        <v>0</v>
      </c>
      <c r="EM82" s="45">
        <f t="shared" ref="EM82:GX82" si="55">EM93</f>
        <v>0</v>
      </c>
      <c r="EN82" s="45">
        <f t="shared" si="55"/>
        <v>0</v>
      </c>
      <c r="EO82" s="45">
        <f t="shared" si="55"/>
        <v>0</v>
      </c>
      <c r="EP82" s="45">
        <f t="shared" si="55"/>
        <v>0</v>
      </c>
      <c r="EQ82" s="45">
        <f t="shared" si="55"/>
        <v>0</v>
      </c>
      <c r="ER82" s="45">
        <f t="shared" si="55"/>
        <v>0</v>
      </c>
      <c r="ES82" s="45">
        <f t="shared" si="55"/>
        <v>0</v>
      </c>
      <c r="ET82" s="45">
        <f t="shared" si="55"/>
        <v>0</v>
      </c>
      <c r="EU82" s="45">
        <f t="shared" si="55"/>
        <v>0</v>
      </c>
      <c r="EV82" s="45">
        <f t="shared" si="55"/>
        <v>0</v>
      </c>
      <c r="EW82" s="45">
        <f t="shared" si="55"/>
        <v>0</v>
      </c>
      <c r="EX82" s="45">
        <f t="shared" si="55"/>
        <v>0</v>
      </c>
      <c r="EY82" s="45">
        <f t="shared" si="55"/>
        <v>0</v>
      </c>
      <c r="EZ82" s="45">
        <f t="shared" si="55"/>
        <v>0</v>
      </c>
      <c r="FA82" s="45">
        <f t="shared" si="55"/>
        <v>0</v>
      </c>
      <c r="FB82" s="45">
        <f t="shared" si="55"/>
        <v>0</v>
      </c>
      <c r="FC82" s="45">
        <f t="shared" si="55"/>
        <v>0</v>
      </c>
      <c r="FD82" s="45">
        <f t="shared" si="55"/>
        <v>0</v>
      </c>
      <c r="FE82" s="45">
        <f t="shared" si="55"/>
        <v>0</v>
      </c>
      <c r="FF82" s="45">
        <f t="shared" si="55"/>
        <v>0</v>
      </c>
      <c r="FG82" s="45">
        <f t="shared" si="55"/>
        <v>0</v>
      </c>
      <c r="FH82" s="45">
        <f t="shared" si="55"/>
        <v>0</v>
      </c>
      <c r="FI82" s="45">
        <f t="shared" si="55"/>
        <v>0</v>
      </c>
      <c r="FJ82" s="45">
        <f t="shared" si="55"/>
        <v>0</v>
      </c>
      <c r="FK82" s="45">
        <f t="shared" si="55"/>
        <v>0</v>
      </c>
      <c r="FL82" s="45">
        <f t="shared" si="55"/>
        <v>0</v>
      </c>
      <c r="FM82" s="45">
        <f t="shared" si="55"/>
        <v>0</v>
      </c>
      <c r="FN82" s="45">
        <f t="shared" si="55"/>
        <v>0</v>
      </c>
      <c r="FO82" s="45">
        <f t="shared" si="55"/>
        <v>0</v>
      </c>
      <c r="FP82" s="45">
        <f t="shared" si="55"/>
        <v>0</v>
      </c>
      <c r="FQ82" s="45">
        <f t="shared" si="55"/>
        <v>0</v>
      </c>
      <c r="FR82" s="45">
        <f t="shared" si="55"/>
        <v>0</v>
      </c>
      <c r="FS82" s="45">
        <f t="shared" si="55"/>
        <v>0</v>
      </c>
      <c r="FT82" s="45">
        <f t="shared" si="55"/>
        <v>0</v>
      </c>
      <c r="FU82" s="45">
        <f t="shared" si="55"/>
        <v>0</v>
      </c>
      <c r="FV82" s="45">
        <f t="shared" si="55"/>
        <v>0</v>
      </c>
      <c r="FW82" s="45">
        <f t="shared" si="55"/>
        <v>0</v>
      </c>
      <c r="FX82" s="45">
        <f t="shared" si="55"/>
        <v>0</v>
      </c>
      <c r="FY82" s="45">
        <f t="shared" si="55"/>
        <v>0</v>
      </c>
      <c r="FZ82" s="45">
        <f t="shared" si="55"/>
        <v>0</v>
      </c>
      <c r="GA82" s="45">
        <f t="shared" si="55"/>
        <v>0</v>
      </c>
      <c r="GB82" s="45">
        <f t="shared" si="55"/>
        <v>0</v>
      </c>
      <c r="GC82" s="45">
        <f t="shared" si="55"/>
        <v>0</v>
      </c>
      <c r="GD82" s="45">
        <f t="shared" si="55"/>
        <v>0</v>
      </c>
      <c r="GE82" s="45">
        <f t="shared" si="55"/>
        <v>0</v>
      </c>
      <c r="GF82" s="45">
        <f t="shared" si="55"/>
        <v>0</v>
      </c>
      <c r="GG82" s="45">
        <f t="shared" si="55"/>
        <v>0</v>
      </c>
      <c r="GH82" s="45">
        <f t="shared" si="55"/>
        <v>0</v>
      </c>
      <c r="GI82" s="45">
        <f t="shared" si="55"/>
        <v>0</v>
      </c>
      <c r="GJ82" s="45">
        <f t="shared" si="55"/>
        <v>0</v>
      </c>
      <c r="GK82" s="45">
        <f t="shared" si="55"/>
        <v>0</v>
      </c>
      <c r="GL82" s="45">
        <f t="shared" si="55"/>
        <v>0</v>
      </c>
      <c r="GM82" s="45">
        <f t="shared" si="55"/>
        <v>0</v>
      </c>
      <c r="GN82" s="45">
        <f t="shared" si="55"/>
        <v>0</v>
      </c>
      <c r="GO82" s="45">
        <f t="shared" si="55"/>
        <v>0</v>
      </c>
      <c r="GP82" s="45">
        <f t="shared" si="55"/>
        <v>0</v>
      </c>
      <c r="GQ82" s="45">
        <f t="shared" si="55"/>
        <v>0</v>
      </c>
      <c r="GR82" s="45">
        <f t="shared" si="55"/>
        <v>0</v>
      </c>
      <c r="GS82" s="45">
        <f t="shared" si="55"/>
        <v>0</v>
      </c>
      <c r="GT82" s="45">
        <f t="shared" si="55"/>
        <v>0</v>
      </c>
      <c r="GU82" s="45">
        <f t="shared" si="55"/>
        <v>0</v>
      </c>
      <c r="GV82" s="45">
        <f t="shared" si="55"/>
        <v>0</v>
      </c>
      <c r="GW82" s="45">
        <f t="shared" si="55"/>
        <v>0</v>
      </c>
      <c r="GX82" s="45">
        <f t="shared" si="55"/>
        <v>0</v>
      </c>
    </row>
    <row r="84" spans="1:245" x14ac:dyDescent="0.25">
      <c r="A84" s="2">
        <v>17</v>
      </c>
      <c r="B84" s="2">
        <v>1</v>
      </c>
      <c r="C84" s="2">
        <f>ROW(SmtRes!A41)</f>
        <v>41</v>
      </c>
      <c r="D84" s="2">
        <f>ROW(EtalonRes!A39)</f>
        <v>39</v>
      </c>
      <c r="E84" s="2" t="s">
        <v>282</v>
      </c>
      <c r="F84" s="2" t="s">
        <v>283</v>
      </c>
      <c r="G84" s="2" t="s">
        <v>284</v>
      </c>
      <c r="H84" s="2" t="s">
        <v>64</v>
      </c>
      <c r="I84" s="2">
        <v>348</v>
      </c>
      <c r="J84" s="2">
        <v>0</v>
      </c>
      <c r="K84" s="2">
        <v>348</v>
      </c>
      <c r="O84" s="2">
        <f t="shared" ref="O84:O91" si="56">ROUND(CP84,2)</f>
        <v>321085.68</v>
      </c>
      <c r="P84" s="2">
        <f t="shared" ref="P84:P91" si="57">ROUND(CQ84*I84,2)</f>
        <v>199943.4</v>
      </c>
      <c r="Q84" s="2">
        <f t="shared" ref="Q84:Q91" si="58">ROUND(CR84*I84,2)</f>
        <v>69589.56</v>
      </c>
      <c r="R84" s="2">
        <f t="shared" ref="R84:R91" si="59">ROUND(CS84*I84,2)</f>
        <v>39330.959999999999</v>
      </c>
      <c r="S84" s="2">
        <f t="shared" ref="S84:S91" si="60">ROUND(CT84*I84,2)</f>
        <v>51552.72</v>
      </c>
      <c r="T84" s="2">
        <f t="shared" ref="T84:T91" si="61">ROUND(CU84*I84,2)</f>
        <v>0</v>
      </c>
      <c r="U84" s="2">
        <f t="shared" ref="U84:U91" si="62">CV84*I84</f>
        <v>229.68</v>
      </c>
      <c r="V84" s="2">
        <f t="shared" ref="V84:V91" si="63">CW84*I84</f>
        <v>0</v>
      </c>
      <c r="W84" s="2">
        <f t="shared" ref="W84:W91" si="64">ROUND(CX84*I84,2)</f>
        <v>0</v>
      </c>
      <c r="X84" s="2">
        <f t="shared" ref="X84:Y91" si="65">ROUND(CY84,2)</f>
        <v>36086.9</v>
      </c>
      <c r="Y84" s="2">
        <f t="shared" si="65"/>
        <v>5155.2700000000004</v>
      </c>
      <c r="AA84" s="2">
        <v>52261502</v>
      </c>
      <c r="AB84" s="2">
        <f t="shared" ref="AB84:AB91" si="66">ROUND((AC84+AD84+AF84),6)</f>
        <v>922.66</v>
      </c>
      <c r="AC84" s="2">
        <f>ROUND((ES84),6)</f>
        <v>574.54999999999995</v>
      </c>
      <c r="AD84" s="2">
        <f>ROUND((((ET84)-(EU84))+AE84),6)</f>
        <v>199.97</v>
      </c>
      <c r="AE84" s="2">
        <f t="shared" ref="AE84:AF87" si="67">ROUND((EU84),6)</f>
        <v>113.02</v>
      </c>
      <c r="AF84" s="2">
        <f t="shared" si="67"/>
        <v>148.13999999999999</v>
      </c>
      <c r="AG84" s="2">
        <f t="shared" ref="AG84:AG91" si="68">ROUND((AP84),6)</f>
        <v>0</v>
      </c>
      <c r="AH84" s="2">
        <f t="shared" ref="AH84:AI87" si="69">(EW84)</f>
        <v>0.66</v>
      </c>
      <c r="AI84" s="2">
        <f t="shared" si="69"/>
        <v>0</v>
      </c>
      <c r="AJ84" s="2">
        <f t="shared" ref="AJ84:AJ91" si="70">(AS84)</f>
        <v>0</v>
      </c>
      <c r="AK84" s="2">
        <v>922.66</v>
      </c>
      <c r="AL84" s="2">
        <v>574.54999999999995</v>
      </c>
      <c r="AM84" s="2">
        <v>199.97</v>
      </c>
      <c r="AN84" s="2">
        <v>113.02</v>
      </c>
      <c r="AO84" s="2">
        <v>148.13999999999999</v>
      </c>
      <c r="AP84" s="2">
        <v>0</v>
      </c>
      <c r="AQ84" s="2">
        <v>0.66</v>
      </c>
      <c r="AR84" s="2">
        <v>0</v>
      </c>
      <c r="AS84" s="2">
        <v>0</v>
      </c>
      <c r="AT84" s="2">
        <v>70</v>
      </c>
      <c r="AU84" s="2">
        <v>10</v>
      </c>
      <c r="AV84" s="2">
        <v>1</v>
      </c>
      <c r="AW84" s="2">
        <v>1</v>
      </c>
      <c r="AZ84" s="2">
        <v>1</v>
      </c>
      <c r="BA84" s="2">
        <v>1</v>
      </c>
      <c r="BB84" s="2">
        <v>1</v>
      </c>
      <c r="BC84" s="2">
        <v>1</v>
      </c>
      <c r="BD84" s="2" t="s">
        <v>30</v>
      </c>
      <c r="BE84" s="2" t="s">
        <v>30</v>
      </c>
      <c r="BF84" s="2" t="s">
        <v>30</v>
      </c>
      <c r="BG84" s="2" t="s">
        <v>30</v>
      </c>
      <c r="BH84" s="2">
        <v>0</v>
      </c>
      <c r="BI84" s="2">
        <v>4</v>
      </c>
      <c r="BJ84" s="2" t="s">
        <v>285</v>
      </c>
      <c r="BM84" s="2">
        <v>0</v>
      </c>
      <c r="BN84" s="2">
        <v>0</v>
      </c>
      <c r="BO84" s="2" t="s">
        <v>30</v>
      </c>
      <c r="BP84" s="2">
        <v>0</v>
      </c>
      <c r="BQ84" s="2">
        <v>1</v>
      </c>
      <c r="BR84" s="2">
        <v>0</v>
      </c>
      <c r="BS84" s="2">
        <v>1</v>
      </c>
      <c r="BT84" s="2">
        <v>1</v>
      </c>
      <c r="BU84" s="2">
        <v>1</v>
      </c>
      <c r="BV84" s="2">
        <v>1</v>
      </c>
      <c r="BW84" s="2">
        <v>1</v>
      </c>
      <c r="BX84" s="2">
        <v>1</v>
      </c>
      <c r="BY84" s="2" t="s">
        <v>30</v>
      </c>
      <c r="BZ84" s="2">
        <v>70</v>
      </c>
      <c r="CA84" s="2">
        <v>10</v>
      </c>
      <c r="CB84" s="2" t="s">
        <v>30</v>
      </c>
      <c r="CE84" s="2">
        <v>0</v>
      </c>
      <c r="CF84" s="2">
        <v>0</v>
      </c>
      <c r="CG84" s="2">
        <v>0</v>
      </c>
      <c r="CM84" s="2">
        <v>0</v>
      </c>
      <c r="CN84" s="2" t="s">
        <v>30</v>
      </c>
      <c r="CO84" s="2">
        <v>0</v>
      </c>
      <c r="CP84" s="2">
        <f t="shared" ref="CP84:CP91" si="71">(P84+Q84+S84)</f>
        <v>321085.68</v>
      </c>
      <c r="CQ84" s="2">
        <f t="shared" ref="CQ84:CQ91" si="72">(AC84*BC84*AW84)</f>
        <v>574.54999999999995</v>
      </c>
      <c r="CR84" s="2">
        <f>((((ET84)*BB84-(EU84)*BS84)+AE84*BS84)*AV84)</f>
        <v>199.97</v>
      </c>
      <c r="CS84" s="2">
        <f t="shared" ref="CS84:CS91" si="73">(AE84*BS84*AV84)</f>
        <v>113.02</v>
      </c>
      <c r="CT84" s="2">
        <f t="shared" ref="CT84:CT91" si="74">(AF84*BA84*AV84)</f>
        <v>148.13999999999999</v>
      </c>
      <c r="CU84" s="2">
        <f t="shared" ref="CU84:CU91" si="75">AG84</f>
        <v>0</v>
      </c>
      <c r="CV84" s="2">
        <f t="shared" ref="CV84:CV91" si="76">(AH84*AV84)</f>
        <v>0.66</v>
      </c>
      <c r="CW84" s="2">
        <f t="shared" ref="CW84:CX91" si="77">AI84</f>
        <v>0</v>
      </c>
      <c r="CX84" s="2">
        <f t="shared" si="77"/>
        <v>0</v>
      </c>
      <c r="CY84" s="2">
        <f t="shared" ref="CY84:CY91" si="78">((S84*BZ84)/100)</f>
        <v>36086.904000000002</v>
      </c>
      <c r="CZ84" s="2">
        <f t="shared" ref="CZ84:CZ91" si="79">((S84*CA84)/100)</f>
        <v>5155.2719999999999</v>
      </c>
      <c r="DC84" s="2" t="s">
        <v>30</v>
      </c>
      <c r="DD84" s="2" t="s">
        <v>30</v>
      </c>
      <c r="DE84" s="2" t="s">
        <v>30</v>
      </c>
      <c r="DF84" s="2" t="s">
        <v>30</v>
      </c>
      <c r="DG84" s="2" t="s">
        <v>30</v>
      </c>
      <c r="DH84" s="2" t="s">
        <v>30</v>
      </c>
      <c r="DI84" s="2" t="s">
        <v>30</v>
      </c>
      <c r="DJ84" s="2" t="s">
        <v>30</v>
      </c>
      <c r="DK84" s="2" t="s">
        <v>30</v>
      </c>
      <c r="DL84" s="2" t="s">
        <v>30</v>
      </c>
      <c r="DM84" s="2" t="s">
        <v>30</v>
      </c>
      <c r="DN84" s="2">
        <v>0</v>
      </c>
      <c r="DO84" s="2">
        <v>0</v>
      </c>
      <c r="DP84" s="2">
        <v>1</v>
      </c>
      <c r="DQ84" s="2">
        <v>1</v>
      </c>
      <c r="DU84" s="2">
        <v>1003</v>
      </c>
      <c r="DV84" s="2" t="s">
        <v>64</v>
      </c>
      <c r="DW84" s="2" t="s">
        <v>64</v>
      </c>
      <c r="DX84" s="2">
        <v>1</v>
      </c>
      <c r="DZ84" s="2" t="s">
        <v>30</v>
      </c>
      <c r="EA84" s="2" t="s">
        <v>30</v>
      </c>
      <c r="EB84" s="2" t="s">
        <v>30</v>
      </c>
      <c r="EC84" s="2" t="s">
        <v>30</v>
      </c>
      <c r="EE84" s="2">
        <v>49661954</v>
      </c>
      <c r="EF84" s="2">
        <v>1</v>
      </c>
      <c r="EG84" s="2" t="s">
        <v>180</v>
      </c>
      <c r="EH84" s="2">
        <v>0</v>
      </c>
      <c r="EI84" s="2" t="s">
        <v>30</v>
      </c>
      <c r="EJ84" s="2">
        <v>4</v>
      </c>
      <c r="EK84" s="2">
        <v>0</v>
      </c>
      <c r="EL84" s="2" t="s">
        <v>181</v>
      </c>
      <c r="EM84" s="2" t="s">
        <v>182</v>
      </c>
      <c r="EO84" s="2" t="s">
        <v>30</v>
      </c>
      <c r="EQ84" s="2">
        <v>0</v>
      </c>
      <c r="ER84" s="2">
        <v>922.66</v>
      </c>
      <c r="ES84" s="2">
        <v>574.54999999999995</v>
      </c>
      <c r="ET84" s="2">
        <v>199.97</v>
      </c>
      <c r="EU84" s="2">
        <v>113.02</v>
      </c>
      <c r="EV84" s="2">
        <v>148.13999999999999</v>
      </c>
      <c r="EW84" s="2">
        <v>0.66</v>
      </c>
      <c r="EX84" s="2">
        <v>0</v>
      </c>
      <c r="EY84" s="2">
        <v>0</v>
      </c>
      <c r="FQ84" s="2">
        <v>0</v>
      </c>
      <c r="FR84" s="2">
        <f t="shared" ref="FR84:FR91" si="80">ROUND(IF(AND(BH84=3,BI84=3),P84,0),2)</f>
        <v>0</v>
      </c>
      <c r="FS84" s="2">
        <v>0</v>
      </c>
      <c r="FX84" s="2">
        <v>70</v>
      </c>
      <c r="FY84" s="2">
        <v>10</v>
      </c>
      <c r="GA84" s="2" t="s">
        <v>30</v>
      </c>
      <c r="GD84" s="2">
        <v>0</v>
      </c>
      <c r="GF84" s="2">
        <v>999669814</v>
      </c>
      <c r="GG84" s="2">
        <v>2</v>
      </c>
      <c r="GH84" s="2">
        <v>1</v>
      </c>
      <c r="GI84" s="2">
        <v>-2</v>
      </c>
      <c r="GJ84" s="2">
        <v>0</v>
      </c>
      <c r="GK84" s="2">
        <f>ROUND(R84*(R12)/100,2)</f>
        <v>42477.440000000002</v>
      </c>
      <c r="GL84" s="2">
        <f t="shared" ref="GL84:GL91" si="81">ROUND(IF(AND(BH84=3,BI84=3,FS84&lt;&gt;0),P84,0),2)</f>
        <v>0</v>
      </c>
      <c r="GM84" s="2">
        <f>ROUND(O84+X84+Y84+GK84,2)+GX84</f>
        <v>404805.29</v>
      </c>
      <c r="GN84" s="2">
        <f>IF(OR(BI84=0,BI84=1),ROUND(O84+X84+Y84+GK84,2),0)</f>
        <v>0</v>
      </c>
      <c r="GO84" s="2">
        <f>IF(BI84=2,ROUND(O84+X84+Y84+GK84,2),0)</f>
        <v>0</v>
      </c>
      <c r="GP84" s="2">
        <f>IF(BI84=4,ROUND(O84+X84+Y84+GK84,2)+GX84,0)</f>
        <v>404805.29</v>
      </c>
      <c r="GR84" s="2">
        <v>0</v>
      </c>
      <c r="GS84" s="2">
        <v>3</v>
      </c>
      <c r="GT84" s="2">
        <v>0</v>
      </c>
      <c r="GU84" s="2" t="s">
        <v>30</v>
      </c>
      <c r="GV84" s="2">
        <f t="shared" ref="GV84:GV91" si="82">ROUND((GT84),6)</f>
        <v>0</v>
      </c>
      <c r="GW84" s="2">
        <v>1</v>
      </c>
      <c r="GX84" s="2">
        <f t="shared" ref="GX84:GX91" si="83">ROUND(HC84*I84,2)</f>
        <v>0</v>
      </c>
      <c r="HA84" s="2">
        <v>0</v>
      </c>
      <c r="HB84" s="2">
        <v>0</v>
      </c>
      <c r="HC84" s="2">
        <f t="shared" ref="HC84:HC91" si="84">GV84*GW84</f>
        <v>0</v>
      </c>
      <c r="HE84" s="2" t="s">
        <v>30</v>
      </c>
      <c r="HF84" s="2" t="s">
        <v>30</v>
      </c>
      <c r="HM84" s="2" t="s">
        <v>30</v>
      </c>
      <c r="HN84" s="2" t="s">
        <v>30</v>
      </c>
      <c r="HO84" s="2" t="s">
        <v>30</v>
      </c>
      <c r="HP84" s="2" t="s">
        <v>30</v>
      </c>
      <c r="HQ84" s="2" t="s">
        <v>30</v>
      </c>
      <c r="IK84" s="2">
        <v>0</v>
      </c>
    </row>
    <row r="85" spans="1:245" x14ac:dyDescent="0.25">
      <c r="A85" s="2">
        <v>18</v>
      </c>
      <c r="B85" s="2">
        <v>1</v>
      </c>
      <c r="C85" s="2">
        <v>39</v>
      </c>
      <c r="E85" s="2" t="s">
        <v>35</v>
      </c>
      <c r="F85" s="2" t="s">
        <v>286</v>
      </c>
      <c r="G85" s="2" t="s">
        <v>287</v>
      </c>
      <c r="H85" s="2" t="s">
        <v>62</v>
      </c>
      <c r="I85" s="2">
        <f>I84*J85</f>
        <v>-0.20880000000000001</v>
      </c>
      <c r="J85" s="2">
        <v>-5.9999999999999995E-4</v>
      </c>
      <c r="K85" s="2">
        <v>-5.9999999999999995E-4</v>
      </c>
      <c r="O85" s="2">
        <f t="shared" si="56"/>
        <v>-715.66</v>
      </c>
      <c r="P85" s="2">
        <f t="shared" si="57"/>
        <v>-715.66</v>
      </c>
      <c r="Q85" s="2">
        <f t="shared" si="58"/>
        <v>0</v>
      </c>
      <c r="R85" s="2">
        <f t="shared" si="59"/>
        <v>0</v>
      </c>
      <c r="S85" s="2">
        <f t="shared" si="60"/>
        <v>0</v>
      </c>
      <c r="T85" s="2">
        <f t="shared" si="61"/>
        <v>0</v>
      </c>
      <c r="U85" s="2">
        <f t="shared" si="62"/>
        <v>0</v>
      </c>
      <c r="V85" s="2">
        <f t="shared" si="63"/>
        <v>0</v>
      </c>
      <c r="W85" s="2">
        <f t="shared" si="64"/>
        <v>0</v>
      </c>
      <c r="X85" s="2">
        <f t="shared" si="65"/>
        <v>0</v>
      </c>
      <c r="Y85" s="2">
        <f t="shared" si="65"/>
        <v>0</v>
      </c>
      <c r="AA85" s="2">
        <v>52261502</v>
      </c>
      <c r="AB85" s="2">
        <f t="shared" si="66"/>
        <v>3427.48</v>
      </c>
      <c r="AC85" s="2">
        <f>ROUND((ES85),6)</f>
        <v>3427.48</v>
      </c>
      <c r="AD85" s="2">
        <f>ROUND((((ET85)-(EU85))+AE85),6)</f>
        <v>0</v>
      </c>
      <c r="AE85" s="2">
        <f t="shared" si="67"/>
        <v>0</v>
      </c>
      <c r="AF85" s="2">
        <f t="shared" si="67"/>
        <v>0</v>
      </c>
      <c r="AG85" s="2">
        <f t="shared" si="68"/>
        <v>0</v>
      </c>
      <c r="AH85" s="2">
        <f t="shared" si="69"/>
        <v>0</v>
      </c>
      <c r="AI85" s="2">
        <f t="shared" si="69"/>
        <v>0</v>
      </c>
      <c r="AJ85" s="2">
        <f t="shared" si="70"/>
        <v>0</v>
      </c>
      <c r="AK85" s="2">
        <v>3427.48</v>
      </c>
      <c r="AL85" s="2">
        <v>3427.48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70</v>
      </c>
      <c r="AU85" s="2">
        <v>10</v>
      </c>
      <c r="AV85" s="2">
        <v>1</v>
      </c>
      <c r="AW85" s="2">
        <v>1</v>
      </c>
      <c r="AZ85" s="2">
        <v>1</v>
      </c>
      <c r="BA85" s="2">
        <v>1</v>
      </c>
      <c r="BB85" s="2">
        <v>1</v>
      </c>
      <c r="BC85" s="2">
        <v>1</v>
      </c>
      <c r="BD85" s="2" t="s">
        <v>30</v>
      </c>
      <c r="BE85" s="2" t="s">
        <v>30</v>
      </c>
      <c r="BF85" s="2" t="s">
        <v>30</v>
      </c>
      <c r="BG85" s="2" t="s">
        <v>30</v>
      </c>
      <c r="BH85" s="2">
        <v>3</v>
      </c>
      <c r="BI85" s="2">
        <v>4</v>
      </c>
      <c r="BJ85" s="2" t="s">
        <v>288</v>
      </c>
      <c r="BM85" s="2">
        <v>0</v>
      </c>
      <c r="BN85" s="2">
        <v>0</v>
      </c>
      <c r="BO85" s="2" t="s">
        <v>30</v>
      </c>
      <c r="BP85" s="2">
        <v>0</v>
      </c>
      <c r="BQ85" s="2">
        <v>1</v>
      </c>
      <c r="BR85" s="2">
        <v>1</v>
      </c>
      <c r="BS85" s="2">
        <v>1</v>
      </c>
      <c r="BT85" s="2">
        <v>1</v>
      </c>
      <c r="BU85" s="2">
        <v>1</v>
      </c>
      <c r="BV85" s="2">
        <v>1</v>
      </c>
      <c r="BW85" s="2">
        <v>1</v>
      </c>
      <c r="BX85" s="2">
        <v>1</v>
      </c>
      <c r="BY85" s="2" t="s">
        <v>30</v>
      </c>
      <c r="BZ85" s="2">
        <v>70</v>
      </c>
      <c r="CA85" s="2">
        <v>10</v>
      </c>
      <c r="CB85" s="2" t="s">
        <v>30</v>
      </c>
      <c r="CE85" s="2">
        <v>0</v>
      </c>
      <c r="CF85" s="2">
        <v>0</v>
      </c>
      <c r="CG85" s="2">
        <v>0</v>
      </c>
      <c r="CM85" s="2">
        <v>0</v>
      </c>
      <c r="CN85" s="2" t="s">
        <v>30</v>
      </c>
      <c r="CO85" s="2">
        <v>0</v>
      </c>
      <c r="CP85" s="2">
        <f t="shared" si="71"/>
        <v>-715.66</v>
      </c>
      <c r="CQ85" s="2">
        <f t="shared" si="72"/>
        <v>3427.48</v>
      </c>
      <c r="CR85" s="2">
        <f>((((ET85)*BB85-(EU85)*BS85)+AE85*BS85)*AV85)</f>
        <v>0</v>
      </c>
      <c r="CS85" s="2">
        <f t="shared" si="73"/>
        <v>0</v>
      </c>
      <c r="CT85" s="2">
        <f t="shared" si="74"/>
        <v>0</v>
      </c>
      <c r="CU85" s="2">
        <f t="shared" si="75"/>
        <v>0</v>
      </c>
      <c r="CV85" s="2">
        <f t="shared" si="76"/>
        <v>0</v>
      </c>
      <c r="CW85" s="2">
        <f t="shared" si="77"/>
        <v>0</v>
      </c>
      <c r="CX85" s="2">
        <f t="shared" si="77"/>
        <v>0</v>
      </c>
      <c r="CY85" s="2">
        <f t="shared" si="78"/>
        <v>0</v>
      </c>
      <c r="CZ85" s="2">
        <f t="shared" si="79"/>
        <v>0</v>
      </c>
      <c r="DC85" s="2" t="s">
        <v>30</v>
      </c>
      <c r="DD85" s="2" t="s">
        <v>30</v>
      </c>
      <c r="DE85" s="2" t="s">
        <v>30</v>
      </c>
      <c r="DF85" s="2" t="s">
        <v>30</v>
      </c>
      <c r="DG85" s="2" t="s">
        <v>30</v>
      </c>
      <c r="DH85" s="2" t="s">
        <v>30</v>
      </c>
      <c r="DI85" s="2" t="s">
        <v>30</v>
      </c>
      <c r="DJ85" s="2" t="s">
        <v>30</v>
      </c>
      <c r="DK85" s="2" t="s">
        <v>30</v>
      </c>
      <c r="DL85" s="2" t="s">
        <v>30</v>
      </c>
      <c r="DM85" s="2" t="s">
        <v>30</v>
      </c>
      <c r="DN85" s="2">
        <v>0</v>
      </c>
      <c r="DO85" s="2">
        <v>0</v>
      </c>
      <c r="DP85" s="2">
        <v>1</v>
      </c>
      <c r="DQ85" s="2">
        <v>1</v>
      </c>
      <c r="DU85" s="2">
        <v>1007</v>
      </c>
      <c r="DV85" s="2" t="s">
        <v>62</v>
      </c>
      <c r="DW85" s="2" t="s">
        <v>62</v>
      </c>
      <c r="DX85" s="2">
        <v>1</v>
      </c>
      <c r="DZ85" s="2" t="s">
        <v>30</v>
      </c>
      <c r="EA85" s="2" t="s">
        <v>30</v>
      </c>
      <c r="EB85" s="2" t="s">
        <v>30</v>
      </c>
      <c r="EC85" s="2" t="s">
        <v>30</v>
      </c>
      <c r="EE85" s="2">
        <v>49661954</v>
      </c>
      <c r="EF85" s="2">
        <v>1</v>
      </c>
      <c r="EG85" s="2" t="s">
        <v>180</v>
      </c>
      <c r="EH85" s="2">
        <v>0</v>
      </c>
      <c r="EI85" s="2" t="s">
        <v>30</v>
      </c>
      <c r="EJ85" s="2">
        <v>4</v>
      </c>
      <c r="EK85" s="2">
        <v>0</v>
      </c>
      <c r="EL85" s="2" t="s">
        <v>181</v>
      </c>
      <c r="EM85" s="2" t="s">
        <v>182</v>
      </c>
      <c r="EO85" s="2" t="s">
        <v>30</v>
      </c>
      <c r="EQ85" s="2">
        <v>0</v>
      </c>
      <c r="ER85" s="2">
        <v>3427.48</v>
      </c>
      <c r="ES85" s="2">
        <v>3427.48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FQ85" s="2">
        <v>0</v>
      </c>
      <c r="FR85" s="2">
        <f t="shared" si="80"/>
        <v>0</v>
      </c>
      <c r="FS85" s="2">
        <v>0</v>
      </c>
      <c r="FX85" s="2">
        <v>70</v>
      </c>
      <c r="FY85" s="2">
        <v>10</v>
      </c>
      <c r="GA85" s="2" t="s">
        <v>30</v>
      </c>
      <c r="GD85" s="2">
        <v>0</v>
      </c>
      <c r="GF85" s="2">
        <v>820745631</v>
      </c>
      <c r="GG85" s="2">
        <v>2</v>
      </c>
      <c r="GH85" s="2">
        <v>1</v>
      </c>
      <c r="GI85" s="2">
        <v>-2</v>
      </c>
      <c r="GJ85" s="2">
        <v>0</v>
      </c>
      <c r="GK85" s="2">
        <f>ROUND(R85*(R12)/100,2)</f>
        <v>0</v>
      </c>
      <c r="GL85" s="2">
        <f t="shared" si="81"/>
        <v>0</v>
      </c>
      <c r="GM85" s="2">
        <f>ROUND(O85+X85+Y85+GK85,2)+GX85</f>
        <v>-715.66</v>
      </c>
      <c r="GN85" s="2">
        <f>IF(OR(BI85=0,BI85=1),ROUND(O85+X85+Y85+GK85,2),0)</f>
        <v>0</v>
      </c>
      <c r="GO85" s="2">
        <f>IF(BI85=2,ROUND(O85+X85+Y85+GK85,2),0)</f>
        <v>0</v>
      </c>
      <c r="GP85" s="2">
        <f>IF(BI85=4,ROUND(O85+X85+Y85+GK85,2)+GX85,0)</f>
        <v>-715.66</v>
      </c>
      <c r="GR85" s="2">
        <v>0</v>
      </c>
      <c r="GS85" s="2">
        <v>3</v>
      </c>
      <c r="GT85" s="2">
        <v>0</v>
      </c>
      <c r="GU85" s="2" t="s">
        <v>30</v>
      </c>
      <c r="GV85" s="2">
        <f t="shared" si="82"/>
        <v>0</v>
      </c>
      <c r="GW85" s="2">
        <v>1</v>
      </c>
      <c r="GX85" s="2">
        <f t="shared" si="83"/>
        <v>0</v>
      </c>
      <c r="HA85" s="2">
        <v>0</v>
      </c>
      <c r="HB85" s="2">
        <v>0</v>
      </c>
      <c r="HC85" s="2">
        <f t="shared" si="84"/>
        <v>0</v>
      </c>
      <c r="HE85" s="2" t="s">
        <v>30</v>
      </c>
      <c r="HF85" s="2" t="s">
        <v>30</v>
      </c>
      <c r="HM85" s="2" t="s">
        <v>30</v>
      </c>
      <c r="HN85" s="2" t="s">
        <v>30</v>
      </c>
      <c r="HO85" s="2" t="s">
        <v>30</v>
      </c>
      <c r="HP85" s="2" t="s">
        <v>30</v>
      </c>
      <c r="HQ85" s="2" t="s">
        <v>30</v>
      </c>
      <c r="IK85" s="2">
        <v>0</v>
      </c>
    </row>
    <row r="86" spans="1:245" x14ac:dyDescent="0.25">
      <c r="A86" s="2">
        <v>18</v>
      </c>
      <c r="B86" s="2">
        <v>1</v>
      </c>
      <c r="C86" s="2">
        <v>41</v>
      </c>
      <c r="E86" s="2" t="s">
        <v>36</v>
      </c>
      <c r="F86" s="2" t="s">
        <v>289</v>
      </c>
      <c r="G86" s="2" t="s">
        <v>290</v>
      </c>
      <c r="H86" s="2" t="s">
        <v>63</v>
      </c>
      <c r="I86" s="2">
        <f>I84*J86</f>
        <v>-85.608000000000004</v>
      </c>
      <c r="J86" s="2">
        <v>-0.246</v>
      </c>
      <c r="K86" s="2">
        <v>-0.246</v>
      </c>
      <c r="O86" s="2">
        <f t="shared" si="56"/>
        <v>0</v>
      </c>
      <c r="P86" s="2">
        <f t="shared" si="57"/>
        <v>0</v>
      </c>
      <c r="Q86" s="2">
        <f t="shared" si="58"/>
        <v>0</v>
      </c>
      <c r="R86" s="2">
        <f t="shared" si="59"/>
        <v>0</v>
      </c>
      <c r="S86" s="2">
        <f t="shared" si="60"/>
        <v>0</v>
      </c>
      <c r="T86" s="2">
        <f t="shared" si="61"/>
        <v>0</v>
      </c>
      <c r="U86" s="2">
        <f t="shared" si="62"/>
        <v>0</v>
      </c>
      <c r="V86" s="2">
        <f t="shared" si="63"/>
        <v>0</v>
      </c>
      <c r="W86" s="2">
        <f t="shared" si="64"/>
        <v>0</v>
      </c>
      <c r="X86" s="2">
        <f t="shared" si="65"/>
        <v>0</v>
      </c>
      <c r="Y86" s="2">
        <f t="shared" si="65"/>
        <v>0</v>
      </c>
      <c r="AA86" s="2">
        <v>52261502</v>
      </c>
      <c r="AB86" s="2">
        <f t="shared" si="66"/>
        <v>0</v>
      </c>
      <c r="AC86" s="2">
        <f>ROUND((ES86),6)</f>
        <v>0</v>
      </c>
      <c r="AD86" s="2">
        <f>ROUND((((ET86)-(EU86))+AE86),6)</f>
        <v>0</v>
      </c>
      <c r="AE86" s="2">
        <f t="shared" si="67"/>
        <v>0</v>
      </c>
      <c r="AF86" s="2">
        <f t="shared" si="67"/>
        <v>0</v>
      </c>
      <c r="AG86" s="2">
        <f t="shared" si="68"/>
        <v>0</v>
      </c>
      <c r="AH86" s="2">
        <f t="shared" si="69"/>
        <v>0</v>
      </c>
      <c r="AI86" s="2">
        <f t="shared" si="69"/>
        <v>0</v>
      </c>
      <c r="AJ86" s="2">
        <f t="shared" si="70"/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70</v>
      </c>
      <c r="AU86" s="2">
        <v>10</v>
      </c>
      <c r="AV86" s="2">
        <v>1</v>
      </c>
      <c r="AW86" s="2">
        <v>1</v>
      </c>
      <c r="AZ86" s="2">
        <v>1</v>
      </c>
      <c r="BA86" s="2">
        <v>1</v>
      </c>
      <c r="BB86" s="2">
        <v>1</v>
      </c>
      <c r="BC86" s="2">
        <v>1</v>
      </c>
      <c r="BD86" s="2" t="s">
        <v>30</v>
      </c>
      <c r="BE86" s="2" t="s">
        <v>30</v>
      </c>
      <c r="BF86" s="2" t="s">
        <v>30</v>
      </c>
      <c r="BG86" s="2" t="s">
        <v>30</v>
      </c>
      <c r="BH86" s="2">
        <v>3</v>
      </c>
      <c r="BI86" s="2">
        <v>4</v>
      </c>
      <c r="BJ86" s="2" t="s">
        <v>30</v>
      </c>
      <c r="BM86" s="2">
        <v>0</v>
      </c>
      <c r="BN86" s="2">
        <v>0</v>
      </c>
      <c r="BO86" s="2" t="s">
        <v>30</v>
      </c>
      <c r="BP86" s="2">
        <v>0</v>
      </c>
      <c r="BQ86" s="2">
        <v>1</v>
      </c>
      <c r="BR86" s="2">
        <v>1</v>
      </c>
      <c r="BS86" s="2">
        <v>1</v>
      </c>
      <c r="BT86" s="2">
        <v>1</v>
      </c>
      <c r="BU86" s="2">
        <v>1</v>
      </c>
      <c r="BV86" s="2">
        <v>1</v>
      </c>
      <c r="BW86" s="2">
        <v>1</v>
      </c>
      <c r="BX86" s="2">
        <v>1</v>
      </c>
      <c r="BY86" s="2" t="s">
        <v>30</v>
      </c>
      <c r="BZ86" s="2">
        <v>70</v>
      </c>
      <c r="CA86" s="2">
        <v>10</v>
      </c>
      <c r="CB86" s="2" t="s">
        <v>30</v>
      </c>
      <c r="CE86" s="2">
        <v>0</v>
      </c>
      <c r="CF86" s="2">
        <v>0</v>
      </c>
      <c r="CG86" s="2">
        <v>0</v>
      </c>
      <c r="CM86" s="2">
        <v>0</v>
      </c>
      <c r="CN86" s="2" t="s">
        <v>30</v>
      </c>
      <c r="CO86" s="2">
        <v>0</v>
      </c>
      <c r="CP86" s="2">
        <f t="shared" si="71"/>
        <v>0</v>
      </c>
      <c r="CQ86" s="2">
        <f t="shared" si="72"/>
        <v>0</v>
      </c>
      <c r="CR86" s="2">
        <f>((((ET86)*BB86-(EU86)*BS86)+AE86*BS86)*AV86)</f>
        <v>0</v>
      </c>
      <c r="CS86" s="2">
        <f t="shared" si="73"/>
        <v>0</v>
      </c>
      <c r="CT86" s="2">
        <f t="shared" si="74"/>
        <v>0</v>
      </c>
      <c r="CU86" s="2">
        <f t="shared" si="75"/>
        <v>0</v>
      </c>
      <c r="CV86" s="2">
        <f t="shared" si="76"/>
        <v>0</v>
      </c>
      <c r="CW86" s="2">
        <f t="shared" si="77"/>
        <v>0</v>
      </c>
      <c r="CX86" s="2">
        <f t="shared" si="77"/>
        <v>0</v>
      </c>
      <c r="CY86" s="2">
        <f t="shared" si="78"/>
        <v>0</v>
      </c>
      <c r="CZ86" s="2">
        <f t="shared" si="79"/>
        <v>0</v>
      </c>
      <c r="DC86" s="2" t="s">
        <v>30</v>
      </c>
      <c r="DD86" s="2" t="s">
        <v>30</v>
      </c>
      <c r="DE86" s="2" t="s">
        <v>30</v>
      </c>
      <c r="DF86" s="2" t="s">
        <v>30</v>
      </c>
      <c r="DG86" s="2" t="s">
        <v>30</v>
      </c>
      <c r="DH86" s="2" t="s">
        <v>30</v>
      </c>
      <c r="DI86" s="2" t="s">
        <v>30</v>
      </c>
      <c r="DJ86" s="2" t="s">
        <v>30</v>
      </c>
      <c r="DK86" s="2" t="s">
        <v>30</v>
      </c>
      <c r="DL86" s="2" t="s">
        <v>30</v>
      </c>
      <c r="DM86" s="2" t="s">
        <v>30</v>
      </c>
      <c r="DN86" s="2">
        <v>0</v>
      </c>
      <c r="DO86" s="2">
        <v>0</v>
      </c>
      <c r="DP86" s="2">
        <v>1</v>
      </c>
      <c r="DQ86" s="2">
        <v>1</v>
      </c>
      <c r="DU86" s="2">
        <v>1009</v>
      </c>
      <c r="DV86" s="2" t="s">
        <v>63</v>
      </c>
      <c r="DW86" s="2" t="s">
        <v>63</v>
      </c>
      <c r="DX86" s="2">
        <v>1000</v>
      </c>
      <c r="DZ86" s="2" t="s">
        <v>30</v>
      </c>
      <c r="EA86" s="2" t="s">
        <v>30</v>
      </c>
      <c r="EB86" s="2" t="s">
        <v>30</v>
      </c>
      <c r="EC86" s="2" t="s">
        <v>30</v>
      </c>
      <c r="EE86" s="2">
        <v>49661954</v>
      </c>
      <c r="EF86" s="2">
        <v>1</v>
      </c>
      <c r="EG86" s="2" t="s">
        <v>180</v>
      </c>
      <c r="EH86" s="2">
        <v>0</v>
      </c>
      <c r="EI86" s="2" t="s">
        <v>30</v>
      </c>
      <c r="EJ86" s="2">
        <v>4</v>
      </c>
      <c r="EK86" s="2">
        <v>0</v>
      </c>
      <c r="EL86" s="2" t="s">
        <v>181</v>
      </c>
      <c r="EM86" s="2" t="s">
        <v>182</v>
      </c>
      <c r="EO86" s="2" t="s">
        <v>30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FQ86" s="2">
        <v>0</v>
      </c>
      <c r="FR86" s="2">
        <f t="shared" si="80"/>
        <v>0</v>
      </c>
      <c r="FS86" s="2">
        <v>0</v>
      </c>
      <c r="FX86" s="2">
        <v>70</v>
      </c>
      <c r="FY86" s="2">
        <v>10</v>
      </c>
      <c r="GA86" s="2" t="s">
        <v>30</v>
      </c>
      <c r="GD86" s="2">
        <v>0</v>
      </c>
      <c r="GF86" s="2">
        <v>1489638031</v>
      </c>
      <c r="GG86" s="2">
        <v>2</v>
      </c>
      <c r="GH86" s="2">
        <v>1</v>
      </c>
      <c r="GI86" s="2">
        <v>-2</v>
      </c>
      <c r="GJ86" s="2">
        <v>0</v>
      </c>
      <c r="GK86" s="2">
        <f>ROUND(R86*(R12)/100,2)</f>
        <v>0</v>
      </c>
      <c r="GL86" s="2">
        <f t="shared" si="81"/>
        <v>0</v>
      </c>
      <c r="GM86" s="2">
        <f>ROUND(O86+X86+Y86+GK86,2)+GX86</f>
        <v>0</v>
      </c>
      <c r="GN86" s="2">
        <f>IF(OR(BI86=0,BI86=1),ROUND(O86+X86+Y86+GK86,2),0)</f>
        <v>0</v>
      </c>
      <c r="GO86" s="2">
        <f>IF(BI86=2,ROUND(O86+X86+Y86+GK86,2),0)</f>
        <v>0</v>
      </c>
      <c r="GP86" s="2">
        <f>IF(BI86=4,ROUND(O86+X86+Y86+GK86,2)+GX86,0)</f>
        <v>0</v>
      </c>
      <c r="GR86" s="2">
        <v>0</v>
      </c>
      <c r="GS86" s="2">
        <v>3</v>
      </c>
      <c r="GT86" s="2">
        <v>0</v>
      </c>
      <c r="GU86" s="2" t="s">
        <v>30</v>
      </c>
      <c r="GV86" s="2">
        <f t="shared" si="82"/>
        <v>0</v>
      </c>
      <c r="GW86" s="2">
        <v>1</v>
      </c>
      <c r="GX86" s="2">
        <f t="shared" si="83"/>
        <v>0</v>
      </c>
      <c r="HA86" s="2">
        <v>0</v>
      </c>
      <c r="HB86" s="2">
        <v>0</v>
      </c>
      <c r="HC86" s="2">
        <f t="shared" si="84"/>
        <v>0</v>
      </c>
      <c r="HE86" s="2" t="s">
        <v>30</v>
      </c>
      <c r="HF86" s="2" t="s">
        <v>30</v>
      </c>
      <c r="HM86" s="2" t="s">
        <v>30</v>
      </c>
      <c r="HN86" s="2" t="s">
        <v>30</v>
      </c>
      <c r="HO86" s="2" t="s">
        <v>30</v>
      </c>
      <c r="HP86" s="2" t="s">
        <v>30</v>
      </c>
      <c r="HQ86" s="2" t="s">
        <v>30</v>
      </c>
      <c r="IK86" s="2">
        <v>0</v>
      </c>
    </row>
    <row r="87" spans="1:245" x14ac:dyDescent="0.25">
      <c r="A87" s="2">
        <v>17</v>
      </c>
      <c r="B87" s="2">
        <v>1</v>
      </c>
      <c r="C87" s="2">
        <f>ROW(SmtRes!A43)</f>
        <v>43</v>
      </c>
      <c r="D87" s="2">
        <f>ROW(EtalonRes!A41)</f>
        <v>41</v>
      </c>
      <c r="E87" s="2" t="s">
        <v>291</v>
      </c>
      <c r="F87" s="2" t="s">
        <v>199</v>
      </c>
      <c r="G87" s="2" t="s">
        <v>292</v>
      </c>
      <c r="H87" s="2" t="s">
        <v>63</v>
      </c>
      <c r="I87" s="2">
        <v>85.608000000000004</v>
      </c>
      <c r="J87" s="2">
        <v>0</v>
      </c>
      <c r="K87" s="2">
        <v>85.608000000000004</v>
      </c>
      <c r="O87" s="2">
        <f t="shared" si="56"/>
        <v>5240.92</v>
      </c>
      <c r="P87" s="2">
        <f t="shared" si="57"/>
        <v>0</v>
      </c>
      <c r="Q87" s="2">
        <f t="shared" si="58"/>
        <v>5240.92</v>
      </c>
      <c r="R87" s="2">
        <f t="shared" si="59"/>
        <v>2825.92</v>
      </c>
      <c r="S87" s="2">
        <f t="shared" si="60"/>
        <v>0</v>
      </c>
      <c r="T87" s="2">
        <f t="shared" si="61"/>
        <v>0</v>
      </c>
      <c r="U87" s="2">
        <f t="shared" si="62"/>
        <v>0</v>
      </c>
      <c r="V87" s="2">
        <f t="shared" si="63"/>
        <v>0</v>
      </c>
      <c r="W87" s="2">
        <f t="shared" si="64"/>
        <v>0</v>
      </c>
      <c r="X87" s="2">
        <f t="shared" si="65"/>
        <v>0</v>
      </c>
      <c r="Y87" s="2">
        <f t="shared" si="65"/>
        <v>0</v>
      </c>
      <c r="AA87" s="2">
        <v>52261502</v>
      </c>
      <c r="AB87" s="2">
        <f t="shared" si="66"/>
        <v>61.22</v>
      </c>
      <c r="AC87" s="2">
        <f>ROUND((ES87),6)</f>
        <v>0</v>
      </c>
      <c r="AD87" s="2">
        <f>ROUND((((ET87)-(EU87))+AE87),6)</f>
        <v>61.22</v>
      </c>
      <c r="AE87" s="2">
        <f t="shared" si="67"/>
        <v>33.01</v>
      </c>
      <c r="AF87" s="2">
        <f t="shared" si="67"/>
        <v>0</v>
      </c>
      <c r="AG87" s="2">
        <f t="shared" si="68"/>
        <v>0</v>
      </c>
      <c r="AH87" s="2">
        <f t="shared" si="69"/>
        <v>0</v>
      </c>
      <c r="AI87" s="2">
        <f t="shared" si="69"/>
        <v>0</v>
      </c>
      <c r="AJ87" s="2">
        <f t="shared" si="70"/>
        <v>0</v>
      </c>
      <c r="AK87" s="2">
        <v>61.22</v>
      </c>
      <c r="AL87" s="2">
        <v>0</v>
      </c>
      <c r="AM87" s="2">
        <v>61.22</v>
      </c>
      <c r="AN87" s="2">
        <v>33.01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1</v>
      </c>
      <c r="AW87" s="2">
        <v>1</v>
      </c>
      <c r="AZ87" s="2">
        <v>1</v>
      </c>
      <c r="BA87" s="2">
        <v>1</v>
      </c>
      <c r="BB87" s="2">
        <v>1</v>
      </c>
      <c r="BC87" s="2">
        <v>1</v>
      </c>
      <c r="BD87" s="2" t="s">
        <v>30</v>
      </c>
      <c r="BE87" s="2" t="s">
        <v>30</v>
      </c>
      <c r="BF87" s="2" t="s">
        <v>30</v>
      </c>
      <c r="BG87" s="2" t="s">
        <v>30</v>
      </c>
      <c r="BH87" s="2">
        <v>0</v>
      </c>
      <c r="BI87" s="2">
        <v>4</v>
      </c>
      <c r="BJ87" s="2" t="s">
        <v>201</v>
      </c>
      <c r="BM87" s="2">
        <v>1</v>
      </c>
      <c r="BN87" s="2">
        <v>0</v>
      </c>
      <c r="BO87" s="2" t="s">
        <v>30</v>
      </c>
      <c r="BP87" s="2">
        <v>0</v>
      </c>
      <c r="BQ87" s="2">
        <v>1</v>
      </c>
      <c r="BR87" s="2">
        <v>0</v>
      </c>
      <c r="BS87" s="2">
        <v>1</v>
      </c>
      <c r="BT87" s="2">
        <v>1</v>
      </c>
      <c r="BU87" s="2">
        <v>1</v>
      </c>
      <c r="BV87" s="2">
        <v>1</v>
      </c>
      <c r="BW87" s="2">
        <v>1</v>
      </c>
      <c r="BX87" s="2">
        <v>1</v>
      </c>
      <c r="BY87" s="2" t="s">
        <v>30</v>
      </c>
      <c r="BZ87" s="2">
        <v>0</v>
      </c>
      <c r="CA87" s="2">
        <v>0</v>
      </c>
      <c r="CB87" s="2" t="s">
        <v>30</v>
      </c>
      <c r="CE87" s="2">
        <v>0</v>
      </c>
      <c r="CF87" s="2">
        <v>0</v>
      </c>
      <c r="CG87" s="2">
        <v>0</v>
      </c>
      <c r="CM87" s="2">
        <v>0</v>
      </c>
      <c r="CN87" s="2" t="s">
        <v>30</v>
      </c>
      <c r="CO87" s="2">
        <v>0</v>
      </c>
      <c r="CP87" s="2">
        <f t="shared" si="71"/>
        <v>5240.92</v>
      </c>
      <c r="CQ87" s="2">
        <f t="shared" si="72"/>
        <v>0</v>
      </c>
      <c r="CR87" s="2">
        <f>((((ET87)*BB87-(EU87)*BS87)+AE87*BS87)*AV87)</f>
        <v>61.22</v>
      </c>
      <c r="CS87" s="2">
        <f t="shared" si="73"/>
        <v>33.01</v>
      </c>
      <c r="CT87" s="2">
        <f t="shared" si="74"/>
        <v>0</v>
      </c>
      <c r="CU87" s="2">
        <f t="shared" si="75"/>
        <v>0</v>
      </c>
      <c r="CV87" s="2">
        <f t="shared" si="76"/>
        <v>0</v>
      </c>
      <c r="CW87" s="2">
        <f t="shared" si="77"/>
        <v>0</v>
      </c>
      <c r="CX87" s="2">
        <f t="shared" si="77"/>
        <v>0</v>
      </c>
      <c r="CY87" s="2">
        <f t="shared" si="78"/>
        <v>0</v>
      </c>
      <c r="CZ87" s="2">
        <f t="shared" si="79"/>
        <v>0</v>
      </c>
      <c r="DC87" s="2" t="s">
        <v>30</v>
      </c>
      <c r="DD87" s="2" t="s">
        <v>30</v>
      </c>
      <c r="DE87" s="2" t="s">
        <v>30</v>
      </c>
      <c r="DF87" s="2" t="s">
        <v>30</v>
      </c>
      <c r="DG87" s="2" t="s">
        <v>30</v>
      </c>
      <c r="DH87" s="2" t="s">
        <v>30</v>
      </c>
      <c r="DI87" s="2" t="s">
        <v>30</v>
      </c>
      <c r="DJ87" s="2" t="s">
        <v>30</v>
      </c>
      <c r="DK87" s="2" t="s">
        <v>30</v>
      </c>
      <c r="DL87" s="2" t="s">
        <v>30</v>
      </c>
      <c r="DM87" s="2" t="s">
        <v>30</v>
      </c>
      <c r="DN87" s="2">
        <v>0</v>
      </c>
      <c r="DO87" s="2">
        <v>0</v>
      </c>
      <c r="DP87" s="2">
        <v>1</v>
      </c>
      <c r="DQ87" s="2">
        <v>1</v>
      </c>
      <c r="DU87" s="2">
        <v>1009</v>
      </c>
      <c r="DV87" s="2" t="s">
        <v>63</v>
      </c>
      <c r="DW87" s="2" t="s">
        <v>63</v>
      </c>
      <c r="DX87" s="2">
        <v>1000</v>
      </c>
      <c r="DZ87" s="2" t="s">
        <v>30</v>
      </c>
      <c r="EA87" s="2" t="s">
        <v>30</v>
      </c>
      <c r="EB87" s="2" t="s">
        <v>30</v>
      </c>
      <c r="EC87" s="2" t="s">
        <v>30</v>
      </c>
      <c r="EE87" s="2">
        <v>49661956</v>
      </c>
      <c r="EF87" s="2">
        <v>1</v>
      </c>
      <c r="EG87" s="2" t="s">
        <v>180</v>
      </c>
      <c r="EH87" s="2">
        <v>0</v>
      </c>
      <c r="EI87" s="2" t="s">
        <v>30</v>
      </c>
      <c r="EJ87" s="2">
        <v>4</v>
      </c>
      <c r="EK87" s="2">
        <v>1</v>
      </c>
      <c r="EL87" s="2" t="s">
        <v>202</v>
      </c>
      <c r="EM87" s="2" t="s">
        <v>182</v>
      </c>
      <c r="EO87" s="2" t="s">
        <v>30</v>
      </c>
      <c r="EQ87" s="2">
        <v>0</v>
      </c>
      <c r="ER87" s="2">
        <v>61.22</v>
      </c>
      <c r="ES87" s="2">
        <v>0</v>
      </c>
      <c r="ET87" s="2">
        <v>61.22</v>
      </c>
      <c r="EU87" s="2">
        <v>33.01</v>
      </c>
      <c r="EV87" s="2">
        <v>0</v>
      </c>
      <c r="EW87" s="2">
        <v>0</v>
      </c>
      <c r="EX87" s="2">
        <v>0</v>
      </c>
      <c r="EY87" s="2">
        <v>0</v>
      </c>
      <c r="FQ87" s="2">
        <v>0</v>
      </c>
      <c r="FR87" s="2">
        <f t="shared" si="80"/>
        <v>0</v>
      </c>
      <c r="FS87" s="2">
        <v>0</v>
      </c>
      <c r="FX87" s="2">
        <v>0</v>
      </c>
      <c r="FY87" s="2">
        <v>0</v>
      </c>
      <c r="GA87" s="2" t="s">
        <v>30</v>
      </c>
      <c r="GD87" s="2">
        <v>1</v>
      </c>
      <c r="GF87" s="2">
        <v>1602572179</v>
      </c>
      <c r="GG87" s="2">
        <v>2</v>
      </c>
      <c r="GH87" s="2">
        <v>1</v>
      </c>
      <c r="GI87" s="2">
        <v>-2</v>
      </c>
      <c r="GJ87" s="2">
        <v>0</v>
      </c>
      <c r="GK87" s="2">
        <v>0</v>
      </c>
      <c r="GL87" s="2">
        <f t="shared" si="81"/>
        <v>0</v>
      </c>
      <c r="GM87" s="2">
        <f>ROUND(O87+X87+Y87,2)+GX87</f>
        <v>5240.92</v>
      </c>
      <c r="GN87" s="2">
        <f>IF(OR(BI87=0,BI87=1),ROUND(O87+X87+Y87,2),0)</f>
        <v>0</v>
      </c>
      <c r="GO87" s="2">
        <f>IF(BI87=2,ROUND(O87+X87+Y87,2),0)</f>
        <v>0</v>
      </c>
      <c r="GP87" s="2">
        <f>IF(BI87=4,ROUND(O87+X87+Y87,2)+GX87,0)</f>
        <v>5240.92</v>
      </c>
      <c r="GR87" s="2">
        <v>0</v>
      </c>
      <c r="GS87" s="2">
        <v>0</v>
      </c>
      <c r="GT87" s="2">
        <v>0</v>
      </c>
      <c r="GU87" s="2" t="s">
        <v>30</v>
      </c>
      <c r="GV87" s="2">
        <f t="shared" si="82"/>
        <v>0</v>
      </c>
      <c r="GW87" s="2">
        <v>1</v>
      </c>
      <c r="GX87" s="2">
        <f t="shared" si="83"/>
        <v>0</v>
      </c>
      <c r="HA87" s="2">
        <v>0</v>
      </c>
      <c r="HB87" s="2">
        <v>0</v>
      </c>
      <c r="HC87" s="2">
        <f t="shared" si="84"/>
        <v>0</v>
      </c>
      <c r="HE87" s="2" t="s">
        <v>30</v>
      </c>
      <c r="HF87" s="2" t="s">
        <v>30</v>
      </c>
      <c r="HM87" s="2" t="s">
        <v>30</v>
      </c>
      <c r="HN87" s="2" t="s">
        <v>30</v>
      </c>
      <c r="HO87" s="2" t="s">
        <v>30</v>
      </c>
      <c r="HP87" s="2" t="s">
        <v>30</v>
      </c>
      <c r="HQ87" s="2" t="s">
        <v>30</v>
      </c>
      <c r="IK87" s="2">
        <v>0</v>
      </c>
    </row>
    <row r="88" spans="1:245" x14ac:dyDescent="0.25">
      <c r="A88" s="2">
        <v>17</v>
      </c>
      <c r="B88" s="2">
        <v>1</v>
      </c>
      <c r="C88" s="2">
        <f>ROW(SmtRes!A45)</f>
        <v>45</v>
      </c>
      <c r="D88" s="2">
        <f>ROW(EtalonRes!A43)</f>
        <v>43</v>
      </c>
      <c r="E88" s="2" t="s">
        <v>293</v>
      </c>
      <c r="F88" s="2" t="s">
        <v>204</v>
      </c>
      <c r="G88" s="2" t="s">
        <v>205</v>
      </c>
      <c r="H88" s="2" t="s">
        <v>63</v>
      </c>
      <c r="I88" s="2">
        <v>85.608000000000004</v>
      </c>
      <c r="J88" s="2">
        <v>0</v>
      </c>
      <c r="K88" s="2">
        <v>85.608000000000004</v>
      </c>
      <c r="O88" s="2">
        <f t="shared" si="56"/>
        <v>129052.35</v>
      </c>
      <c r="P88" s="2">
        <f t="shared" si="57"/>
        <v>0</v>
      </c>
      <c r="Q88" s="2">
        <f t="shared" si="58"/>
        <v>129052.35</v>
      </c>
      <c r="R88" s="2">
        <f t="shared" si="59"/>
        <v>69623.27</v>
      </c>
      <c r="S88" s="2">
        <f t="shared" si="60"/>
        <v>0</v>
      </c>
      <c r="T88" s="2">
        <f t="shared" si="61"/>
        <v>0</v>
      </c>
      <c r="U88" s="2">
        <f t="shared" si="62"/>
        <v>0</v>
      </c>
      <c r="V88" s="2">
        <f t="shared" si="63"/>
        <v>0</v>
      </c>
      <c r="W88" s="2">
        <f t="shared" si="64"/>
        <v>0</v>
      </c>
      <c r="X88" s="2">
        <f t="shared" si="65"/>
        <v>0</v>
      </c>
      <c r="Y88" s="2">
        <f t="shared" si="65"/>
        <v>0</v>
      </c>
      <c r="AA88" s="2">
        <v>52261502</v>
      </c>
      <c r="AB88" s="2">
        <f t="shared" si="66"/>
        <v>1507.48</v>
      </c>
      <c r="AC88" s="2">
        <f>ROUND(((ES88*52)),6)</f>
        <v>0</v>
      </c>
      <c r="AD88" s="2">
        <f>ROUND(((((ET88*52))-((EU88*52)))+AE88),6)</f>
        <v>1507.48</v>
      </c>
      <c r="AE88" s="2">
        <f>ROUND(((EU88*52)),6)</f>
        <v>813.28</v>
      </c>
      <c r="AF88" s="2">
        <f>ROUND(((EV88*52)),6)</f>
        <v>0</v>
      </c>
      <c r="AG88" s="2">
        <f t="shared" si="68"/>
        <v>0</v>
      </c>
      <c r="AH88" s="2">
        <f>((EW88*52))</f>
        <v>0</v>
      </c>
      <c r="AI88" s="2">
        <f>((EX88*52))</f>
        <v>0</v>
      </c>
      <c r="AJ88" s="2">
        <f t="shared" si="70"/>
        <v>0</v>
      </c>
      <c r="AK88" s="2">
        <v>28.99</v>
      </c>
      <c r="AL88" s="2">
        <v>0</v>
      </c>
      <c r="AM88" s="2">
        <v>28.99</v>
      </c>
      <c r="AN88" s="2">
        <v>15.64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1</v>
      </c>
      <c r="AW88" s="2">
        <v>1</v>
      </c>
      <c r="AZ88" s="2">
        <v>1</v>
      </c>
      <c r="BA88" s="2">
        <v>1</v>
      </c>
      <c r="BB88" s="2">
        <v>1</v>
      </c>
      <c r="BC88" s="2">
        <v>1</v>
      </c>
      <c r="BD88" s="2" t="s">
        <v>30</v>
      </c>
      <c r="BE88" s="2" t="s">
        <v>30</v>
      </c>
      <c r="BF88" s="2" t="s">
        <v>30</v>
      </c>
      <c r="BG88" s="2" t="s">
        <v>30</v>
      </c>
      <c r="BH88" s="2">
        <v>0</v>
      </c>
      <c r="BI88" s="2">
        <v>4</v>
      </c>
      <c r="BJ88" s="2" t="s">
        <v>206</v>
      </c>
      <c r="BM88" s="2">
        <v>1</v>
      </c>
      <c r="BN88" s="2">
        <v>0</v>
      </c>
      <c r="BO88" s="2" t="s">
        <v>30</v>
      </c>
      <c r="BP88" s="2">
        <v>0</v>
      </c>
      <c r="BQ88" s="2">
        <v>1</v>
      </c>
      <c r="BR88" s="2">
        <v>0</v>
      </c>
      <c r="BS88" s="2">
        <v>1</v>
      </c>
      <c r="BT88" s="2">
        <v>1</v>
      </c>
      <c r="BU88" s="2">
        <v>1</v>
      </c>
      <c r="BV88" s="2">
        <v>1</v>
      </c>
      <c r="BW88" s="2">
        <v>1</v>
      </c>
      <c r="BX88" s="2">
        <v>1</v>
      </c>
      <c r="BY88" s="2" t="s">
        <v>30</v>
      </c>
      <c r="BZ88" s="2">
        <v>0</v>
      </c>
      <c r="CA88" s="2">
        <v>0</v>
      </c>
      <c r="CB88" s="2" t="s">
        <v>30</v>
      </c>
      <c r="CE88" s="2">
        <v>0</v>
      </c>
      <c r="CF88" s="2">
        <v>0</v>
      </c>
      <c r="CG88" s="2">
        <v>0</v>
      </c>
      <c r="CM88" s="2">
        <v>0</v>
      </c>
      <c r="CN88" s="2" t="s">
        <v>30</v>
      </c>
      <c r="CO88" s="2">
        <v>0</v>
      </c>
      <c r="CP88" s="2">
        <f t="shared" si="71"/>
        <v>129052.35</v>
      </c>
      <c r="CQ88" s="2">
        <f t="shared" si="72"/>
        <v>0</v>
      </c>
      <c r="CR88" s="2">
        <f>(((((ET88*52))*BB88-((EU88*52))*BS88)+AE88*BS88)*AV88)</f>
        <v>1507.48</v>
      </c>
      <c r="CS88" s="2">
        <f t="shared" si="73"/>
        <v>813.28</v>
      </c>
      <c r="CT88" s="2">
        <f t="shared" si="74"/>
        <v>0</v>
      </c>
      <c r="CU88" s="2">
        <f t="shared" si="75"/>
        <v>0</v>
      </c>
      <c r="CV88" s="2">
        <f t="shared" si="76"/>
        <v>0</v>
      </c>
      <c r="CW88" s="2">
        <f t="shared" si="77"/>
        <v>0</v>
      </c>
      <c r="CX88" s="2">
        <f t="shared" si="77"/>
        <v>0</v>
      </c>
      <c r="CY88" s="2">
        <f t="shared" si="78"/>
        <v>0</v>
      </c>
      <c r="CZ88" s="2">
        <f t="shared" si="79"/>
        <v>0</v>
      </c>
      <c r="DC88" s="2" t="s">
        <v>30</v>
      </c>
      <c r="DD88" s="2" t="s">
        <v>207</v>
      </c>
      <c r="DE88" s="2" t="s">
        <v>207</v>
      </c>
      <c r="DF88" s="2" t="s">
        <v>207</v>
      </c>
      <c r="DG88" s="2" t="s">
        <v>207</v>
      </c>
      <c r="DH88" s="2" t="s">
        <v>30</v>
      </c>
      <c r="DI88" s="2" t="s">
        <v>207</v>
      </c>
      <c r="DJ88" s="2" t="s">
        <v>207</v>
      </c>
      <c r="DK88" s="2" t="s">
        <v>30</v>
      </c>
      <c r="DL88" s="2" t="s">
        <v>30</v>
      </c>
      <c r="DM88" s="2" t="s">
        <v>30</v>
      </c>
      <c r="DN88" s="2">
        <v>0</v>
      </c>
      <c r="DO88" s="2">
        <v>0</v>
      </c>
      <c r="DP88" s="2">
        <v>1</v>
      </c>
      <c r="DQ88" s="2">
        <v>1</v>
      </c>
      <c r="DU88" s="2">
        <v>1009</v>
      </c>
      <c r="DV88" s="2" t="s">
        <v>63</v>
      </c>
      <c r="DW88" s="2" t="s">
        <v>63</v>
      </c>
      <c r="DX88" s="2">
        <v>1000</v>
      </c>
      <c r="DZ88" s="2" t="s">
        <v>30</v>
      </c>
      <c r="EA88" s="2" t="s">
        <v>30</v>
      </c>
      <c r="EB88" s="2" t="s">
        <v>30</v>
      </c>
      <c r="EC88" s="2" t="s">
        <v>30</v>
      </c>
      <c r="EE88" s="2">
        <v>49661956</v>
      </c>
      <c r="EF88" s="2">
        <v>1</v>
      </c>
      <c r="EG88" s="2" t="s">
        <v>180</v>
      </c>
      <c r="EH88" s="2">
        <v>0</v>
      </c>
      <c r="EI88" s="2" t="s">
        <v>30</v>
      </c>
      <c r="EJ88" s="2">
        <v>4</v>
      </c>
      <c r="EK88" s="2">
        <v>1</v>
      </c>
      <c r="EL88" s="2" t="s">
        <v>202</v>
      </c>
      <c r="EM88" s="2" t="s">
        <v>182</v>
      </c>
      <c r="EO88" s="2" t="s">
        <v>30</v>
      </c>
      <c r="EQ88" s="2">
        <v>0</v>
      </c>
      <c r="ER88" s="2">
        <v>28.99</v>
      </c>
      <c r="ES88" s="2">
        <v>0</v>
      </c>
      <c r="ET88" s="2">
        <v>28.99</v>
      </c>
      <c r="EU88" s="2">
        <v>15.64</v>
      </c>
      <c r="EV88" s="2">
        <v>0</v>
      </c>
      <c r="EW88" s="2">
        <v>0</v>
      </c>
      <c r="EX88" s="2">
        <v>0</v>
      </c>
      <c r="EY88" s="2">
        <v>0</v>
      </c>
      <c r="FQ88" s="2">
        <v>0</v>
      </c>
      <c r="FR88" s="2">
        <f t="shared" si="80"/>
        <v>0</v>
      </c>
      <c r="FS88" s="2">
        <v>0</v>
      </c>
      <c r="FX88" s="2">
        <v>0</v>
      </c>
      <c r="FY88" s="2">
        <v>0</v>
      </c>
      <c r="GA88" s="2" t="s">
        <v>30</v>
      </c>
      <c r="GD88" s="2">
        <v>1</v>
      </c>
      <c r="GF88" s="2">
        <v>-1355325295</v>
      </c>
      <c r="GG88" s="2">
        <v>2</v>
      </c>
      <c r="GH88" s="2">
        <v>1</v>
      </c>
      <c r="GI88" s="2">
        <v>-2</v>
      </c>
      <c r="GJ88" s="2">
        <v>0</v>
      </c>
      <c r="GK88" s="2">
        <v>0</v>
      </c>
      <c r="GL88" s="2">
        <f t="shared" si="81"/>
        <v>0</v>
      </c>
      <c r="GM88" s="2">
        <f>ROUND(O88+X88+Y88,2)+GX88</f>
        <v>129052.35</v>
      </c>
      <c r="GN88" s="2">
        <f>IF(OR(BI88=0,BI88=1),ROUND(O88+X88+Y88,2),0)</f>
        <v>0</v>
      </c>
      <c r="GO88" s="2">
        <f>IF(BI88=2,ROUND(O88+X88+Y88,2),0)</f>
        <v>0</v>
      </c>
      <c r="GP88" s="2">
        <f>IF(BI88=4,ROUND(O88+X88+Y88,2)+GX88,0)</f>
        <v>129052.35</v>
      </c>
      <c r="GR88" s="2">
        <v>0</v>
      </c>
      <c r="GS88" s="2">
        <v>0</v>
      </c>
      <c r="GT88" s="2">
        <v>0</v>
      </c>
      <c r="GU88" s="2" t="s">
        <v>30</v>
      </c>
      <c r="GV88" s="2">
        <f t="shared" si="82"/>
        <v>0</v>
      </c>
      <c r="GW88" s="2">
        <v>1</v>
      </c>
      <c r="GX88" s="2">
        <f t="shared" si="83"/>
        <v>0</v>
      </c>
      <c r="HA88" s="2">
        <v>0</v>
      </c>
      <c r="HB88" s="2">
        <v>0</v>
      </c>
      <c r="HC88" s="2">
        <f t="shared" si="84"/>
        <v>0</v>
      </c>
      <c r="HE88" s="2" t="s">
        <v>30</v>
      </c>
      <c r="HF88" s="2" t="s">
        <v>30</v>
      </c>
      <c r="HM88" s="2" t="s">
        <v>30</v>
      </c>
      <c r="HN88" s="2" t="s">
        <v>30</v>
      </c>
      <c r="HO88" s="2" t="s">
        <v>30</v>
      </c>
      <c r="HP88" s="2" t="s">
        <v>30</v>
      </c>
      <c r="HQ88" s="2" t="s">
        <v>30</v>
      </c>
      <c r="IK88" s="2">
        <v>0</v>
      </c>
    </row>
    <row r="89" spans="1:245" x14ac:dyDescent="0.25">
      <c r="A89" s="2">
        <v>17</v>
      </c>
      <c r="B89" s="2">
        <v>1</v>
      </c>
      <c r="C89" s="2">
        <f>ROW(SmtRes!A49)</f>
        <v>49</v>
      </c>
      <c r="D89" s="2">
        <f>ROW(EtalonRes!A47)</f>
        <v>47</v>
      </c>
      <c r="E89" s="2" t="s">
        <v>294</v>
      </c>
      <c r="F89" s="2" t="s">
        <v>295</v>
      </c>
      <c r="G89" s="2" t="s">
        <v>296</v>
      </c>
      <c r="H89" s="2" t="s">
        <v>65</v>
      </c>
      <c r="I89" s="2">
        <f>ROUND(342/100,9)</f>
        <v>3.42</v>
      </c>
      <c r="J89" s="2">
        <v>0</v>
      </c>
      <c r="K89" s="2">
        <f>ROUND(342/100,9)</f>
        <v>3.42</v>
      </c>
      <c r="O89" s="2">
        <f t="shared" si="56"/>
        <v>252545.42</v>
      </c>
      <c r="P89" s="2">
        <f t="shared" si="57"/>
        <v>195507.69</v>
      </c>
      <c r="Q89" s="2">
        <f t="shared" si="58"/>
        <v>0</v>
      </c>
      <c r="R89" s="2">
        <f t="shared" si="59"/>
        <v>0</v>
      </c>
      <c r="S89" s="2">
        <f t="shared" si="60"/>
        <v>57037.73</v>
      </c>
      <c r="T89" s="2">
        <f t="shared" si="61"/>
        <v>0</v>
      </c>
      <c r="U89" s="2">
        <f t="shared" si="62"/>
        <v>274.52339999999998</v>
      </c>
      <c r="V89" s="2">
        <f t="shared" si="63"/>
        <v>0</v>
      </c>
      <c r="W89" s="2">
        <f t="shared" si="64"/>
        <v>0</v>
      </c>
      <c r="X89" s="2">
        <f t="shared" si="65"/>
        <v>39926.410000000003</v>
      </c>
      <c r="Y89" s="2">
        <f t="shared" si="65"/>
        <v>5703.77</v>
      </c>
      <c r="AA89" s="2">
        <v>52261502</v>
      </c>
      <c r="AB89" s="2">
        <f t="shared" si="66"/>
        <v>73843.69</v>
      </c>
      <c r="AC89" s="2">
        <f>ROUND((ES89),6)</f>
        <v>57165.99</v>
      </c>
      <c r="AD89" s="2">
        <f>ROUND((((ET89)-(EU89))+AE89),6)</f>
        <v>0</v>
      </c>
      <c r="AE89" s="2">
        <f t="shared" ref="AE89:AF91" si="85">ROUND((EU89),6)</f>
        <v>0</v>
      </c>
      <c r="AF89" s="2">
        <f t="shared" si="85"/>
        <v>16677.7</v>
      </c>
      <c r="AG89" s="2">
        <f t="shared" si="68"/>
        <v>0</v>
      </c>
      <c r="AH89" s="2">
        <f t="shared" ref="AH89:AI91" si="86">(EW89)</f>
        <v>80.27</v>
      </c>
      <c r="AI89" s="2">
        <f t="shared" si="86"/>
        <v>0</v>
      </c>
      <c r="AJ89" s="2">
        <f t="shared" si="70"/>
        <v>0</v>
      </c>
      <c r="AK89" s="2">
        <v>73843.69</v>
      </c>
      <c r="AL89" s="2">
        <v>57165.99</v>
      </c>
      <c r="AM89" s="2">
        <v>0</v>
      </c>
      <c r="AN89" s="2">
        <v>0</v>
      </c>
      <c r="AO89" s="2">
        <v>16677.7</v>
      </c>
      <c r="AP89" s="2">
        <v>0</v>
      </c>
      <c r="AQ89" s="2">
        <v>80.27</v>
      </c>
      <c r="AR89" s="2">
        <v>0</v>
      </c>
      <c r="AS89" s="2">
        <v>0</v>
      </c>
      <c r="AT89" s="2">
        <v>70</v>
      </c>
      <c r="AU89" s="2">
        <v>10</v>
      </c>
      <c r="AV89" s="2">
        <v>1</v>
      </c>
      <c r="AW89" s="2">
        <v>1</v>
      </c>
      <c r="AZ89" s="2">
        <v>1</v>
      </c>
      <c r="BA89" s="2">
        <v>1</v>
      </c>
      <c r="BB89" s="2">
        <v>1</v>
      </c>
      <c r="BC89" s="2">
        <v>1</v>
      </c>
      <c r="BD89" s="2" t="s">
        <v>30</v>
      </c>
      <c r="BE89" s="2" t="s">
        <v>30</v>
      </c>
      <c r="BF89" s="2" t="s">
        <v>30</v>
      </c>
      <c r="BG89" s="2" t="s">
        <v>30</v>
      </c>
      <c r="BH89" s="2">
        <v>0</v>
      </c>
      <c r="BI89" s="2">
        <v>4</v>
      </c>
      <c r="BJ89" s="2" t="s">
        <v>297</v>
      </c>
      <c r="BM89" s="2">
        <v>0</v>
      </c>
      <c r="BN89" s="2">
        <v>0</v>
      </c>
      <c r="BO89" s="2" t="s">
        <v>30</v>
      </c>
      <c r="BP89" s="2">
        <v>0</v>
      </c>
      <c r="BQ89" s="2">
        <v>1</v>
      </c>
      <c r="BR89" s="2">
        <v>0</v>
      </c>
      <c r="BS89" s="2">
        <v>1</v>
      </c>
      <c r="BT89" s="2">
        <v>1</v>
      </c>
      <c r="BU89" s="2">
        <v>1</v>
      </c>
      <c r="BV89" s="2">
        <v>1</v>
      </c>
      <c r="BW89" s="2">
        <v>1</v>
      </c>
      <c r="BX89" s="2">
        <v>1</v>
      </c>
      <c r="BY89" s="2" t="s">
        <v>30</v>
      </c>
      <c r="BZ89" s="2">
        <v>70</v>
      </c>
      <c r="CA89" s="2">
        <v>10</v>
      </c>
      <c r="CB89" s="2" t="s">
        <v>30</v>
      </c>
      <c r="CE89" s="2">
        <v>0</v>
      </c>
      <c r="CF89" s="2">
        <v>0</v>
      </c>
      <c r="CG89" s="2">
        <v>0</v>
      </c>
      <c r="CM89" s="2">
        <v>0</v>
      </c>
      <c r="CN89" s="2" t="s">
        <v>30</v>
      </c>
      <c r="CO89" s="2">
        <v>0</v>
      </c>
      <c r="CP89" s="2">
        <f t="shared" si="71"/>
        <v>252545.42</v>
      </c>
      <c r="CQ89" s="2">
        <f t="shared" si="72"/>
        <v>57165.99</v>
      </c>
      <c r="CR89" s="2">
        <f>((((ET89)*BB89-(EU89)*BS89)+AE89*BS89)*AV89)</f>
        <v>0</v>
      </c>
      <c r="CS89" s="2">
        <f t="shared" si="73"/>
        <v>0</v>
      </c>
      <c r="CT89" s="2">
        <f t="shared" si="74"/>
        <v>16677.7</v>
      </c>
      <c r="CU89" s="2">
        <f t="shared" si="75"/>
        <v>0</v>
      </c>
      <c r="CV89" s="2">
        <f t="shared" si="76"/>
        <v>80.27</v>
      </c>
      <c r="CW89" s="2">
        <f t="shared" si="77"/>
        <v>0</v>
      </c>
      <c r="CX89" s="2">
        <f t="shared" si="77"/>
        <v>0</v>
      </c>
      <c r="CY89" s="2">
        <f t="shared" si="78"/>
        <v>39926.411</v>
      </c>
      <c r="CZ89" s="2">
        <f t="shared" si="79"/>
        <v>5703.7730000000001</v>
      </c>
      <c r="DC89" s="2" t="s">
        <v>30</v>
      </c>
      <c r="DD89" s="2" t="s">
        <v>30</v>
      </c>
      <c r="DE89" s="2" t="s">
        <v>30</v>
      </c>
      <c r="DF89" s="2" t="s">
        <v>30</v>
      </c>
      <c r="DG89" s="2" t="s">
        <v>30</v>
      </c>
      <c r="DH89" s="2" t="s">
        <v>30</v>
      </c>
      <c r="DI89" s="2" t="s">
        <v>30</v>
      </c>
      <c r="DJ89" s="2" t="s">
        <v>30</v>
      </c>
      <c r="DK89" s="2" t="s">
        <v>30</v>
      </c>
      <c r="DL89" s="2" t="s">
        <v>30</v>
      </c>
      <c r="DM89" s="2" t="s">
        <v>30</v>
      </c>
      <c r="DN89" s="2">
        <v>0</v>
      </c>
      <c r="DO89" s="2">
        <v>0</v>
      </c>
      <c r="DP89" s="2">
        <v>1</v>
      </c>
      <c r="DQ89" s="2">
        <v>1</v>
      </c>
      <c r="DU89" s="2">
        <v>1003</v>
      </c>
      <c r="DV89" s="2" t="s">
        <v>65</v>
      </c>
      <c r="DW89" s="2" t="s">
        <v>65</v>
      </c>
      <c r="DX89" s="2">
        <v>100</v>
      </c>
      <c r="DZ89" s="2" t="s">
        <v>30</v>
      </c>
      <c r="EA89" s="2" t="s">
        <v>30</v>
      </c>
      <c r="EB89" s="2" t="s">
        <v>30</v>
      </c>
      <c r="EC89" s="2" t="s">
        <v>30</v>
      </c>
      <c r="EE89" s="2">
        <v>49661954</v>
      </c>
      <c r="EF89" s="2">
        <v>1</v>
      </c>
      <c r="EG89" s="2" t="s">
        <v>180</v>
      </c>
      <c r="EH89" s="2">
        <v>0</v>
      </c>
      <c r="EI89" s="2" t="s">
        <v>30</v>
      </c>
      <c r="EJ89" s="2">
        <v>4</v>
      </c>
      <c r="EK89" s="2">
        <v>0</v>
      </c>
      <c r="EL89" s="2" t="s">
        <v>181</v>
      </c>
      <c r="EM89" s="2" t="s">
        <v>182</v>
      </c>
      <c r="EO89" s="2" t="s">
        <v>30</v>
      </c>
      <c r="EQ89" s="2">
        <v>0</v>
      </c>
      <c r="ER89" s="2">
        <v>73843.69</v>
      </c>
      <c r="ES89" s="2">
        <v>57165.99</v>
      </c>
      <c r="ET89" s="2">
        <v>0</v>
      </c>
      <c r="EU89" s="2">
        <v>0</v>
      </c>
      <c r="EV89" s="2">
        <v>16677.7</v>
      </c>
      <c r="EW89" s="2">
        <v>80.27</v>
      </c>
      <c r="EX89" s="2">
        <v>0</v>
      </c>
      <c r="EY89" s="2">
        <v>0</v>
      </c>
      <c r="FQ89" s="2">
        <v>0</v>
      </c>
      <c r="FR89" s="2">
        <f t="shared" si="80"/>
        <v>0</v>
      </c>
      <c r="FS89" s="2">
        <v>0</v>
      </c>
      <c r="FX89" s="2">
        <v>70</v>
      </c>
      <c r="FY89" s="2">
        <v>10</v>
      </c>
      <c r="GA89" s="2" t="s">
        <v>30</v>
      </c>
      <c r="GD89" s="2">
        <v>0</v>
      </c>
      <c r="GF89" s="2">
        <v>497378928</v>
      </c>
      <c r="GG89" s="2">
        <v>2</v>
      </c>
      <c r="GH89" s="2">
        <v>1</v>
      </c>
      <c r="GI89" s="2">
        <v>-2</v>
      </c>
      <c r="GJ89" s="2">
        <v>0</v>
      </c>
      <c r="GK89" s="2">
        <f>ROUND(R89*(R12)/100,2)</f>
        <v>0</v>
      </c>
      <c r="GL89" s="2">
        <f t="shared" si="81"/>
        <v>0</v>
      </c>
      <c r="GM89" s="2">
        <f>ROUND(O89+X89+Y89+GK89,2)+GX89</f>
        <v>298175.59999999998</v>
      </c>
      <c r="GN89" s="2">
        <f>IF(OR(BI89=0,BI89=1),ROUND(O89+X89+Y89+GK89,2),0)</f>
        <v>0</v>
      </c>
      <c r="GO89" s="2">
        <f>IF(BI89=2,ROUND(O89+X89+Y89+GK89,2),0)</f>
        <v>0</v>
      </c>
      <c r="GP89" s="2">
        <f>IF(BI89=4,ROUND(O89+X89+Y89+GK89,2)+GX89,0)</f>
        <v>298175.59999999998</v>
      </c>
      <c r="GR89" s="2">
        <v>0</v>
      </c>
      <c r="GS89" s="2">
        <v>3</v>
      </c>
      <c r="GT89" s="2">
        <v>0</v>
      </c>
      <c r="GU89" s="2" t="s">
        <v>30</v>
      </c>
      <c r="GV89" s="2">
        <f t="shared" si="82"/>
        <v>0</v>
      </c>
      <c r="GW89" s="2">
        <v>1</v>
      </c>
      <c r="GX89" s="2">
        <f t="shared" si="83"/>
        <v>0</v>
      </c>
      <c r="HA89" s="2">
        <v>0</v>
      </c>
      <c r="HB89" s="2">
        <v>0</v>
      </c>
      <c r="HC89" s="2">
        <f t="shared" si="84"/>
        <v>0</v>
      </c>
      <c r="HE89" s="2" t="s">
        <v>30</v>
      </c>
      <c r="HF89" s="2" t="s">
        <v>30</v>
      </c>
      <c r="HM89" s="2" t="s">
        <v>30</v>
      </c>
      <c r="HN89" s="2" t="s">
        <v>30</v>
      </c>
      <c r="HO89" s="2" t="s">
        <v>30</v>
      </c>
      <c r="HP89" s="2" t="s">
        <v>30</v>
      </c>
      <c r="HQ89" s="2" t="s">
        <v>30</v>
      </c>
      <c r="IK89" s="2">
        <v>0</v>
      </c>
    </row>
    <row r="90" spans="1:245" x14ac:dyDescent="0.25">
      <c r="A90" s="2">
        <v>18</v>
      </c>
      <c r="B90" s="2">
        <v>1</v>
      </c>
      <c r="C90" s="2">
        <v>48</v>
      </c>
      <c r="E90" s="2" t="s">
        <v>37</v>
      </c>
      <c r="F90" s="2" t="s">
        <v>286</v>
      </c>
      <c r="G90" s="2" t="s">
        <v>287</v>
      </c>
      <c r="H90" s="2" t="s">
        <v>62</v>
      </c>
      <c r="I90" s="2">
        <f>I89*J90</f>
        <v>-0.20519999999999999</v>
      </c>
      <c r="J90" s="2">
        <v>-0.06</v>
      </c>
      <c r="K90" s="2">
        <v>-0.06</v>
      </c>
      <c r="O90" s="2">
        <f t="shared" si="56"/>
        <v>-703.32</v>
      </c>
      <c r="P90" s="2">
        <f t="shared" si="57"/>
        <v>-703.32</v>
      </c>
      <c r="Q90" s="2">
        <f t="shared" si="58"/>
        <v>0</v>
      </c>
      <c r="R90" s="2">
        <f t="shared" si="59"/>
        <v>0</v>
      </c>
      <c r="S90" s="2">
        <f t="shared" si="60"/>
        <v>0</v>
      </c>
      <c r="T90" s="2">
        <f t="shared" si="61"/>
        <v>0</v>
      </c>
      <c r="U90" s="2">
        <f t="shared" si="62"/>
        <v>0</v>
      </c>
      <c r="V90" s="2">
        <f t="shared" si="63"/>
        <v>0</v>
      </c>
      <c r="W90" s="2">
        <f t="shared" si="64"/>
        <v>0</v>
      </c>
      <c r="X90" s="2">
        <f t="shared" si="65"/>
        <v>0</v>
      </c>
      <c r="Y90" s="2">
        <f t="shared" si="65"/>
        <v>0</v>
      </c>
      <c r="AA90" s="2">
        <v>52261502</v>
      </c>
      <c r="AB90" s="2">
        <f t="shared" si="66"/>
        <v>3427.48</v>
      </c>
      <c r="AC90" s="2">
        <f>ROUND((ES90),6)</f>
        <v>3427.48</v>
      </c>
      <c r="AD90" s="2">
        <f>ROUND((((ET90)-(EU90))+AE90),6)</f>
        <v>0</v>
      </c>
      <c r="AE90" s="2">
        <f t="shared" si="85"/>
        <v>0</v>
      </c>
      <c r="AF90" s="2">
        <f t="shared" si="85"/>
        <v>0</v>
      </c>
      <c r="AG90" s="2">
        <f t="shared" si="68"/>
        <v>0</v>
      </c>
      <c r="AH90" s="2">
        <f t="shared" si="86"/>
        <v>0</v>
      </c>
      <c r="AI90" s="2">
        <f t="shared" si="86"/>
        <v>0</v>
      </c>
      <c r="AJ90" s="2">
        <f t="shared" si="70"/>
        <v>0</v>
      </c>
      <c r="AK90" s="2">
        <v>3427.48</v>
      </c>
      <c r="AL90" s="2">
        <v>3427.48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70</v>
      </c>
      <c r="AU90" s="2">
        <v>10</v>
      </c>
      <c r="AV90" s="2">
        <v>1</v>
      </c>
      <c r="AW90" s="2">
        <v>1</v>
      </c>
      <c r="AZ90" s="2">
        <v>1</v>
      </c>
      <c r="BA90" s="2">
        <v>1</v>
      </c>
      <c r="BB90" s="2">
        <v>1</v>
      </c>
      <c r="BC90" s="2">
        <v>1</v>
      </c>
      <c r="BD90" s="2" t="s">
        <v>30</v>
      </c>
      <c r="BE90" s="2" t="s">
        <v>30</v>
      </c>
      <c r="BF90" s="2" t="s">
        <v>30</v>
      </c>
      <c r="BG90" s="2" t="s">
        <v>30</v>
      </c>
      <c r="BH90" s="2">
        <v>3</v>
      </c>
      <c r="BI90" s="2">
        <v>4</v>
      </c>
      <c r="BJ90" s="2" t="s">
        <v>288</v>
      </c>
      <c r="BM90" s="2">
        <v>0</v>
      </c>
      <c r="BN90" s="2">
        <v>0</v>
      </c>
      <c r="BO90" s="2" t="s">
        <v>30</v>
      </c>
      <c r="BP90" s="2">
        <v>0</v>
      </c>
      <c r="BQ90" s="2">
        <v>1</v>
      </c>
      <c r="BR90" s="2">
        <v>1</v>
      </c>
      <c r="BS90" s="2">
        <v>1</v>
      </c>
      <c r="BT90" s="2">
        <v>1</v>
      </c>
      <c r="BU90" s="2">
        <v>1</v>
      </c>
      <c r="BV90" s="2">
        <v>1</v>
      </c>
      <c r="BW90" s="2">
        <v>1</v>
      </c>
      <c r="BX90" s="2">
        <v>1</v>
      </c>
      <c r="BY90" s="2" t="s">
        <v>30</v>
      </c>
      <c r="BZ90" s="2">
        <v>70</v>
      </c>
      <c r="CA90" s="2">
        <v>10</v>
      </c>
      <c r="CB90" s="2" t="s">
        <v>30</v>
      </c>
      <c r="CE90" s="2">
        <v>0</v>
      </c>
      <c r="CF90" s="2">
        <v>0</v>
      </c>
      <c r="CG90" s="2">
        <v>0</v>
      </c>
      <c r="CM90" s="2">
        <v>0</v>
      </c>
      <c r="CN90" s="2" t="s">
        <v>30</v>
      </c>
      <c r="CO90" s="2">
        <v>0</v>
      </c>
      <c r="CP90" s="2">
        <f t="shared" si="71"/>
        <v>-703.32</v>
      </c>
      <c r="CQ90" s="2">
        <f t="shared" si="72"/>
        <v>3427.48</v>
      </c>
      <c r="CR90" s="2">
        <f>((((ET90)*BB90-(EU90)*BS90)+AE90*BS90)*AV90)</f>
        <v>0</v>
      </c>
      <c r="CS90" s="2">
        <f t="shared" si="73"/>
        <v>0</v>
      </c>
      <c r="CT90" s="2">
        <f t="shared" si="74"/>
        <v>0</v>
      </c>
      <c r="CU90" s="2">
        <f t="shared" si="75"/>
        <v>0</v>
      </c>
      <c r="CV90" s="2">
        <f t="shared" si="76"/>
        <v>0</v>
      </c>
      <c r="CW90" s="2">
        <f t="shared" si="77"/>
        <v>0</v>
      </c>
      <c r="CX90" s="2">
        <f t="shared" si="77"/>
        <v>0</v>
      </c>
      <c r="CY90" s="2">
        <f t="shared" si="78"/>
        <v>0</v>
      </c>
      <c r="CZ90" s="2">
        <f t="shared" si="79"/>
        <v>0</v>
      </c>
      <c r="DC90" s="2" t="s">
        <v>30</v>
      </c>
      <c r="DD90" s="2" t="s">
        <v>30</v>
      </c>
      <c r="DE90" s="2" t="s">
        <v>30</v>
      </c>
      <c r="DF90" s="2" t="s">
        <v>30</v>
      </c>
      <c r="DG90" s="2" t="s">
        <v>30</v>
      </c>
      <c r="DH90" s="2" t="s">
        <v>30</v>
      </c>
      <c r="DI90" s="2" t="s">
        <v>30</v>
      </c>
      <c r="DJ90" s="2" t="s">
        <v>30</v>
      </c>
      <c r="DK90" s="2" t="s">
        <v>30</v>
      </c>
      <c r="DL90" s="2" t="s">
        <v>30</v>
      </c>
      <c r="DM90" s="2" t="s">
        <v>30</v>
      </c>
      <c r="DN90" s="2">
        <v>0</v>
      </c>
      <c r="DO90" s="2">
        <v>0</v>
      </c>
      <c r="DP90" s="2">
        <v>1</v>
      </c>
      <c r="DQ90" s="2">
        <v>1</v>
      </c>
      <c r="DU90" s="2">
        <v>1007</v>
      </c>
      <c r="DV90" s="2" t="s">
        <v>62</v>
      </c>
      <c r="DW90" s="2" t="s">
        <v>62</v>
      </c>
      <c r="DX90" s="2">
        <v>1</v>
      </c>
      <c r="DZ90" s="2" t="s">
        <v>30</v>
      </c>
      <c r="EA90" s="2" t="s">
        <v>30</v>
      </c>
      <c r="EB90" s="2" t="s">
        <v>30</v>
      </c>
      <c r="EC90" s="2" t="s">
        <v>30</v>
      </c>
      <c r="EE90" s="2">
        <v>49661954</v>
      </c>
      <c r="EF90" s="2">
        <v>1</v>
      </c>
      <c r="EG90" s="2" t="s">
        <v>180</v>
      </c>
      <c r="EH90" s="2">
        <v>0</v>
      </c>
      <c r="EI90" s="2" t="s">
        <v>30</v>
      </c>
      <c r="EJ90" s="2">
        <v>4</v>
      </c>
      <c r="EK90" s="2">
        <v>0</v>
      </c>
      <c r="EL90" s="2" t="s">
        <v>181</v>
      </c>
      <c r="EM90" s="2" t="s">
        <v>182</v>
      </c>
      <c r="EO90" s="2" t="s">
        <v>30</v>
      </c>
      <c r="EQ90" s="2">
        <v>0</v>
      </c>
      <c r="ER90" s="2">
        <v>3427.48</v>
      </c>
      <c r="ES90" s="2">
        <v>3427.48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FQ90" s="2">
        <v>0</v>
      </c>
      <c r="FR90" s="2">
        <f t="shared" si="80"/>
        <v>0</v>
      </c>
      <c r="FS90" s="2">
        <v>0</v>
      </c>
      <c r="FX90" s="2">
        <v>70</v>
      </c>
      <c r="FY90" s="2">
        <v>10</v>
      </c>
      <c r="GA90" s="2" t="s">
        <v>30</v>
      </c>
      <c r="GD90" s="2">
        <v>0</v>
      </c>
      <c r="GF90" s="2">
        <v>820745631</v>
      </c>
      <c r="GG90" s="2">
        <v>2</v>
      </c>
      <c r="GH90" s="2">
        <v>1</v>
      </c>
      <c r="GI90" s="2">
        <v>-2</v>
      </c>
      <c r="GJ90" s="2">
        <v>0</v>
      </c>
      <c r="GK90" s="2">
        <f>ROUND(R90*(R12)/100,2)</f>
        <v>0</v>
      </c>
      <c r="GL90" s="2">
        <f t="shared" si="81"/>
        <v>0</v>
      </c>
      <c r="GM90" s="2">
        <f>ROUND(O90+X90+Y90+GK90,2)+GX90</f>
        <v>-703.32</v>
      </c>
      <c r="GN90" s="2">
        <f>IF(OR(BI90=0,BI90=1),ROUND(O90+X90+Y90+GK90,2),0)</f>
        <v>0</v>
      </c>
      <c r="GO90" s="2">
        <f>IF(BI90=2,ROUND(O90+X90+Y90+GK90,2),0)</f>
        <v>0</v>
      </c>
      <c r="GP90" s="2">
        <f>IF(BI90=4,ROUND(O90+X90+Y90+GK90,2)+GX90,0)</f>
        <v>-703.32</v>
      </c>
      <c r="GR90" s="2">
        <v>0</v>
      </c>
      <c r="GS90" s="2">
        <v>3</v>
      </c>
      <c r="GT90" s="2">
        <v>0</v>
      </c>
      <c r="GU90" s="2" t="s">
        <v>30</v>
      </c>
      <c r="GV90" s="2">
        <f t="shared" si="82"/>
        <v>0</v>
      </c>
      <c r="GW90" s="2">
        <v>1</v>
      </c>
      <c r="GX90" s="2">
        <f t="shared" si="83"/>
        <v>0</v>
      </c>
      <c r="HA90" s="2">
        <v>0</v>
      </c>
      <c r="HB90" s="2">
        <v>0</v>
      </c>
      <c r="HC90" s="2">
        <f t="shared" si="84"/>
        <v>0</v>
      </c>
      <c r="HE90" s="2" t="s">
        <v>30</v>
      </c>
      <c r="HF90" s="2" t="s">
        <v>30</v>
      </c>
      <c r="HM90" s="2" t="s">
        <v>30</v>
      </c>
      <c r="HN90" s="2" t="s">
        <v>30</v>
      </c>
      <c r="HO90" s="2" t="s">
        <v>30</v>
      </c>
      <c r="HP90" s="2" t="s">
        <v>30</v>
      </c>
      <c r="HQ90" s="2" t="s">
        <v>30</v>
      </c>
      <c r="IK90" s="2">
        <v>0</v>
      </c>
    </row>
    <row r="91" spans="1:245" x14ac:dyDescent="0.25">
      <c r="A91" s="2">
        <v>17</v>
      </c>
      <c r="B91" s="2">
        <v>1</v>
      </c>
      <c r="C91" s="2">
        <f>ROW(SmtRes!A51)</f>
        <v>51</v>
      </c>
      <c r="D91" s="2">
        <f>ROW(EtalonRes!A49)</f>
        <v>49</v>
      </c>
      <c r="E91" s="2" t="s">
        <v>298</v>
      </c>
      <c r="F91" s="2" t="s">
        <v>299</v>
      </c>
      <c r="G91" s="2" t="s">
        <v>300</v>
      </c>
      <c r="H91" s="2" t="s">
        <v>66</v>
      </c>
      <c r="I91" s="2">
        <f>ROUND(690/100,9)</f>
        <v>6.9</v>
      </c>
      <c r="J91" s="2">
        <v>0</v>
      </c>
      <c r="K91" s="2">
        <f>ROUND(690/100,9)</f>
        <v>6.9</v>
      </c>
      <c r="O91" s="2">
        <f t="shared" si="56"/>
        <v>98553.600000000006</v>
      </c>
      <c r="P91" s="2">
        <f t="shared" si="57"/>
        <v>96869.24</v>
      </c>
      <c r="Q91" s="2">
        <f t="shared" si="58"/>
        <v>0</v>
      </c>
      <c r="R91" s="2">
        <f t="shared" si="59"/>
        <v>0</v>
      </c>
      <c r="S91" s="2">
        <f t="shared" si="60"/>
        <v>1684.36</v>
      </c>
      <c r="T91" s="2">
        <f t="shared" si="61"/>
        <v>0</v>
      </c>
      <c r="U91" s="2">
        <f t="shared" si="62"/>
        <v>7.9349999999999996</v>
      </c>
      <c r="V91" s="2">
        <f t="shared" si="63"/>
        <v>0</v>
      </c>
      <c r="W91" s="2">
        <f t="shared" si="64"/>
        <v>0</v>
      </c>
      <c r="X91" s="2">
        <f t="shared" si="65"/>
        <v>1179.05</v>
      </c>
      <c r="Y91" s="2">
        <f t="shared" si="65"/>
        <v>168.44</v>
      </c>
      <c r="AA91" s="2">
        <v>52261502</v>
      </c>
      <c r="AB91" s="2">
        <f t="shared" si="66"/>
        <v>14283.13</v>
      </c>
      <c r="AC91" s="2">
        <f>ROUND((ES91),6)</f>
        <v>14039.02</v>
      </c>
      <c r="AD91" s="2">
        <f>ROUND((((ET91)-(EU91))+AE91),6)</f>
        <v>0</v>
      </c>
      <c r="AE91" s="2">
        <f t="shared" si="85"/>
        <v>0</v>
      </c>
      <c r="AF91" s="2">
        <f t="shared" si="85"/>
        <v>244.11</v>
      </c>
      <c r="AG91" s="2">
        <f t="shared" si="68"/>
        <v>0</v>
      </c>
      <c r="AH91" s="2">
        <f t="shared" si="86"/>
        <v>1.1499999999999999</v>
      </c>
      <c r="AI91" s="2">
        <f t="shared" si="86"/>
        <v>0</v>
      </c>
      <c r="AJ91" s="2">
        <f t="shared" si="70"/>
        <v>0</v>
      </c>
      <c r="AK91" s="2">
        <v>14283.13</v>
      </c>
      <c r="AL91" s="2">
        <v>14039.02</v>
      </c>
      <c r="AM91" s="2">
        <v>0</v>
      </c>
      <c r="AN91" s="2">
        <v>0</v>
      </c>
      <c r="AO91" s="2">
        <v>244.11</v>
      </c>
      <c r="AP91" s="2">
        <v>0</v>
      </c>
      <c r="AQ91" s="2">
        <v>1.1499999999999999</v>
      </c>
      <c r="AR91" s="2">
        <v>0</v>
      </c>
      <c r="AS91" s="2">
        <v>0</v>
      </c>
      <c r="AT91" s="2">
        <v>70</v>
      </c>
      <c r="AU91" s="2">
        <v>10</v>
      </c>
      <c r="AV91" s="2">
        <v>1</v>
      </c>
      <c r="AW91" s="2">
        <v>1</v>
      </c>
      <c r="AZ91" s="2">
        <v>1</v>
      </c>
      <c r="BA91" s="2">
        <v>1</v>
      </c>
      <c r="BB91" s="2">
        <v>1</v>
      </c>
      <c r="BC91" s="2">
        <v>1</v>
      </c>
      <c r="BD91" s="2" t="s">
        <v>30</v>
      </c>
      <c r="BE91" s="2" t="s">
        <v>30</v>
      </c>
      <c r="BF91" s="2" t="s">
        <v>30</v>
      </c>
      <c r="BG91" s="2" t="s">
        <v>30</v>
      </c>
      <c r="BH91" s="2">
        <v>0</v>
      </c>
      <c r="BI91" s="2">
        <v>4</v>
      </c>
      <c r="BJ91" s="2" t="s">
        <v>301</v>
      </c>
      <c r="BM91" s="2">
        <v>0</v>
      </c>
      <c r="BN91" s="2">
        <v>0</v>
      </c>
      <c r="BO91" s="2" t="s">
        <v>30</v>
      </c>
      <c r="BP91" s="2">
        <v>0</v>
      </c>
      <c r="BQ91" s="2">
        <v>1</v>
      </c>
      <c r="BR91" s="2">
        <v>0</v>
      </c>
      <c r="BS91" s="2">
        <v>1</v>
      </c>
      <c r="BT91" s="2">
        <v>1</v>
      </c>
      <c r="BU91" s="2">
        <v>1</v>
      </c>
      <c r="BV91" s="2">
        <v>1</v>
      </c>
      <c r="BW91" s="2">
        <v>1</v>
      </c>
      <c r="BX91" s="2">
        <v>1</v>
      </c>
      <c r="BY91" s="2" t="s">
        <v>30</v>
      </c>
      <c r="BZ91" s="2">
        <v>70</v>
      </c>
      <c r="CA91" s="2">
        <v>10</v>
      </c>
      <c r="CB91" s="2" t="s">
        <v>30</v>
      </c>
      <c r="CE91" s="2">
        <v>0</v>
      </c>
      <c r="CF91" s="2">
        <v>0</v>
      </c>
      <c r="CG91" s="2">
        <v>0</v>
      </c>
      <c r="CM91" s="2">
        <v>0</v>
      </c>
      <c r="CN91" s="2" t="s">
        <v>30</v>
      </c>
      <c r="CO91" s="2">
        <v>0</v>
      </c>
      <c r="CP91" s="2">
        <f t="shared" si="71"/>
        <v>98553.600000000006</v>
      </c>
      <c r="CQ91" s="2">
        <f t="shared" si="72"/>
        <v>14039.02</v>
      </c>
      <c r="CR91" s="2">
        <f>((((ET91)*BB91-(EU91)*BS91)+AE91*BS91)*AV91)</f>
        <v>0</v>
      </c>
      <c r="CS91" s="2">
        <f t="shared" si="73"/>
        <v>0</v>
      </c>
      <c r="CT91" s="2">
        <f t="shared" si="74"/>
        <v>244.11</v>
      </c>
      <c r="CU91" s="2">
        <f t="shared" si="75"/>
        <v>0</v>
      </c>
      <c r="CV91" s="2">
        <f t="shared" si="76"/>
        <v>1.1499999999999999</v>
      </c>
      <c r="CW91" s="2">
        <f t="shared" si="77"/>
        <v>0</v>
      </c>
      <c r="CX91" s="2">
        <f t="shared" si="77"/>
        <v>0</v>
      </c>
      <c r="CY91" s="2">
        <f t="shared" si="78"/>
        <v>1179.0519999999999</v>
      </c>
      <c r="CZ91" s="2">
        <f t="shared" si="79"/>
        <v>168.43600000000001</v>
      </c>
      <c r="DC91" s="2" t="s">
        <v>30</v>
      </c>
      <c r="DD91" s="2" t="s">
        <v>30</v>
      </c>
      <c r="DE91" s="2" t="s">
        <v>30</v>
      </c>
      <c r="DF91" s="2" t="s">
        <v>30</v>
      </c>
      <c r="DG91" s="2" t="s">
        <v>30</v>
      </c>
      <c r="DH91" s="2" t="s">
        <v>30</v>
      </c>
      <c r="DI91" s="2" t="s">
        <v>30</v>
      </c>
      <c r="DJ91" s="2" t="s">
        <v>30</v>
      </c>
      <c r="DK91" s="2" t="s">
        <v>30</v>
      </c>
      <c r="DL91" s="2" t="s">
        <v>30</v>
      </c>
      <c r="DM91" s="2" t="s">
        <v>30</v>
      </c>
      <c r="DN91" s="2">
        <v>0</v>
      </c>
      <c r="DO91" s="2">
        <v>0</v>
      </c>
      <c r="DP91" s="2">
        <v>1</v>
      </c>
      <c r="DQ91" s="2">
        <v>1</v>
      </c>
      <c r="DU91" s="2">
        <v>1010</v>
      </c>
      <c r="DV91" s="2" t="s">
        <v>66</v>
      </c>
      <c r="DW91" s="2" t="s">
        <v>66</v>
      </c>
      <c r="DX91" s="2">
        <v>100</v>
      </c>
      <c r="DZ91" s="2" t="s">
        <v>30</v>
      </c>
      <c r="EA91" s="2" t="s">
        <v>30</v>
      </c>
      <c r="EB91" s="2" t="s">
        <v>30</v>
      </c>
      <c r="EC91" s="2" t="s">
        <v>30</v>
      </c>
      <c r="EE91" s="2">
        <v>49661954</v>
      </c>
      <c r="EF91" s="2">
        <v>1</v>
      </c>
      <c r="EG91" s="2" t="s">
        <v>180</v>
      </c>
      <c r="EH91" s="2">
        <v>0</v>
      </c>
      <c r="EI91" s="2" t="s">
        <v>30</v>
      </c>
      <c r="EJ91" s="2">
        <v>4</v>
      </c>
      <c r="EK91" s="2">
        <v>0</v>
      </c>
      <c r="EL91" s="2" t="s">
        <v>181</v>
      </c>
      <c r="EM91" s="2" t="s">
        <v>182</v>
      </c>
      <c r="EO91" s="2" t="s">
        <v>30</v>
      </c>
      <c r="EQ91" s="2">
        <v>0</v>
      </c>
      <c r="ER91" s="2">
        <v>14283.13</v>
      </c>
      <c r="ES91" s="2">
        <v>14039.02</v>
      </c>
      <c r="ET91" s="2">
        <v>0</v>
      </c>
      <c r="EU91" s="2">
        <v>0</v>
      </c>
      <c r="EV91" s="2">
        <v>244.11</v>
      </c>
      <c r="EW91" s="2">
        <v>1.1499999999999999</v>
      </c>
      <c r="EX91" s="2">
        <v>0</v>
      </c>
      <c r="EY91" s="2">
        <v>0</v>
      </c>
      <c r="FQ91" s="2">
        <v>0</v>
      </c>
      <c r="FR91" s="2">
        <f t="shared" si="80"/>
        <v>0</v>
      </c>
      <c r="FS91" s="2">
        <v>0</v>
      </c>
      <c r="FX91" s="2">
        <v>70</v>
      </c>
      <c r="FY91" s="2">
        <v>10</v>
      </c>
      <c r="GA91" s="2" t="s">
        <v>30</v>
      </c>
      <c r="GD91" s="2">
        <v>0</v>
      </c>
      <c r="GF91" s="2">
        <v>-171485880</v>
      </c>
      <c r="GG91" s="2">
        <v>2</v>
      </c>
      <c r="GH91" s="2">
        <v>1</v>
      </c>
      <c r="GI91" s="2">
        <v>-2</v>
      </c>
      <c r="GJ91" s="2">
        <v>0</v>
      </c>
      <c r="GK91" s="2">
        <f>ROUND(R91*(R12)/100,2)</f>
        <v>0</v>
      </c>
      <c r="GL91" s="2">
        <f t="shared" si="81"/>
        <v>0</v>
      </c>
      <c r="GM91" s="2">
        <f>ROUND(O91+X91+Y91+GK91,2)+GX91</f>
        <v>99901.09</v>
      </c>
      <c r="GN91" s="2">
        <f>IF(OR(BI91=0,BI91=1),ROUND(O91+X91+Y91+GK91,2),0)</f>
        <v>0</v>
      </c>
      <c r="GO91" s="2">
        <f>IF(BI91=2,ROUND(O91+X91+Y91+GK91,2),0)</f>
        <v>0</v>
      </c>
      <c r="GP91" s="2">
        <f>IF(BI91=4,ROUND(O91+X91+Y91+GK91,2)+GX91,0)</f>
        <v>99901.09</v>
      </c>
      <c r="GR91" s="2">
        <v>0</v>
      </c>
      <c r="GS91" s="2">
        <v>0</v>
      </c>
      <c r="GT91" s="2">
        <v>0</v>
      </c>
      <c r="GU91" s="2" t="s">
        <v>30</v>
      </c>
      <c r="GV91" s="2">
        <f t="shared" si="82"/>
        <v>0</v>
      </c>
      <c r="GW91" s="2">
        <v>1</v>
      </c>
      <c r="GX91" s="2">
        <f t="shared" si="83"/>
        <v>0</v>
      </c>
      <c r="HA91" s="2">
        <v>0</v>
      </c>
      <c r="HB91" s="2">
        <v>0</v>
      </c>
      <c r="HC91" s="2">
        <f t="shared" si="84"/>
        <v>0</v>
      </c>
      <c r="HE91" s="2" t="s">
        <v>30</v>
      </c>
      <c r="HF91" s="2" t="s">
        <v>30</v>
      </c>
      <c r="HM91" s="2" t="s">
        <v>30</v>
      </c>
      <c r="HN91" s="2" t="s">
        <v>30</v>
      </c>
      <c r="HO91" s="2" t="s">
        <v>30</v>
      </c>
      <c r="HP91" s="2" t="s">
        <v>30</v>
      </c>
      <c r="HQ91" s="2" t="s">
        <v>30</v>
      </c>
      <c r="IK91" s="2">
        <v>0</v>
      </c>
    </row>
    <row r="93" spans="1:245" ht="13" x14ac:dyDescent="0.3">
      <c r="A93" s="44">
        <v>51</v>
      </c>
      <c r="B93" s="44">
        <f>B80</f>
        <v>1</v>
      </c>
      <c r="C93" s="44">
        <f>A80</f>
        <v>4</v>
      </c>
      <c r="D93" s="44">
        <f>ROW(A80)</f>
        <v>80</v>
      </c>
      <c r="E93" s="44"/>
      <c r="F93" s="44" t="str">
        <f>IF(F80&lt;&gt;"",F80,"")</f>
        <v>Новый раздел</v>
      </c>
      <c r="G93" s="44" t="str">
        <f>IF(G80&lt;&gt;"",G80,"")</f>
        <v>Устройство бортового камня</v>
      </c>
      <c r="H93" s="44">
        <v>0</v>
      </c>
      <c r="I93" s="44"/>
      <c r="J93" s="44"/>
      <c r="K93" s="44"/>
      <c r="L93" s="44"/>
      <c r="M93" s="44"/>
      <c r="N93" s="44"/>
      <c r="O93" s="44">
        <f t="shared" ref="O93:T93" si="87">ROUND(AB93,2)</f>
        <v>805058.99</v>
      </c>
      <c r="P93" s="44">
        <f t="shared" si="87"/>
        <v>490901.35</v>
      </c>
      <c r="Q93" s="44">
        <f t="shared" si="87"/>
        <v>203882.83</v>
      </c>
      <c r="R93" s="44">
        <f t="shared" si="87"/>
        <v>111780.15</v>
      </c>
      <c r="S93" s="44">
        <f t="shared" si="87"/>
        <v>110274.81</v>
      </c>
      <c r="T93" s="44">
        <f t="shared" si="87"/>
        <v>0</v>
      </c>
      <c r="U93" s="44">
        <f>AH93</f>
        <v>512.13840000000005</v>
      </c>
      <c r="V93" s="44">
        <f>AI93</f>
        <v>0</v>
      </c>
      <c r="W93" s="44">
        <f>ROUND(AJ93,2)</f>
        <v>0</v>
      </c>
      <c r="X93" s="44">
        <f>ROUND(AK93,2)</f>
        <v>77192.36</v>
      </c>
      <c r="Y93" s="44">
        <f>ROUND(AL93,2)</f>
        <v>11027.48</v>
      </c>
      <c r="Z93" s="44"/>
      <c r="AA93" s="44"/>
      <c r="AB93" s="44">
        <f>ROUND(SUMIF(AA84:AA91,"=52261502",O84:O91),2)</f>
        <v>805058.99</v>
      </c>
      <c r="AC93" s="44">
        <f>ROUND(SUMIF(AA84:AA91,"=52261502",P84:P91),2)</f>
        <v>490901.35</v>
      </c>
      <c r="AD93" s="44">
        <f>ROUND(SUMIF(AA84:AA91,"=52261502",Q84:Q91),2)</f>
        <v>203882.83</v>
      </c>
      <c r="AE93" s="44">
        <f>ROUND(SUMIF(AA84:AA91,"=52261502",R84:R91),2)</f>
        <v>111780.15</v>
      </c>
      <c r="AF93" s="44">
        <f>ROUND(SUMIF(AA84:AA91,"=52261502",S84:S91),2)</f>
        <v>110274.81</v>
      </c>
      <c r="AG93" s="44">
        <f>ROUND(SUMIF(AA84:AA91,"=52261502",T84:T91),2)</f>
        <v>0</v>
      </c>
      <c r="AH93" s="44">
        <f>SUMIF(AA84:AA91,"=52261502",U84:U91)</f>
        <v>512.13840000000005</v>
      </c>
      <c r="AI93" s="44">
        <f>SUMIF(AA84:AA91,"=52261502",V84:V91)</f>
        <v>0</v>
      </c>
      <c r="AJ93" s="44">
        <f>ROUND(SUMIF(AA84:AA91,"=52261502",W84:W91),2)</f>
        <v>0</v>
      </c>
      <c r="AK93" s="44">
        <f>ROUND(SUMIF(AA84:AA91,"=52261502",X84:X91),2)</f>
        <v>77192.36</v>
      </c>
      <c r="AL93" s="44">
        <f>ROUND(SUMIF(AA84:AA91,"=52261502",Y84:Y91),2)</f>
        <v>11027.48</v>
      </c>
      <c r="AM93" s="44"/>
      <c r="AN93" s="44"/>
      <c r="AO93" s="44">
        <f t="shared" ref="AO93:BD93" si="88">ROUND(BX93,2)</f>
        <v>0</v>
      </c>
      <c r="AP93" s="44">
        <f t="shared" si="88"/>
        <v>0</v>
      </c>
      <c r="AQ93" s="44">
        <f t="shared" si="88"/>
        <v>0</v>
      </c>
      <c r="AR93" s="44">
        <f t="shared" si="88"/>
        <v>935756.27</v>
      </c>
      <c r="AS93" s="44">
        <f t="shared" si="88"/>
        <v>0</v>
      </c>
      <c r="AT93" s="44">
        <f t="shared" si="88"/>
        <v>0</v>
      </c>
      <c r="AU93" s="44">
        <f t="shared" si="88"/>
        <v>935756.27</v>
      </c>
      <c r="AV93" s="44">
        <f t="shared" si="88"/>
        <v>490901.35</v>
      </c>
      <c r="AW93" s="44">
        <f t="shared" si="88"/>
        <v>490901.35</v>
      </c>
      <c r="AX93" s="44">
        <f t="shared" si="88"/>
        <v>0</v>
      </c>
      <c r="AY93" s="44">
        <f t="shared" si="88"/>
        <v>490901.35</v>
      </c>
      <c r="AZ93" s="44">
        <f t="shared" si="88"/>
        <v>0</v>
      </c>
      <c r="BA93" s="44">
        <f t="shared" si="88"/>
        <v>0</v>
      </c>
      <c r="BB93" s="44">
        <f t="shared" si="88"/>
        <v>0</v>
      </c>
      <c r="BC93" s="44">
        <f t="shared" si="88"/>
        <v>0</v>
      </c>
      <c r="BD93" s="44">
        <f t="shared" si="88"/>
        <v>0</v>
      </c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>
        <f>ROUND(SUMIF(AA84:AA91,"=52261502",FQ84:FQ91),2)</f>
        <v>0</v>
      </c>
      <c r="BY93" s="44">
        <f>ROUND(SUMIF(AA84:AA91,"=52261502",FR84:FR91),2)</f>
        <v>0</v>
      </c>
      <c r="BZ93" s="44">
        <f>ROUND(SUMIF(AA84:AA91,"=52261502",GL84:GL91),2)</f>
        <v>0</v>
      </c>
      <c r="CA93" s="44">
        <f>ROUND(SUMIF(AA84:AA91,"=52261502",GM84:GM91),2)</f>
        <v>935756.27</v>
      </c>
      <c r="CB93" s="44">
        <f>ROUND(SUMIF(AA84:AA91,"=52261502",GN84:GN91),2)</f>
        <v>0</v>
      </c>
      <c r="CC93" s="44">
        <f>ROUND(SUMIF(AA84:AA91,"=52261502",GO84:GO91),2)</f>
        <v>0</v>
      </c>
      <c r="CD93" s="44">
        <f>ROUND(SUMIF(AA84:AA91,"=52261502",GP84:GP91),2)</f>
        <v>935756.27</v>
      </c>
      <c r="CE93" s="44">
        <f>AC93-BX93</f>
        <v>490901.35</v>
      </c>
      <c r="CF93" s="44">
        <f>AC93-BY93</f>
        <v>490901.35</v>
      </c>
      <c r="CG93" s="44">
        <f>BX93-BZ93</f>
        <v>0</v>
      </c>
      <c r="CH93" s="44">
        <f>AC93-BX93-BY93+BZ93</f>
        <v>490901.35</v>
      </c>
      <c r="CI93" s="44">
        <f>BY93-BZ93</f>
        <v>0</v>
      </c>
      <c r="CJ93" s="44">
        <f>ROUND(SUMIF(AA84:AA91,"=52261502",GX84:GX91),2)</f>
        <v>0</v>
      </c>
      <c r="CK93" s="44">
        <f>ROUND(SUMIF(AA84:AA91,"=52261502",GY84:GY91),2)</f>
        <v>0</v>
      </c>
      <c r="CL93" s="44">
        <f>ROUND(SUMIF(AA84:AA91,"=52261502",GZ84:GZ91),2)</f>
        <v>0</v>
      </c>
      <c r="CM93" s="44">
        <f>ROUND(SUMIF(AA84:AA91,"=52261502",HD84:HD91),2)</f>
        <v>0</v>
      </c>
      <c r="CN93" s="44"/>
      <c r="CO93" s="44"/>
      <c r="CP93" s="44"/>
      <c r="CQ93" s="44"/>
      <c r="CR93" s="44"/>
      <c r="CS93" s="44"/>
      <c r="CT93" s="44"/>
      <c r="CU93" s="44"/>
      <c r="CV93" s="44"/>
      <c r="CW93" s="44"/>
      <c r="CX93" s="44"/>
      <c r="CY93" s="44"/>
      <c r="CZ93" s="44"/>
      <c r="DA93" s="44"/>
      <c r="DB93" s="44"/>
      <c r="DC93" s="44"/>
      <c r="DD93" s="44"/>
      <c r="DE93" s="44"/>
      <c r="DF93" s="44"/>
      <c r="DG93" s="45"/>
      <c r="DH93" s="45"/>
      <c r="DI93" s="45"/>
      <c r="DJ93" s="45"/>
      <c r="DK93" s="45"/>
      <c r="DL93" s="45"/>
      <c r="DM93" s="45"/>
      <c r="DN93" s="45"/>
      <c r="DO93" s="45"/>
      <c r="DP93" s="45"/>
      <c r="DQ93" s="45"/>
      <c r="DR93" s="45"/>
      <c r="DS93" s="45"/>
      <c r="DT93" s="45"/>
      <c r="DU93" s="45"/>
      <c r="DV93" s="45"/>
      <c r="DW93" s="45"/>
      <c r="DX93" s="45"/>
      <c r="DY93" s="45"/>
      <c r="DZ93" s="45"/>
      <c r="EA93" s="45"/>
      <c r="EB93" s="45"/>
      <c r="EC93" s="45"/>
      <c r="ED93" s="45"/>
      <c r="EE93" s="45"/>
      <c r="EF93" s="45"/>
      <c r="EG93" s="45"/>
      <c r="EH93" s="45"/>
      <c r="EI93" s="45"/>
      <c r="EJ93" s="45"/>
      <c r="EK93" s="45"/>
      <c r="EL93" s="45"/>
      <c r="EM93" s="45"/>
      <c r="EN93" s="45"/>
      <c r="EO93" s="45"/>
      <c r="EP93" s="45"/>
      <c r="EQ93" s="45"/>
      <c r="ER93" s="45"/>
      <c r="ES93" s="45"/>
      <c r="ET93" s="45"/>
      <c r="EU93" s="45"/>
      <c r="EV93" s="45"/>
      <c r="EW93" s="45"/>
      <c r="EX93" s="45"/>
      <c r="EY93" s="45"/>
      <c r="EZ93" s="45"/>
      <c r="FA93" s="45"/>
      <c r="FB93" s="45"/>
      <c r="FC93" s="45"/>
      <c r="FD93" s="45"/>
      <c r="FE93" s="45"/>
      <c r="FF93" s="45"/>
      <c r="FG93" s="45"/>
      <c r="FH93" s="45"/>
      <c r="FI93" s="45"/>
      <c r="FJ93" s="45"/>
      <c r="FK93" s="45"/>
      <c r="FL93" s="45"/>
      <c r="FM93" s="45"/>
      <c r="FN93" s="45"/>
      <c r="FO93" s="45"/>
      <c r="FP93" s="45"/>
      <c r="FQ93" s="45"/>
      <c r="FR93" s="45"/>
      <c r="FS93" s="45"/>
      <c r="FT93" s="45"/>
      <c r="FU93" s="45"/>
      <c r="FV93" s="45"/>
      <c r="FW93" s="45"/>
      <c r="FX93" s="45"/>
      <c r="FY93" s="45"/>
      <c r="FZ93" s="45"/>
      <c r="GA93" s="45"/>
      <c r="GB93" s="45"/>
      <c r="GC93" s="45"/>
      <c r="GD93" s="45"/>
      <c r="GE93" s="45"/>
      <c r="GF93" s="45"/>
      <c r="GG93" s="45"/>
      <c r="GH93" s="45"/>
      <c r="GI93" s="45"/>
      <c r="GJ93" s="45"/>
      <c r="GK93" s="45"/>
      <c r="GL93" s="45"/>
      <c r="GM93" s="45"/>
      <c r="GN93" s="45"/>
      <c r="GO93" s="45"/>
      <c r="GP93" s="45"/>
      <c r="GQ93" s="45"/>
      <c r="GR93" s="45"/>
      <c r="GS93" s="45"/>
      <c r="GT93" s="45"/>
      <c r="GU93" s="45"/>
      <c r="GV93" s="45"/>
      <c r="GW93" s="45"/>
      <c r="GX93" s="45">
        <v>0</v>
      </c>
    </row>
    <row r="95" spans="1:245" ht="13" x14ac:dyDescent="0.3">
      <c r="A95" s="46">
        <v>50</v>
      </c>
      <c r="B95" s="46">
        <v>0</v>
      </c>
      <c r="C95" s="46">
        <v>0</v>
      </c>
      <c r="D95" s="46">
        <v>1</v>
      </c>
      <c r="E95" s="46">
        <v>201</v>
      </c>
      <c r="F95" s="46">
        <f>ROUND(Source!O93,O95)</f>
        <v>805058.99</v>
      </c>
      <c r="G95" s="46" t="s">
        <v>214</v>
      </c>
      <c r="H95" s="46" t="s">
        <v>215</v>
      </c>
      <c r="I95" s="46"/>
      <c r="J95" s="46"/>
      <c r="K95" s="46">
        <v>201</v>
      </c>
      <c r="L95" s="46">
        <v>1</v>
      </c>
      <c r="M95" s="46">
        <v>3</v>
      </c>
      <c r="N95" s="46" t="s">
        <v>30</v>
      </c>
      <c r="O95" s="46">
        <v>2</v>
      </c>
      <c r="P95" s="46"/>
      <c r="Q95" s="46"/>
      <c r="R95" s="46"/>
      <c r="S95" s="46"/>
      <c r="T95" s="46"/>
      <c r="U95" s="46"/>
      <c r="V95" s="46"/>
      <c r="W95" s="46">
        <v>805058.99</v>
      </c>
      <c r="X95" s="46">
        <v>1</v>
      </c>
      <c r="Y95" s="46">
        <v>805058.99</v>
      </c>
      <c r="Z95" s="46"/>
      <c r="AA95" s="46"/>
      <c r="AB95" s="46"/>
    </row>
    <row r="96" spans="1:245" ht="13" x14ac:dyDescent="0.3">
      <c r="A96" s="46">
        <v>50</v>
      </c>
      <c r="B96" s="46">
        <v>0</v>
      </c>
      <c r="C96" s="46">
        <v>0</v>
      </c>
      <c r="D96" s="46">
        <v>1</v>
      </c>
      <c r="E96" s="46">
        <v>202</v>
      </c>
      <c r="F96" s="46">
        <f>ROUND(Source!P93,O96)</f>
        <v>490901.35</v>
      </c>
      <c r="G96" s="46" t="s">
        <v>216</v>
      </c>
      <c r="H96" s="46" t="s">
        <v>217</v>
      </c>
      <c r="I96" s="46"/>
      <c r="J96" s="46"/>
      <c r="K96" s="46">
        <v>202</v>
      </c>
      <c r="L96" s="46">
        <v>2</v>
      </c>
      <c r="M96" s="46">
        <v>3</v>
      </c>
      <c r="N96" s="46" t="s">
        <v>30</v>
      </c>
      <c r="O96" s="46">
        <v>2</v>
      </c>
      <c r="P96" s="46"/>
      <c r="Q96" s="46"/>
      <c r="R96" s="46"/>
      <c r="S96" s="46"/>
      <c r="T96" s="46"/>
      <c r="U96" s="46"/>
      <c r="V96" s="46"/>
      <c r="W96" s="46">
        <v>490901.35</v>
      </c>
      <c r="X96" s="46">
        <v>1</v>
      </c>
      <c r="Y96" s="46">
        <v>490901.35</v>
      </c>
      <c r="Z96" s="46"/>
      <c r="AA96" s="46"/>
      <c r="AB96" s="46"/>
    </row>
    <row r="97" spans="1:28" ht="13" x14ac:dyDescent="0.3">
      <c r="A97" s="46">
        <v>50</v>
      </c>
      <c r="B97" s="46">
        <v>0</v>
      </c>
      <c r="C97" s="46">
        <v>0</v>
      </c>
      <c r="D97" s="46">
        <v>1</v>
      </c>
      <c r="E97" s="46">
        <v>222</v>
      </c>
      <c r="F97" s="46">
        <f>ROUND(Source!AO93,O97)</f>
        <v>0</v>
      </c>
      <c r="G97" s="46" t="s">
        <v>218</v>
      </c>
      <c r="H97" s="46" t="s">
        <v>219</v>
      </c>
      <c r="I97" s="46"/>
      <c r="J97" s="46"/>
      <c r="K97" s="46">
        <v>222</v>
      </c>
      <c r="L97" s="46">
        <v>3</v>
      </c>
      <c r="M97" s="46">
        <v>3</v>
      </c>
      <c r="N97" s="46" t="s">
        <v>30</v>
      </c>
      <c r="O97" s="46">
        <v>2</v>
      </c>
      <c r="P97" s="46"/>
      <c r="Q97" s="46"/>
      <c r="R97" s="46"/>
      <c r="S97" s="46"/>
      <c r="T97" s="46"/>
      <c r="U97" s="46"/>
      <c r="V97" s="46"/>
      <c r="W97" s="46">
        <v>0</v>
      </c>
      <c r="X97" s="46">
        <v>1</v>
      </c>
      <c r="Y97" s="46">
        <v>0</v>
      </c>
      <c r="Z97" s="46"/>
      <c r="AA97" s="46"/>
      <c r="AB97" s="46"/>
    </row>
    <row r="98" spans="1:28" ht="13" x14ac:dyDescent="0.3">
      <c r="A98" s="46">
        <v>50</v>
      </c>
      <c r="B98" s="46">
        <v>0</v>
      </c>
      <c r="C98" s="46">
        <v>0</v>
      </c>
      <c r="D98" s="46">
        <v>1</v>
      </c>
      <c r="E98" s="46">
        <v>225</v>
      </c>
      <c r="F98" s="46">
        <f>ROUND(Source!AV93,O98)</f>
        <v>490901.35</v>
      </c>
      <c r="G98" s="46" t="s">
        <v>220</v>
      </c>
      <c r="H98" s="46" t="s">
        <v>221</v>
      </c>
      <c r="I98" s="46"/>
      <c r="J98" s="46"/>
      <c r="K98" s="46">
        <v>225</v>
      </c>
      <c r="L98" s="46">
        <v>4</v>
      </c>
      <c r="M98" s="46">
        <v>3</v>
      </c>
      <c r="N98" s="46" t="s">
        <v>30</v>
      </c>
      <c r="O98" s="46">
        <v>2</v>
      </c>
      <c r="P98" s="46"/>
      <c r="Q98" s="46"/>
      <c r="R98" s="46"/>
      <c r="S98" s="46"/>
      <c r="T98" s="46"/>
      <c r="U98" s="46"/>
      <c r="V98" s="46"/>
      <c r="W98" s="46">
        <v>490901.35</v>
      </c>
      <c r="X98" s="46">
        <v>1</v>
      </c>
      <c r="Y98" s="46">
        <v>490901.35</v>
      </c>
      <c r="Z98" s="46"/>
      <c r="AA98" s="46"/>
      <c r="AB98" s="46"/>
    </row>
    <row r="99" spans="1:28" ht="13" x14ac:dyDescent="0.3">
      <c r="A99" s="46">
        <v>50</v>
      </c>
      <c r="B99" s="46">
        <v>0</v>
      </c>
      <c r="C99" s="46">
        <v>0</v>
      </c>
      <c r="D99" s="46">
        <v>1</v>
      </c>
      <c r="E99" s="46">
        <v>226</v>
      </c>
      <c r="F99" s="46">
        <f>ROUND(Source!AW93,O99)</f>
        <v>490901.35</v>
      </c>
      <c r="G99" s="46" t="s">
        <v>222</v>
      </c>
      <c r="H99" s="46" t="s">
        <v>223</v>
      </c>
      <c r="I99" s="46"/>
      <c r="J99" s="46"/>
      <c r="K99" s="46">
        <v>226</v>
      </c>
      <c r="L99" s="46">
        <v>5</v>
      </c>
      <c r="M99" s="46">
        <v>3</v>
      </c>
      <c r="N99" s="46" t="s">
        <v>30</v>
      </c>
      <c r="O99" s="46">
        <v>2</v>
      </c>
      <c r="P99" s="46"/>
      <c r="Q99" s="46"/>
      <c r="R99" s="46"/>
      <c r="S99" s="46"/>
      <c r="T99" s="46"/>
      <c r="U99" s="46"/>
      <c r="V99" s="46"/>
      <c r="W99" s="46">
        <v>490901.35</v>
      </c>
      <c r="X99" s="46">
        <v>1</v>
      </c>
      <c r="Y99" s="46">
        <v>490901.35</v>
      </c>
      <c r="Z99" s="46"/>
      <c r="AA99" s="46"/>
      <c r="AB99" s="46"/>
    </row>
    <row r="100" spans="1:28" ht="13" x14ac:dyDescent="0.3">
      <c r="A100" s="46">
        <v>50</v>
      </c>
      <c r="B100" s="46">
        <v>0</v>
      </c>
      <c r="C100" s="46">
        <v>0</v>
      </c>
      <c r="D100" s="46">
        <v>1</v>
      </c>
      <c r="E100" s="46">
        <v>227</v>
      </c>
      <c r="F100" s="46">
        <f>ROUND(Source!AX93,O100)</f>
        <v>0</v>
      </c>
      <c r="G100" s="46" t="s">
        <v>224</v>
      </c>
      <c r="H100" s="46" t="s">
        <v>225</v>
      </c>
      <c r="I100" s="46"/>
      <c r="J100" s="46"/>
      <c r="K100" s="46">
        <v>227</v>
      </c>
      <c r="L100" s="46">
        <v>6</v>
      </c>
      <c r="M100" s="46">
        <v>3</v>
      </c>
      <c r="N100" s="46" t="s">
        <v>30</v>
      </c>
      <c r="O100" s="46">
        <v>2</v>
      </c>
      <c r="P100" s="46"/>
      <c r="Q100" s="46"/>
      <c r="R100" s="46"/>
      <c r="S100" s="46"/>
      <c r="T100" s="46"/>
      <c r="U100" s="46"/>
      <c r="V100" s="46"/>
      <c r="W100" s="46">
        <v>0</v>
      </c>
      <c r="X100" s="46">
        <v>1</v>
      </c>
      <c r="Y100" s="46">
        <v>0</v>
      </c>
      <c r="Z100" s="46"/>
      <c r="AA100" s="46"/>
      <c r="AB100" s="46"/>
    </row>
    <row r="101" spans="1:28" ht="13" x14ac:dyDescent="0.3">
      <c r="A101" s="46">
        <v>50</v>
      </c>
      <c r="B101" s="46">
        <v>0</v>
      </c>
      <c r="C101" s="46">
        <v>0</v>
      </c>
      <c r="D101" s="46">
        <v>1</v>
      </c>
      <c r="E101" s="46">
        <v>228</v>
      </c>
      <c r="F101" s="46">
        <f>ROUND(Source!AY93,O101)</f>
        <v>490901.35</v>
      </c>
      <c r="G101" s="46" t="s">
        <v>226</v>
      </c>
      <c r="H101" s="46" t="s">
        <v>227</v>
      </c>
      <c r="I101" s="46"/>
      <c r="J101" s="46"/>
      <c r="K101" s="46">
        <v>228</v>
      </c>
      <c r="L101" s="46">
        <v>7</v>
      </c>
      <c r="M101" s="46">
        <v>3</v>
      </c>
      <c r="N101" s="46" t="s">
        <v>30</v>
      </c>
      <c r="O101" s="46">
        <v>2</v>
      </c>
      <c r="P101" s="46"/>
      <c r="Q101" s="46"/>
      <c r="R101" s="46"/>
      <c r="S101" s="46"/>
      <c r="T101" s="46"/>
      <c r="U101" s="46"/>
      <c r="V101" s="46"/>
      <c r="W101" s="46">
        <v>490901.35</v>
      </c>
      <c r="X101" s="46">
        <v>1</v>
      </c>
      <c r="Y101" s="46">
        <v>490901.35</v>
      </c>
      <c r="Z101" s="46"/>
      <c r="AA101" s="46"/>
      <c r="AB101" s="46"/>
    </row>
    <row r="102" spans="1:28" ht="13" x14ac:dyDescent="0.3">
      <c r="A102" s="46">
        <v>50</v>
      </c>
      <c r="B102" s="46">
        <v>0</v>
      </c>
      <c r="C102" s="46">
        <v>0</v>
      </c>
      <c r="D102" s="46">
        <v>1</v>
      </c>
      <c r="E102" s="46">
        <v>216</v>
      </c>
      <c r="F102" s="46">
        <f>ROUND(Source!AP93,O102)</f>
        <v>0</v>
      </c>
      <c r="G102" s="46" t="s">
        <v>228</v>
      </c>
      <c r="H102" s="46" t="s">
        <v>229</v>
      </c>
      <c r="I102" s="46"/>
      <c r="J102" s="46"/>
      <c r="K102" s="46">
        <v>216</v>
      </c>
      <c r="L102" s="46">
        <v>8</v>
      </c>
      <c r="M102" s="46">
        <v>3</v>
      </c>
      <c r="N102" s="46" t="s">
        <v>30</v>
      </c>
      <c r="O102" s="46">
        <v>2</v>
      </c>
      <c r="P102" s="46"/>
      <c r="Q102" s="46"/>
      <c r="R102" s="46"/>
      <c r="S102" s="46"/>
      <c r="T102" s="46"/>
      <c r="U102" s="46"/>
      <c r="V102" s="46"/>
      <c r="W102" s="46">
        <v>0</v>
      </c>
      <c r="X102" s="46">
        <v>1</v>
      </c>
      <c r="Y102" s="46">
        <v>0</v>
      </c>
      <c r="Z102" s="46"/>
      <c r="AA102" s="46"/>
      <c r="AB102" s="46"/>
    </row>
    <row r="103" spans="1:28" ht="13" x14ac:dyDescent="0.3">
      <c r="A103" s="46">
        <v>50</v>
      </c>
      <c r="B103" s="46">
        <v>0</v>
      </c>
      <c r="C103" s="46">
        <v>0</v>
      </c>
      <c r="D103" s="46">
        <v>1</v>
      </c>
      <c r="E103" s="46">
        <v>223</v>
      </c>
      <c r="F103" s="46">
        <f>ROUND(Source!AQ93,O103)</f>
        <v>0</v>
      </c>
      <c r="G103" s="46" t="s">
        <v>230</v>
      </c>
      <c r="H103" s="46" t="s">
        <v>231</v>
      </c>
      <c r="I103" s="46"/>
      <c r="J103" s="46"/>
      <c r="K103" s="46">
        <v>223</v>
      </c>
      <c r="L103" s="46">
        <v>9</v>
      </c>
      <c r="M103" s="46">
        <v>3</v>
      </c>
      <c r="N103" s="46" t="s">
        <v>30</v>
      </c>
      <c r="O103" s="46">
        <v>2</v>
      </c>
      <c r="P103" s="46"/>
      <c r="Q103" s="46"/>
      <c r="R103" s="46"/>
      <c r="S103" s="46"/>
      <c r="T103" s="46"/>
      <c r="U103" s="46"/>
      <c r="V103" s="46"/>
      <c r="W103" s="46">
        <v>0</v>
      </c>
      <c r="X103" s="46">
        <v>1</v>
      </c>
      <c r="Y103" s="46">
        <v>0</v>
      </c>
      <c r="Z103" s="46"/>
      <c r="AA103" s="46"/>
      <c r="AB103" s="46"/>
    </row>
    <row r="104" spans="1:28" ht="13" x14ac:dyDescent="0.3">
      <c r="A104" s="46">
        <v>50</v>
      </c>
      <c r="B104" s="46">
        <v>0</v>
      </c>
      <c r="C104" s="46">
        <v>0</v>
      </c>
      <c r="D104" s="46">
        <v>1</v>
      </c>
      <c r="E104" s="46">
        <v>229</v>
      </c>
      <c r="F104" s="46">
        <f>ROUND(Source!AZ93,O104)</f>
        <v>0</v>
      </c>
      <c r="G104" s="46" t="s">
        <v>232</v>
      </c>
      <c r="H104" s="46" t="s">
        <v>233</v>
      </c>
      <c r="I104" s="46"/>
      <c r="J104" s="46"/>
      <c r="K104" s="46">
        <v>229</v>
      </c>
      <c r="L104" s="46">
        <v>10</v>
      </c>
      <c r="M104" s="46">
        <v>3</v>
      </c>
      <c r="N104" s="46" t="s">
        <v>30</v>
      </c>
      <c r="O104" s="46">
        <v>2</v>
      </c>
      <c r="P104" s="46"/>
      <c r="Q104" s="46"/>
      <c r="R104" s="46"/>
      <c r="S104" s="46"/>
      <c r="T104" s="46"/>
      <c r="U104" s="46"/>
      <c r="V104" s="46"/>
      <c r="W104" s="46">
        <v>0</v>
      </c>
      <c r="X104" s="46">
        <v>1</v>
      </c>
      <c r="Y104" s="46">
        <v>0</v>
      </c>
      <c r="Z104" s="46"/>
      <c r="AA104" s="46"/>
      <c r="AB104" s="46"/>
    </row>
    <row r="105" spans="1:28" ht="13" x14ac:dyDescent="0.3">
      <c r="A105" s="46">
        <v>50</v>
      </c>
      <c r="B105" s="46">
        <v>0</v>
      </c>
      <c r="C105" s="46">
        <v>0</v>
      </c>
      <c r="D105" s="46">
        <v>1</v>
      </c>
      <c r="E105" s="46">
        <v>203</v>
      </c>
      <c r="F105" s="46">
        <f>ROUND(Source!Q93,O105)</f>
        <v>203882.83</v>
      </c>
      <c r="G105" s="46" t="s">
        <v>234</v>
      </c>
      <c r="H105" s="46" t="s">
        <v>235</v>
      </c>
      <c r="I105" s="46"/>
      <c r="J105" s="46"/>
      <c r="K105" s="46">
        <v>203</v>
      </c>
      <c r="L105" s="46">
        <v>11</v>
      </c>
      <c r="M105" s="46">
        <v>3</v>
      </c>
      <c r="N105" s="46" t="s">
        <v>30</v>
      </c>
      <c r="O105" s="46">
        <v>2</v>
      </c>
      <c r="P105" s="46"/>
      <c r="Q105" s="46"/>
      <c r="R105" s="46"/>
      <c r="S105" s="46"/>
      <c r="T105" s="46"/>
      <c r="U105" s="46"/>
      <c r="V105" s="46"/>
      <c r="W105" s="46">
        <v>203882.83</v>
      </c>
      <c r="X105" s="46">
        <v>1</v>
      </c>
      <c r="Y105" s="46">
        <v>203882.83</v>
      </c>
      <c r="Z105" s="46"/>
      <c r="AA105" s="46"/>
      <c r="AB105" s="46"/>
    </row>
    <row r="106" spans="1:28" ht="13" x14ac:dyDescent="0.3">
      <c r="A106" s="46">
        <v>50</v>
      </c>
      <c r="B106" s="46">
        <v>0</v>
      </c>
      <c r="C106" s="46">
        <v>0</v>
      </c>
      <c r="D106" s="46">
        <v>1</v>
      </c>
      <c r="E106" s="46">
        <v>231</v>
      </c>
      <c r="F106" s="46">
        <f>ROUND(Source!BB93,O106)</f>
        <v>0</v>
      </c>
      <c r="G106" s="46" t="s">
        <v>236</v>
      </c>
      <c r="H106" s="46" t="s">
        <v>237</v>
      </c>
      <c r="I106" s="46"/>
      <c r="J106" s="46"/>
      <c r="K106" s="46">
        <v>231</v>
      </c>
      <c r="L106" s="46">
        <v>12</v>
      </c>
      <c r="M106" s="46">
        <v>3</v>
      </c>
      <c r="N106" s="46" t="s">
        <v>30</v>
      </c>
      <c r="O106" s="46">
        <v>2</v>
      </c>
      <c r="P106" s="46"/>
      <c r="Q106" s="46"/>
      <c r="R106" s="46"/>
      <c r="S106" s="46"/>
      <c r="T106" s="46"/>
      <c r="U106" s="46"/>
      <c r="V106" s="46"/>
      <c r="W106" s="46">
        <v>0</v>
      </c>
      <c r="X106" s="46">
        <v>1</v>
      </c>
      <c r="Y106" s="46">
        <v>0</v>
      </c>
      <c r="Z106" s="46"/>
      <c r="AA106" s="46"/>
      <c r="AB106" s="46"/>
    </row>
    <row r="107" spans="1:28" ht="13" x14ac:dyDescent="0.3">
      <c r="A107" s="46">
        <v>50</v>
      </c>
      <c r="B107" s="46">
        <v>0</v>
      </c>
      <c r="C107" s="46">
        <v>0</v>
      </c>
      <c r="D107" s="46">
        <v>1</v>
      </c>
      <c r="E107" s="46">
        <v>204</v>
      </c>
      <c r="F107" s="46">
        <f>ROUND(Source!R93,O107)</f>
        <v>111780.15</v>
      </c>
      <c r="G107" s="46" t="s">
        <v>238</v>
      </c>
      <c r="H107" s="46" t="s">
        <v>239</v>
      </c>
      <c r="I107" s="46"/>
      <c r="J107" s="46"/>
      <c r="K107" s="46">
        <v>204</v>
      </c>
      <c r="L107" s="46">
        <v>13</v>
      </c>
      <c r="M107" s="46">
        <v>3</v>
      </c>
      <c r="N107" s="46" t="s">
        <v>30</v>
      </c>
      <c r="O107" s="46">
        <v>2</v>
      </c>
      <c r="P107" s="46"/>
      <c r="Q107" s="46"/>
      <c r="R107" s="46"/>
      <c r="S107" s="46"/>
      <c r="T107" s="46"/>
      <c r="U107" s="46"/>
      <c r="V107" s="46"/>
      <c r="W107" s="46">
        <v>111780.15</v>
      </c>
      <c r="X107" s="46">
        <v>1</v>
      </c>
      <c r="Y107" s="46">
        <v>111780.15</v>
      </c>
      <c r="Z107" s="46"/>
      <c r="AA107" s="46"/>
      <c r="AB107" s="46"/>
    </row>
    <row r="108" spans="1:28" ht="13" x14ac:dyDescent="0.3">
      <c r="A108" s="46">
        <v>50</v>
      </c>
      <c r="B108" s="46">
        <v>0</v>
      </c>
      <c r="C108" s="46">
        <v>0</v>
      </c>
      <c r="D108" s="46">
        <v>1</v>
      </c>
      <c r="E108" s="46">
        <v>205</v>
      </c>
      <c r="F108" s="46">
        <f>ROUND(Source!S93,O108)</f>
        <v>110274.81</v>
      </c>
      <c r="G108" s="46" t="s">
        <v>240</v>
      </c>
      <c r="H108" s="46" t="s">
        <v>241</v>
      </c>
      <c r="I108" s="46"/>
      <c r="J108" s="46"/>
      <c r="K108" s="46">
        <v>205</v>
      </c>
      <c r="L108" s="46">
        <v>14</v>
      </c>
      <c r="M108" s="46">
        <v>3</v>
      </c>
      <c r="N108" s="46" t="s">
        <v>30</v>
      </c>
      <c r="O108" s="46">
        <v>2</v>
      </c>
      <c r="P108" s="46"/>
      <c r="Q108" s="46"/>
      <c r="R108" s="46"/>
      <c r="S108" s="46"/>
      <c r="T108" s="46"/>
      <c r="U108" s="46"/>
      <c r="V108" s="46"/>
      <c r="W108" s="46">
        <v>110274.81</v>
      </c>
      <c r="X108" s="46">
        <v>1</v>
      </c>
      <c r="Y108" s="46">
        <v>110274.81</v>
      </c>
      <c r="Z108" s="46"/>
      <c r="AA108" s="46"/>
      <c r="AB108" s="46"/>
    </row>
    <row r="109" spans="1:28" ht="13" x14ac:dyDescent="0.3">
      <c r="A109" s="46">
        <v>50</v>
      </c>
      <c r="B109" s="46">
        <v>0</v>
      </c>
      <c r="C109" s="46">
        <v>0</v>
      </c>
      <c r="D109" s="46">
        <v>1</v>
      </c>
      <c r="E109" s="46">
        <v>232</v>
      </c>
      <c r="F109" s="46">
        <f>ROUND(Source!BC93,O109)</f>
        <v>0</v>
      </c>
      <c r="G109" s="46" t="s">
        <v>242</v>
      </c>
      <c r="H109" s="46" t="s">
        <v>243</v>
      </c>
      <c r="I109" s="46"/>
      <c r="J109" s="46"/>
      <c r="K109" s="46">
        <v>232</v>
      </c>
      <c r="L109" s="46">
        <v>15</v>
      </c>
      <c r="M109" s="46">
        <v>3</v>
      </c>
      <c r="N109" s="46" t="s">
        <v>30</v>
      </c>
      <c r="O109" s="46">
        <v>2</v>
      </c>
      <c r="P109" s="46"/>
      <c r="Q109" s="46"/>
      <c r="R109" s="46"/>
      <c r="S109" s="46"/>
      <c r="T109" s="46"/>
      <c r="U109" s="46"/>
      <c r="V109" s="46"/>
      <c r="W109" s="46">
        <v>0</v>
      </c>
      <c r="X109" s="46">
        <v>1</v>
      </c>
      <c r="Y109" s="46">
        <v>0</v>
      </c>
      <c r="Z109" s="46"/>
      <c r="AA109" s="46"/>
      <c r="AB109" s="46"/>
    </row>
    <row r="110" spans="1:28" ht="13" x14ac:dyDescent="0.3">
      <c r="A110" s="46">
        <v>50</v>
      </c>
      <c r="B110" s="46">
        <v>0</v>
      </c>
      <c r="C110" s="46">
        <v>0</v>
      </c>
      <c r="D110" s="46">
        <v>1</v>
      </c>
      <c r="E110" s="46">
        <v>214</v>
      </c>
      <c r="F110" s="46">
        <f>ROUND(Source!AS93,O110)</f>
        <v>0</v>
      </c>
      <c r="G110" s="46" t="s">
        <v>244</v>
      </c>
      <c r="H110" s="46" t="s">
        <v>245</v>
      </c>
      <c r="I110" s="46"/>
      <c r="J110" s="46"/>
      <c r="K110" s="46">
        <v>214</v>
      </c>
      <c r="L110" s="46">
        <v>16</v>
      </c>
      <c r="M110" s="46">
        <v>3</v>
      </c>
      <c r="N110" s="46" t="s">
        <v>30</v>
      </c>
      <c r="O110" s="46">
        <v>2</v>
      </c>
      <c r="P110" s="46"/>
      <c r="Q110" s="46"/>
      <c r="R110" s="46"/>
      <c r="S110" s="46"/>
      <c r="T110" s="46"/>
      <c r="U110" s="46"/>
      <c r="V110" s="46"/>
      <c r="W110" s="46">
        <v>0</v>
      </c>
      <c r="X110" s="46">
        <v>1</v>
      </c>
      <c r="Y110" s="46">
        <v>0</v>
      </c>
      <c r="Z110" s="46"/>
      <c r="AA110" s="46"/>
      <c r="AB110" s="46"/>
    </row>
    <row r="111" spans="1:28" ht="13" x14ac:dyDescent="0.3">
      <c r="A111" s="46">
        <v>50</v>
      </c>
      <c r="B111" s="46">
        <v>0</v>
      </c>
      <c r="C111" s="46">
        <v>0</v>
      </c>
      <c r="D111" s="46">
        <v>1</v>
      </c>
      <c r="E111" s="46">
        <v>215</v>
      </c>
      <c r="F111" s="46">
        <f>ROUND(Source!AT93,O111)</f>
        <v>0</v>
      </c>
      <c r="G111" s="46" t="s">
        <v>246</v>
      </c>
      <c r="H111" s="46" t="s">
        <v>247</v>
      </c>
      <c r="I111" s="46"/>
      <c r="J111" s="46"/>
      <c r="K111" s="46">
        <v>215</v>
      </c>
      <c r="L111" s="46">
        <v>17</v>
      </c>
      <c r="M111" s="46">
        <v>3</v>
      </c>
      <c r="N111" s="46" t="s">
        <v>30</v>
      </c>
      <c r="O111" s="46">
        <v>2</v>
      </c>
      <c r="P111" s="46"/>
      <c r="Q111" s="46"/>
      <c r="R111" s="46"/>
      <c r="S111" s="46"/>
      <c r="T111" s="46"/>
      <c r="U111" s="46"/>
      <c r="V111" s="46"/>
      <c r="W111" s="46">
        <v>0</v>
      </c>
      <c r="X111" s="46">
        <v>1</v>
      </c>
      <c r="Y111" s="46">
        <v>0</v>
      </c>
      <c r="Z111" s="46"/>
      <c r="AA111" s="46"/>
      <c r="AB111" s="46"/>
    </row>
    <row r="112" spans="1:28" ht="13" x14ac:dyDescent="0.3">
      <c r="A112" s="46">
        <v>50</v>
      </c>
      <c r="B112" s="46">
        <v>0</v>
      </c>
      <c r="C112" s="46">
        <v>0</v>
      </c>
      <c r="D112" s="46">
        <v>1</v>
      </c>
      <c r="E112" s="46">
        <v>217</v>
      </c>
      <c r="F112" s="46">
        <f>ROUND(Source!AU93,O112)</f>
        <v>935756.27</v>
      </c>
      <c r="G112" s="46" t="s">
        <v>248</v>
      </c>
      <c r="H112" s="46" t="s">
        <v>249</v>
      </c>
      <c r="I112" s="46"/>
      <c r="J112" s="46"/>
      <c r="K112" s="46">
        <v>217</v>
      </c>
      <c r="L112" s="46">
        <v>18</v>
      </c>
      <c r="M112" s="46">
        <v>3</v>
      </c>
      <c r="N112" s="46" t="s">
        <v>30</v>
      </c>
      <c r="O112" s="46">
        <v>2</v>
      </c>
      <c r="P112" s="46"/>
      <c r="Q112" s="46"/>
      <c r="R112" s="46"/>
      <c r="S112" s="46"/>
      <c r="T112" s="46"/>
      <c r="U112" s="46"/>
      <c r="V112" s="46"/>
      <c r="W112" s="46">
        <v>935756.27</v>
      </c>
      <c r="X112" s="46">
        <v>1</v>
      </c>
      <c r="Y112" s="46">
        <v>935756.27</v>
      </c>
      <c r="Z112" s="46"/>
      <c r="AA112" s="46"/>
      <c r="AB112" s="46"/>
    </row>
    <row r="113" spans="1:28" ht="13" x14ac:dyDescent="0.3">
      <c r="A113" s="46">
        <v>50</v>
      </c>
      <c r="B113" s="46">
        <v>0</v>
      </c>
      <c r="C113" s="46">
        <v>0</v>
      </c>
      <c r="D113" s="46">
        <v>1</v>
      </c>
      <c r="E113" s="46">
        <v>230</v>
      </c>
      <c r="F113" s="46">
        <f>ROUND(Source!BA93,O113)</f>
        <v>0</v>
      </c>
      <c r="G113" s="46" t="s">
        <v>250</v>
      </c>
      <c r="H113" s="46" t="s">
        <v>251</v>
      </c>
      <c r="I113" s="46"/>
      <c r="J113" s="46"/>
      <c r="K113" s="46">
        <v>230</v>
      </c>
      <c r="L113" s="46">
        <v>19</v>
      </c>
      <c r="M113" s="46">
        <v>3</v>
      </c>
      <c r="N113" s="46" t="s">
        <v>30</v>
      </c>
      <c r="O113" s="46">
        <v>2</v>
      </c>
      <c r="P113" s="46"/>
      <c r="Q113" s="46"/>
      <c r="R113" s="46"/>
      <c r="S113" s="46"/>
      <c r="T113" s="46"/>
      <c r="U113" s="46"/>
      <c r="V113" s="46"/>
      <c r="W113" s="46">
        <v>0</v>
      </c>
      <c r="X113" s="46">
        <v>1</v>
      </c>
      <c r="Y113" s="46">
        <v>0</v>
      </c>
      <c r="Z113" s="46"/>
      <c r="AA113" s="46"/>
      <c r="AB113" s="46"/>
    </row>
    <row r="114" spans="1:28" ht="13" x14ac:dyDescent="0.3">
      <c r="A114" s="46">
        <v>50</v>
      </c>
      <c r="B114" s="46">
        <v>0</v>
      </c>
      <c r="C114" s="46">
        <v>0</v>
      </c>
      <c r="D114" s="46">
        <v>1</v>
      </c>
      <c r="E114" s="46">
        <v>206</v>
      </c>
      <c r="F114" s="46">
        <f>ROUND(Source!T93,O114)</f>
        <v>0</v>
      </c>
      <c r="G114" s="46" t="s">
        <v>252</v>
      </c>
      <c r="H114" s="46" t="s">
        <v>253</v>
      </c>
      <c r="I114" s="46"/>
      <c r="J114" s="46"/>
      <c r="K114" s="46">
        <v>206</v>
      </c>
      <c r="L114" s="46">
        <v>20</v>
      </c>
      <c r="M114" s="46">
        <v>3</v>
      </c>
      <c r="N114" s="46" t="s">
        <v>30</v>
      </c>
      <c r="O114" s="46">
        <v>2</v>
      </c>
      <c r="P114" s="46"/>
      <c r="Q114" s="46"/>
      <c r="R114" s="46"/>
      <c r="S114" s="46"/>
      <c r="T114" s="46"/>
      <c r="U114" s="46"/>
      <c r="V114" s="46"/>
      <c r="W114" s="46">
        <v>0</v>
      </c>
      <c r="X114" s="46">
        <v>1</v>
      </c>
      <c r="Y114" s="46">
        <v>0</v>
      </c>
      <c r="Z114" s="46"/>
      <c r="AA114" s="46"/>
      <c r="AB114" s="46"/>
    </row>
    <row r="115" spans="1:28" ht="13" x14ac:dyDescent="0.3">
      <c r="A115" s="46">
        <v>50</v>
      </c>
      <c r="B115" s="46">
        <v>0</v>
      </c>
      <c r="C115" s="46">
        <v>0</v>
      </c>
      <c r="D115" s="46">
        <v>1</v>
      </c>
      <c r="E115" s="46">
        <v>207</v>
      </c>
      <c r="F115" s="46">
        <f>Source!U93</f>
        <v>512.13840000000005</v>
      </c>
      <c r="G115" s="46" t="s">
        <v>254</v>
      </c>
      <c r="H115" s="46" t="s">
        <v>255</v>
      </c>
      <c r="I115" s="46"/>
      <c r="J115" s="46"/>
      <c r="K115" s="46">
        <v>207</v>
      </c>
      <c r="L115" s="46">
        <v>21</v>
      </c>
      <c r="M115" s="46">
        <v>3</v>
      </c>
      <c r="N115" s="46" t="s">
        <v>30</v>
      </c>
      <c r="O115" s="46">
        <v>-1</v>
      </c>
      <c r="P115" s="46"/>
      <c r="Q115" s="46"/>
      <c r="R115" s="46"/>
      <c r="S115" s="46"/>
      <c r="T115" s="46"/>
      <c r="U115" s="46"/>
      <c r="V115" s="46"/>
      <c r="W115" s="46">
        <v>512.13840000000005</v>
      </c>
      <c r="X115" s="46">
        <v>1</v>
      </c>
      <c r="Y115" s="46">
        <v>512.13840000000005</v>
      </c>
      <c r="Z115" s="46"/>
      <c r="AA115" s="46"/>
      <c r="AB115" s="46"/>
    </row>
    <row r="116" spans="1:28" ht="13" x14ac:dyDescent="0.3">
      <c r="A116" s="46">
        <v>50</v>
      </c>
      <c r="B116" s="46">
        <v>0</v>
      </c>
      <c r="C116" s="46">
        <v>0</v>
      </c>
      <c r="D116" s="46">
        <v>1</v>
      </c>
      <c r="E116" s="46">
        <v>208</v>
      </c>
      <c r="F116" s="46">
        <f>Source!V93</f>
        <v>0</v>
      </c>
      <c r="G116" s="46" t="s">
        <v>256</v>
      </c>
      <c r="H116" s="46" t="s">
        <v>257</v>
      </c>
      <c r="I116" s="46"/>
      <c r="J116" s="46"/>
      <c r="K116" s="46">
        <v>208</v>
      </c>
      <c r="L116" s="46">
        <v>22</v>
      </c>
      <c r="M116" s="46">
        <v>3</v>
      </c>
      <c r="N116" s="46" t="s">
        <v>30</v>
      </c>
      <c r="O116" s="46">
        <v>-1</v>
      </c>
      <c r="P116" s="46"/>
      <c r="Q116" s="46"/>
      <c r="R116" s="46"/>
      <c r="S116" s="46"/>
      <c r="T116" s="46"/>
      <c r="U116" s="46"/>
      <c r="V116" s="46"/>
      <c r="W116" s="46">
        <v>0</v>
      </c>
      <c r="X116" s="46">
        <v>1</v>
      </c>
      <c r="Y116" s="46">
        <v>0</v>
      </c>
      <c r="Z116" s="46"/>
      <c r="AA116" s="46"/>
      <c r="AB116" s="46"/>
    </row>
    <row r="117" spans="1:28" ht="13" x14ac:dyDescent="0.3">
      <c r="A117" s="46">
        <v>50</v>
      </c>
      <c r="B117" s="46">
        <v>0</v>
      </c>
      <c r="C117" s="46">
        <v>0</v>
      </c>
      <c r="D117" s="46">
        <v>1</v>
      </c>
      <c r="E117" s="46">
        <v>209</v>
      </c>
      <c r="F117" s="46">
        <f>ROUND(Source!W93,O117)</f>
        <v>0</v>
      </c>
      <c r="G117" s="46" t="s">
        <v>258</v>
      </c>
      <c r="H117" s="46" t="s">
        <v>259</v>
      </c>
      <c r="I117" s="46"/>
      <c r="J117" s="46"/>
      <c r="K117" s="46">
        <v>209</v>
      </c>
      <c r="L117" s="46">
        <v>23</v>
      </c>
      <c r="M117" s="46">
        <v>3</v>
      </c>
      <c r="N117" s="46" t="s">
        <v>30</v>
      </c>
      <c r="O117" s="46">
        <v>2</v>
      </c>
      <c r="P117" s="46"/>
      <c r="Q117" s="46"/>
      <c r="R117" s="46"/>
      <c r="S117" s="46"/>
      <c r="T117" s="46"/>
      <c r="U117" s="46"/>
      <c r="V117" s="46"/>
      <c r="W117" s="46">
        <v>0</v>
      </c>
      <c r="X117" s="46">
        <v>1</v>
      </c>
      <c r="Y117" s="46">
        <v>0</v>
      </c>
      <c r="Z117" s="46"/>
      <c r="AA117" s="46"/>
      <c r="AB117" s="46"/>
    </row>
    <row r="118" spans="1:28" ht="13" x14ac:dyDescent="0.3">
      <c r="A118" s="46">
        <v>50</v>
      </c>
      <c r="B118" s="46">
        <v>0</v>
      </c>
      <c r="C118" s="46">
        <v>0</v>
      </c>
      <c r="D118" s="46">
        <v>1</v>
      </c>
      <c r="E118" s="46">
        <v>233</v>
      </c>
      <c r="F118" s="46">
        <f>ROUND(Source!BD93,O118)</f>
        <v>0</v>
      </c>
      <c r="G118" s="46" t="s">
        <v>260</v>
      </c>
      <c r="H118" s="46" t="s">
        <v>261</v>
      </c>
      <c r="I118" s="46"/>
      <c r="J118" s="46"/>
      <c r="K118" s="46">
        <v>233</v>
      </c>
      <c r="L118" s="46">
        <v>24</v>
      </c>
      <c r="M118" s="46">
        <v>3</v>
      </c>
      <c r="N118" s="46" t="s">
        <v>30</v>
      </c>
      <c r="O118" s="46">
        <v>2</v>
      </c>
      <c r="P118" s="46"/>
      <c r="Q118" s="46"/>
      <c r="R118" s="46"/>
      <c r="S118" s="46"/>
      <c r="T118" s="46"/>
      <c r="U118" s="46"/>
      <c r="V118" s="46"/>
      <c r="W118" s="46">
        <v>0</v>
      </c>
      <c r="X118" s="46">
        <v>1</v>
      </c>
      <c r="Y118" s="46">
        <v>0</v>
      </c>
      <c r="Z118" s="46"/>
      <c r="AA118" s="46"/>
      <c r="AB118" s="46"/>
    </row>
    <row r="119" spans="1:28" ht="13" x14ac:dyDescent="0.3">
      <c r="A119" s="46">
        <v>50</v>
      </c>
      <c r="B119" s="46">
        <v>0</v>
      </c>
      <c r="C119" s="46">
        <v>0</v>
      </c>
      <c r="D119" s="46">
        <v>1</v>
      </c>
      <c r="E119" s="46">
        <v>210</v>
      </c>
      <c r="F119" s="46">
        <f>ROUND(Source!X93,O119)</f>
        <v>77192.36</v>
      </c>
      <c r="G119" s="46" t="s">
        <v>262</v>
      </c>
      <c r="H119" s="46" t="s">
        <v>263</v>
      </c>
      <c r="I119" s="46"/>
      <c r="J119" s="46"/>
      <c r="K119" s="46">
        <v>210</v>
      </c>
      <c r="L119" s="46">
        <v>25</v>
      </c>
      <c r="M119" s="46">
        <v>3</v>
      </c>
      <c r="N119" s="46" t="s">
        <v>30</v>
      </c>
      <c r="O119" s="46">
        <v>2</v>
      </c>
      <c r="P119" s="46"/>
      <c r="Q119" s="46"/>
      <c r="R119" s="46"/>
      <c r="S119" s="46"/>
      <c r="T119" s="46"/>
      <c r="U119" s="46"/>
      <c r="V119" s="46"/>
      <c r="W119" s="46">
        <v>77192.36</v>
      </c>
      <c r="X119" s="46">
        <v>1</v>
      </c>
      <c r="Y119" s="46">
        <v>77192.36</v>
      </c>
      <c r="Z119" s="46"/>
      <c r="AA119" s="46"/>
      <c r="AB119" s="46"/>
    </row>
    <row r="120" spans="1:28" ht="13" x14ac:dyDescent="0.3">
      <c r="A120" s="46">
        <v>50</v>
      </c>
      <c r="B120" s="46">
        <v>0</v>
      </c>
      <c r="C120" s="46">
        <v>0</v>
      </c>
      <c r="D120" s="46">
        <v>1</v>
      </c>
      <c r="E120" s="46">
        <v>211</v>
      </c>
      <c r="F120" s="46">
        <f>ROUND(Source!Y93,O120)</f>
        <v>11027.48</v>
      </c>
      <c r="G120" s="46" t="s">
        <v>264</v>
      </c>
      <c r="H120" s="46" t="s">
        <v>265</v>
      </c>
      <c r="I120" s="46"/>
      <c r="J120" s="46"/>
      <c r="K120" s="46">
        <v>211</v>
      </c>
      <c r="L120" s="46">
        <v>26</v>
      </c>
      <c r="M120" s="46">
        <v>3</v>
      </c>
      <c r="N120" s="46" t="s">
        <v>30</v>
      </c>
      <c r="O120" s="46">
        <v>2</v>
      </c>
      <c r="P120" s="46"/>
      <c r="Q120" s="46"/>
      <c r="R120" s="46"/>
      <c r="S120" s="46"/>
      <c r="T120" s="46"/>
      <c r="U120" s="46"/>
      <c r="V120" s="46"/>
      <c r="W120" s="46">
        <v>11027.48</v>
      </c>
      <c r="X120" s="46">
        <v>1</v>
      </c>
      <c r="Y120" s="46">
        <v>11027.48</v>
      </c>
      <c r="Z120" s="46"/>
      <c r="AA120" s="46"/>
      <c r="AB120" s="46"/>
    </row>
    <row r="121" spans="1:28" ht="13" x14ac:dyDescent="0.3">
      <c r="A121" s="46">
        <v>50</v>
      </c>
      <c r="B121" s="46">
        <v>0</v>
      </c>
      <c r="C121" s="46">
        <v>0</v>
      </c>
      <c r="D121" s="46">
        <v>1</v>
      </c>
      <c r="E121" s="46">
        <v>224</v>
      </c>
      <c r="F121" s="46">
        <f>ROUND(Source!AR93,O121)</f>
        <v>935756.27</v>
      </c>
      <c r="G121" s="46" t="s">
        <v>266</v>
      </c>
      <c r="H121" s="46" t="s">
        <v>267</v>
      </c>
      <c r="I121" s="46"/>
      <c r="J121" s="46"/>
      <c r="K121" s="46">
        <v>224</v>
      </c>
      <c r="L121" s="46">
        <v>27</v>
      </c>
      <c r="M121" s="46">
        <v>3</v>
      </c>
      <c r="N121" s="46" t="s">
        <v>30</v>
      </c>
      <c r="O121" s="46">
        <v>2</v>
      </c>
      <c r="P121" s="46"/>
      <c r="Q121" s="46"/>
      <c r="R121" s="46"/>
      <c r="S121" s="46"/>
      <c r="T121" s="46"/>
      <c r="U121" s="46"/>
      <c r="V121" s="46"/>
      <c r="W121" s="46">
        <v>935756.27</v>
      </c>
      <c r="X121" s="46">
        <v>1</v>
      </c>
      <c r="Y121" s="46">
        <v>935756.27</v>
      </c>
      <c r="Z121" s="46"/>
      <c r="AA121" s="46"/>
      <c r="AB121" s="46"/>
    </row>
    <row r="122" spans="1:28" ht="13" x14ac:dyDescent="0.3">
      <c r="A122" s="46">
        <v>50</v>
      </c>
      <c r="B122" s="46">
        <v>1</v>
      </c>
      <c r="C122" s="46">
        <v>0</v>
      </c>
      <c r="D122" s="46">
        <v>2</v>
      </c>
      <c r="E122" s="46">
        <v>0</v>
      </c>
      <c r="F122" s="46">
        <f>ROUND(F121,O122)</f>
        <v>935756.27</v>
      </c>
      <c r="G122" s="46" t="s">
        <v>268</v>
      </c>
      <c r="H122" s="46" t="s">
        <v>269</v>
      </c>
      <c r="I122" s="46"/>
      <c r="J122" s="46"/>
      <c r="K122" s="46">
        <v>212</v>
      </c>
      <c r="L122" s="46">
        <v>28</v>
      </c>
      <c r="M122" s="46">
        <v>0</v>
      </c>
      <c r="N122" s="46" t="s">
        <v>30</v>
      </c>
      <c r="O122" s="46">
        <v>2</v>
      </c>
      <c r="P122" s="46"/>
      <c r="Q122" s="46"/>
      <c r="R122" s="46"/>
      <c r="S122" s="46"/>
      <c r="T122" s="46"/>
      <c r="U122" s="46"/>
      <c r="V122" s="46"/>
      <c r="W122" s="46">
        <v>935756.27</v>
      </c>
      <c r="X122" s="46">
        <v>1</v>
      </c>
      <c r="Y122" s="46">
        <v>935756.27</v>
      </c>
      <c r="Z122" s="46"/>
      <c r="AA122" s="46"/>
      <c r="AB122" s="46"/>
    </row>
    <row r="123" spans="1:28" ht="13" x14ac:dyDescent="0.3">
      <c r="A123" s="46">
        <v>50</v>
      </c>
      <c r="B123" s="46">
        <v>1</v>
      </c>
      <c r="C123" s="46">
        <v>0</v>
      </c>
      <c r="D123" s="46">
        <v>2</v>
      </c>
      <c r="E123" s="46">
        <v>0</v>
      </c>
      <c r="F123" s="46">
        <f>ROUND(F121-F108-F107,O123)</f>
        <v>713701.31</v>
      </c>
      <c r="G123" s="46" t="s">
        <v>270</v>
      </c>
      <c r="H123" s="46" t="s">
        <v>271</v>
      </c>
      <c r="I123" s="46"/>
      <c r="J123" s="46"/>
      <c r="K123" s="46">
        <v>212</v>
      </c>
      <c r="L123" s="46">
        <v>29</v>
      </c>
      <c r="M123" s="46">
        <v>0</v>
      </c>
      <c r="N123" s="46" t="s">
        <v>30</v>
      </c>
      <c r="O123" s="46">
        <v>2</v>
      </c>
      <c r="P123" s="46"/>
      <c r="Q123" s="46"/>
      <c r="R123" s="46"/>
      <c r="S123" s="46"/>
      <c r="T123" s="46"/>
      <c r="U123" s="46"/>
      <c r="V123" s="46"/>
      <c r="W123" s="46">
        <v>713701.31</v>
      </c>
      <c r="X123" s="46">
        <v>1</v>
      </c>
      <c r="Y123" s="46">
        <v>713701.31</v>
      </c>
      <c r="Z123" s="46"/>
      <c r="AA123" s="46"/>
      <c r="AB123" s="46"/>
    </row>
    <row r="124" spans="1:28" ht="13" x14ac:dyDescent="0.3">
      <c r="A124" s="46">
        <v>50</v>
      </c>
      <c r="B124" s="46">
        <v>1</v>
      </c>
      <c r="C124" s="46">
        <v>0</v>
      </c>
      <c r="D124" s="46">
        <v>2</v>
      </c>
      <c r="E124" s="46">
        <v>0</v>
      </c>
      <c r="F124" s="46">
        <f>ROUND(F120,O124)</f>
        <v>11027.48</v>
      </c>
      <c r="G124" s="46" t="s">
        <v>25</v>
      </c>
      <c r="H124" s="46" t="s">
        <v>25</v>
      </c>
      <c r="I124" s="46"/>
      <c r="J124" s="46"/>
      <c r="K124" s="46">
        <v>212</v>
      </c>
      <c r="L124" s="46">
        <v>30</v>
      </c>
      <c r="M124" s="46">
        <v>0</v>
      </c>
      <c r="N124" s="46" t="s">
        <v>30</v>
      </c>
      <c r="O124" s="46">
        <v>2</v>
      </c>
      <c r="P124" s="46"/>
      <c r="Q124" s="46"/>
      <c r="R124" s="46"/>
      <c r="S124" s="46"/>
      <c r="T124" s="46"/>
      <c r="U124" s="46"/>
      <c r="V124" s="46"/>
      <c r="W124" s="46">
        <v>11027.48</v>
      </c>
      <c r="X124" s="46">
        <v>1</v>
      </c>
      <c r="Y124" s="46">
        <v>11027.48</v>
      </c>
      <c r="Z124" s="46"/>
      <c r="AA124" s="46"/>
      <c r="AB124" s="46"/>
    </row>
    <row r="125" spans="1:28" ht="13" x14ac:dyDescent="0.3">
      <c r="A125" s="46">
        <v>50</v>
      </c>
      <c r="B125" s="46">
        <v>1</v>
      </c>
      <c r="C125" s="46">
        <v>0</v>
      </c>
      <c r="D125" s="46">
        <v>2</v>
      </c>
      <c r="E125" s="46">
        <v>0</v>
      </c>
      <c r="F125" s="46">
        <f>ROUND(F130*0.3,O125)</f>
        <v>33534.050000000003</v>
      </c>
      <c r="G125" s="46" t="s">
        <v>272</v>
      </c>
      <c r="H125" s="46" t="s">
        <v>272</v>
      </c>
      <c r="I125" s="46"/>
      <c r="J125" s="46"/>
      <c r="K125" s="46">
        <v>212</v>
      </c>
      <c r="L125" s="46">
        <v>31</v>
      </c>
      <c r="M125" s="46">
        <v>0</v>
      </c>
      <c r="N125" s="46" t="s">
        <v>30</v>
      </c>
      <c r="O125" s="46">
        <v>2</v>
      </c>
      <c r="P125" s="46"/>
      <c r="Q125" s="46"/>
      <c r="R125" s="46"/>
      <c r="S125" s="46"/>
      <c r="T125" s="46"/>
      <c r="U125" s="46"/>
      <c r="V125" s="46"/>
      <c r="W125" s="46">
        <v>33534.050000000003</v>
      </c>
      <c r="X125" s="46">
        <v>1</v>
      </c>
      <c r="Y125" s="46">
        <v>33534.050000000003</v>
      </c>
      <c r="Z125" s="46"/>
      <c r="AA125" s="46"/>
      <c r="AB125" s="46"/>
    </row>
    <row r="126" spans="1:28" ht="13" x14ac:dyDescent="0.3">
      <c r="A126" s="46">
        <v>50</v>
      </c>
      <c r="B126" s="46">
        <v>1</v>
      </c>
      <c r="C126" s="46">
        <v>0</v>
      </c>
      <c r="D126" s="46">
        <v>2</v>
      </c>
      <c r="E126" s="46">
        <v>0</v>
      </c>
      <c r="F126" s="46">
        <f>ROUND(F123-F124-F125,O126)</f>
        <v>669139.78</v>
      </c>
      <c r="G126" s="46" t="s">
        <v>273</v>
      </c>
      <c r="H126" s="46" t="s">
        <v>274</v>
      </c>
      <c r="I126" s="46"/>
      <c r="J126" s="46"/>
      <c r="K126" s="46">
        <v>212</v>
      </c>
      <c r="L126" s="46">
        <v>32</v>
      </c>
      <c r="M126" s="46">
        <v>0</v>
      </c>
      <c r="N126" s="46" t="s">
        <v>30</v>
      </c>
      <c r="O126" s="46">
        <v>2</v>
      </c>
      <c r="P126" s="46"/>
      <c r="Q126" s="46"/>
      <c r="R126" s="46"/>
      <c r="S126" s="46"/>
      <c r="T126" s="46"/>
      <c r="U126" s="46"/>
      <c r="V126" s="46"/>
      <c r="W126" s="46">
        <v>669139.78</v>
      </c>
      <c r="X126" s="46">
        <v>1</v>
      </c>
      <c r="Y126" s="46">
        <v>669139.78</v>
      </c>
      <c r="Z126" s="46"/>
      <c r="AA126" s="46"/>
      <c r="AB126" s="46"/>
    </row>
    <row r="127" spans="1:28" ht="13" x14ac:dyDescent="0.3">
      <c r="A127" s="46">
        <v>50</v>
      </c>
      <c r="B127" s="46">
        <v>1</v>
      </c>
      <c r="C127" s="46">
        <v>0</v>
      </c>
      <c r="D127" s="46">
        <v>2</v>
      </c>
      <c r="E127" s="46">
        <v>0</v>
      </c>
      <c r="F127" s="46">
        <f>ROUND(F126*0.2,O127)</f>
        <v>133827.96</v>
      </c>
      <c r="G127" s="46" t="s">
        <v>42</v>
      </c>
      <c r="H127" s="46" t="s">
        <v>42</v>
      </c>
      <c r="I127" s="46"/>
      <c r="J127" s="46"/>
      <c r="K127" s="46">
        <v>212</v>
      </c>
      <c r="L127" s="46">
        <v>33</v>
      </c>
      <c r="M127" s="46">
        <v>0</v>
      </c>
      <c r="N127" s="46" t="s">
        <v>30</v>
      </c>
      <c r="O127" s="46">
        <v>2</v>
      </c>
      <c r="P127" s="46"/>
      <c r="Q127" s="46"/>
      <c r="R127" s="46"/>
      <c r="S127" s="46"/>
      <c r="T127" s="46"/>
      <c r="U127" s="46"/>
      <c r="V127" s="46"/>
      <c r="W127" s="46">
        <v>133827.96</v>
      </c>
      <c r="X127" s="46">
        <v>1</v>
      </c>
      <c r="Y127" s="46">
        <v>133827.96</v>
      </c>
      <c r="Z127" s="46"/>
      <c r="AA127" s="46"/>
      <c r="AB127" s="46"/>
    </row>
    <row r="128" spans="1:28" ht="13" x14ac:dyDescent="0.3">
      <c r="A128" s="46">
        <v>50</v>
      </c>
      <c r="B128" s="46">
        <v>1</v>
      </c>
      <c r="C128" s="46">
        <v>0</v>
      </c>
      <c r="D128" s="46">
        <v>2</v>
      </c>
      <c r="E128" s="46">
        <v>0</v>
      </c>
      <c r="F128" s="46">
        <f>ROUND(F126+F127,O128)</f>
        <v>802967.74</v>
      </c>
      <c r="G128" s="46" t="s">
        <v>43</v>
      </c>
      <c r="H128" s="46" t="s">
        <v>275</v>
      </c>
      <c r="I128" s="46"/>
      <c r="J128" s="46"/>
      <c r="K128" s="46">
        <v>212</v>
      </c>
      <c r="L128" s="46">
        <v>34</v>
      </c>
      <c r="M128" s="46">
        <v>0</v>
      </c>
      <c r="N128" s="46" t="s">
        <v>30</v>
      </c>
      <c r="O128" s="46">
        <v>2</v>
      </c>
      <c r="P128" s="46"/>
      <c r="Q128" s="46"/>
      <c r="R128" s="46"/>
      <c r="S128" s="46"/>
      <c r="T128" s="46"/>
      <c r="U128" s="46"/>
      <c r="V128" s="46"/>
      <c r="W128" s="46">
        <v>802967.74</v>
      </c>
      <c r="X128" s="46">
        <v>1</v>
      </c>
      <c r="Y128" s="46">
        <v>802967.74</v>
      </c>
      <c r="Z128" s="46"/>
      <c r="AA128" s="46"/>
      <c r="AB128" s="46"/>
    </row>
    <row r="129" spans="1:245" ht="13" x14ac:dyDescent="0.3">
      <c r="A129" s="46">
        <v>50</v>
      </c>
      <c r="B129" s="46">
        <v>1</v>
      </c>
      <c r="C129" s="46">
        <v>0</v>
      </c>
      <c r="D129" s="46">
        <v>2</v>
      </c>
      <c r="E129" s="46">
        <v>0</v>
      </c>
      <c r="F129" s="46">
        <f>ROUND(F108,O129)</f>
        <v>110274.81</v>
      </c>
      <c r="G129" s="46" t="s">
        <v>276</v>
      </c>
      <c r="H129" s="46" t="s">
        <v>277</v>
      </c>
      <c r="I129" s="46"/>
      <c r="J129" s="46"/>
      <c r="K129" s="46">
        <v>212</v>
      </c>
      <c r="L129" s="46">
        <v>35</v>
      </c>
      <c r="M129" s="46">
        <v>0</v>
      </c>
      <c r="N129" s="46" t="s">
        <v>30</v>
      </c>
      <c r="O129" s="46">
        <v>2</v>
      </c>
      <c r="P129" s="46"/>
      <c r="Q129" s="46"/>
      <c r="R129" s="46"/>
      <c r="S129" s="46"/>
      <c r="T129" s="46"/>
      <c r="U129" s="46"/>
      <c r="V129" s="46"/>
      <c r="W129" s="46">
        <v>110274.81</v>
      </c>
      <c r="X129" s="46">
        <v>1</v>
      </c>
      <c r="Y129" s="46">
        <v>110274.81</v>
      </c>
      <c r="Z129" s="46"/>
      <c r="AA129" s="46"/>
      <c r="AB129" s="46"/>
    </row>
    <row r="130" spans="1:245" ht="13" x14ac:dyDescent="0.3">
      <c r="A130" s="46">
        <v>50</v>
      </c>
      <c r="B130" s="46">
        <v>1</v>
      </c>
      <c r="C130" s="46">
        <v>0</v>
      </c>
      <c r="D130" s="46">
        <v>2</v>
      </c>
      <c r="E130" s="46">
        <v>0</v>
      </c>
      <c r="F130" s="46">
        <f>ROUND(F107,O130)</f>
        <v>111780.15</v>
      </c>
      <c r="G130" s="46" t="s">
        <v>278</v>
      </c>
      <c r="H130" s="46" t="s">
        <v>279</v>
      </c>
      <c r="I130" s="46"/>
      <c r="J130" s="46"/>
      <c r="K130" s="46">
        <v>212</v>
      </c>
      <c r="L130" s="46">
        <v>36</v>
      </c>
      <c r="M130" s="46">
        <v>0</v>
      </c>
      <c r="N130" s="46" t="s">
        <v>30</v>
      </c>
      <c r="O130" s="46">
        <v>2</v>
      </c>
      <c r="P130" s="46"/>
      <c r="Q130" s="46"/>
      <c r="R130" s="46"/>
      <c r="S130" s="46"/>
      <c r="T130" s="46"/>
      <c r="U130" s="46"/>
      <c r="V130" s="46"/>
      <c r="W130" s="46">
        <v>111780.15</v>
      </c>
      <c r="X130" s="46">
        <v>1</v>
      </c>
      <c r="Y130" s="46">
        <v>111780.15</v>
      </c>
      <c r="Z130" s="46"/>
      <c r="AA130" s="46"/>
      <c r="AB130" s="46"/>
    </row>
    <row r="131" spans="1:245" ht="13" x14ac:dyDescent="0.3">
      <c r="A131" s="46">
        <v>50</v>
      </c>
      <c r="B131" s="46">
        <v>1</v>
      </c>
      <c r="C131" s="46">
        <v>0</v>
      </c>
      <c r="D131" s="46">
        <v>2</v>
      </c>
      <c r="E131" s="46">
        <v>0</v>
      </c>
      <c r="F131" s="46">
        <f>ROUND(F128+F129+F130,O131)</f>
        <v>1025022.7</v>
      </c>
      <c r="G131" s="46" t="s">
        <v>266</v>
      </c>
      <c r="H131" s="46" t="s">
        <v>280</v>
      </c>
      <c r="I131" s="46"/>
      <c r="J131" s="46"/>
      <c r="K131" s="46">
        <v>212</v>
      </c>
      <c r="L131" s="46">
        <v>37</v>
      </c>
      <c r="M131" s="46">
        <v>0</v>
      </c>
      <c r="N131" s="46" t="s">
        <v>30</v>
      </c>
      <c r="O131" s="46">
        <v>2</v>
      </c>
      <c r="P131" s="46"/>
      <c r="Q131" s="46"/>
      <c r="R131" s="46"/>
      <c r="S131" s="46"/>
      <c r="T131" s="46"/>
      <c r="U131" s="46"/>
      <c r="V131" s="46"/>
      <c r="W131" s="46">
        <v>1025022.7</v>
      </c>
      <c r="X131" s="46">
        <v>1</v>
      </c>
      <c r="Y131" s="46">
        <v>1025022.7</v>
      </c>
      <c r="Z131" s="46"/>
      <c r="AA131" s="46"/>
      <c r="AB131" s="46"/>
    </row>
    <row r="133" spans="1:245" ht="13" x14ac:dyDescent="0.3">
      <c r="A133" s="43">
        <v>4</v>
      </c>
      <c r="B133" s="43">
        <v>1</v>
      </c>
      <c r="C133" s="43"/>
      <c r="D133" s="43">
        <f>ROW(A140)</f>
        <v>140</v>
      </c>
      <c r="E133" s="43"/>
      <c r="F133" s="43" t="s">
        <v>174</v>
      </c>
      <c r="G133" s="43" t="s">
        <v>302</v>
      </c>
      <c r="H133" s="43" t="s">
        <v>30</v>
      </c>
      <c r="I133" s="43">
        <v>0</v>
      </c>
      <c r="J133" s="43"/>
      <c r="K133" s="43">
        <v>-1</v>
      </c>
      <c r="L133" s="43"/>
      <c r="M133" s="43" t="s">
        <v>30</v>
      </c>
      <c r="N133" s="43"/>
      <c r="O133" s="43"/>
      <c r="P133" s="43"/>
      <c r="Q133" s="43"/>
      <c r="R133" s="43"/>
      <c r="S133" s="43">
        <v>0</v>
      </c>
      <c r="T133" s="43"/>
      <c r="U133" s="43" t="s">
        <v>30</v>
      </c>
      <c r="V133" s="43">
        <v>0</v>
      </c>
      <c r="W133" s="43"/>
      <c r="X133" s="43"/>
      <c r="Y133" s="43"/>
      <c r="Z133" s="43"/>
      <c r="AA133" s="43"/>
      <c r="AB133" s="43" t="s">
        <v>30</v>
      </c>
      <c r="AC133" s="43" t="s">
        <v>30</v>
      </c>
      <c r="AD133" s="43" t="s">
        <v>30</v>
      </c>
      <c r="AE133" s="43" t="s">
        <v>30</v>
      </c>
      <c r="AF133" s="43" t="s">
        <v>30</v>
      </c>
      <c r="AG133" s="43" t="s">
        <v>30</v>
      </c>
      <c r="AH133" s="43"/>
      <c r="AI133" s="43"/>
      <c r="AJ133" s="43"/>
      <c r="AK133" s="43"/>
      <c r="AL133" s="43"/>
      <c r="AM133" s="43"/>
      <c r="AN133" s="43"/>
      <c r="AO133" s="43"/>
      <c r="AP133" s="43" t="s">
        <v>30</v>
      </c>
      <c r="AQ133" s="43" t="s">
        <v>30</v>
      </c>
      <c r="AR133" s="43" t="s">
        <v>30</v>
      </c>
      <c r="AS133" s="43"/>
      <c r="AT133" s="43"/>
      <c r="AU133" s="43"/>
      <c r="AV133" s="43"/>
      <c r="AW133" s="43"/>
      <c r="AX133" s="43"/>
      <c r="AY133" s="43"/>
      <c r="AZ133" s="43" t="s">
        <v>30</v>
      </c>
      <c r="BA133" s="43"/>
      <c r="BB133" s="43" t="s">
        <v>30</v>
      </c>
      <c r="BC133" s="43" t="s">
        <v>30</v>
      </c>
      <c r="BD133" s="43" t="s">
        <v>30</v>
      </c>
      <c r="BE133" s="43" t="s">
        <v>30</v>
      </c>
      <c r="BF133" s="43" t="s">
        <v>30</v>
      </c>
      <c r="BG133" s="43" t="s">
        <v>30</v>
      </c>
      <c r="BH133" s="43" t="s">
        <v>30</v>
      </c>
      <c r="BI133" s="43" t="s">
        <v>30</v>
      </c>
      <c r="BJ133" s="43" t="s">
        <v>30</v>
      </c>
      <c r="BK133" s="43" t="s">
        <v>30</v>
      </c>
      <c r="BL133" s="43" t="s">
        <v>30</v>
      </c>
      <c r="BM133" s="43" t="s">
        <v>30</v>
      </c>
      <c r="BN133" s="43" t="s">
        <v>30</v>
      </c>
      <c r="BO133" s="43" t="s">
        <v>30</v>
      </c>
      <c r="BP133" s="43" t="s">
        <v>30</v>
      </c>
      <c r="BQ133" s="43"/>
      <c r="BR133" s="43"/>
      <c r="BS133" s="43"/>
      <c r="BT133" s="43"/>
      <c r="BU133" s="43"/>
      <c r="BV133" s="43"/>
      <c r="BW133" s="43"/>
      <c r="BX133" s="43">
        <v>0</v>
      </c>
      <c r="BY133" s="43"/>
      <c r="BZ133" s="43"/>
      <c r="CA133" s="43"/>
      <c r="CB133" s="43"/>
      <c r="CC133" s="43"/>
      <c r="CD133" s="43"/>
      <c r="CE133" s="43"/>
      <c r="CF133" s="43"/>
      <c r="CG133" s="43"/>
      <c r="CH133" s="43"/>
      <c r="CI133" s="43"/>
      <c r="CJ133" s="43">
        <v>0</v>
      </c>
    </row>
    <row r="135" spans="1:245" ht="13" x14ac:dyDescent="0.3">
      <c r="A135" s="44">
        <v>52</v>
      </c>
      <c r="B135" s="44">
        <f t="shared" ref="B135:G135" si="89">B140</f>
        <v>1</v>
      </c>
      <c r="C135" s="44">
        <f t="shared" si="89"/>
        <v>4</v>
      </c>
      <c r="D135" s="44">
        <f t="shared" si="89"/>
        <v>133</v>
      </c>
      <c r="E135" s="44">
        <f t="shared" si="89"/>
        <v>0</v>
      </c>
      <c r="F135" s="44" t="str">
        <f t="shared" si="89"/>
        <v>Новый раздел</v>
      </c>
      <c r="G135" s="44" t="str">
        <f t="shared" si="89"/>
        <v>Устройство малых архитектурных форм</v>
      </c>
      <c r="H135" s="44"/>
      <c r="I135" s="44"/>
      <c r="J135" s="44"/>
      <c r="K135" s="44"/>
      <c r="L135" s="44"/>
      <c r="M135" s="44"/>
      <c r="N135" s="44"/>
      <c r="O135" s="44">
        <f t="shared" ref="O135:BZ135" si="90">O140</f>
        <v>0</v>
      </c>
      <c r="P135" s="44">
        <f t="shared" si="90"/>
        <v>0</v>
      </c>
      <c r="Q135" s="44">
        <f t="shared" si="90"/>
        <v>0</v>
      </c>
      <c r="R135" s="44">
        <f t="shared" si="90"/>
        <v>0</v>
      </c>
      <c r="S135" s="44">
        <f t="shared" si="90"/>
        <v>0</v>
      </c>
      <c r="T135" s="44">
        <f t="shared" si="90"/>
        <v>0</v>
      </c>
      <c r="U135" s="44">
        <f t="shared" si="90"/>
        <v>0</v>
      </c>
      <c r="V135" s="44">
        <f t="shared" si="90"/>
        <v>0</v>
      </c>
      <c r="W135" s="44">
        <f t="shared" si="90"/>
        <v>0</v>
      </c>
      <c r="X135" s="44">
        <f t="shared" si="90"/>
        <v>0</v>
      </c>
      <c r="Y135" s="44">
        <f t="shared" si="90"/>
        <v>0</v>
      </c>
      <c r="Z135" s="44">
        <f t="shared" si="90"/>
        <v>0</v>
      </c>
      <c r="AA135" s="44">
        <f t="shared" si="90"/>
        <v>0</v>
      </c>
      <c r="AB135" s="44">
        <f t="shared" si="90"/>
        <v>0</v>
      </c>
      <c r="AC135" s="44">
        <f t="shared" si="90"/>
        <v>0</v>
      </c>
      <c r="AD135" s="44">
        <f t="shared" si="90"/>
        <v>0</v>
      </c>
      <c r="AE135" s="44">
        <f t="shared" si="90"/>
        <v>0</v>
      </c>
      <c r="AF135" s="44">
        <f t="shared" si="90"/>
        <v>0</v>
      </c>
      <c r="AG135" s="44">
        <f t="shared" si="90"/>
        <v>0</v>
      </c>
      <c r="AH135" s="44">
        <f t="shared" si="90"/>
        <v>0</v>
      </c>
      <c r="AI135" s="44">
        <f t="shared" si="90"/>
        <v>0</v>
      </c>
      <c r="AJ135" s="44">
        <f t="shared" si="90"/>
        <v>0</v>
      </c>
      <c r="AK135" s="44">
        <f t="shared" si="90"/>
        <v>0</v>
      </c>
      <c r="AL135" s="44">
        <f t="shared" si="90"/>
        <v>0</v>
      </c>
      <c r="AM135" s="44">
        <f t="shared" si="90"/>
        <v>0</v>
      </c>
      <c r="AN135" s="44">
        <f t="shared" si="90"/>
        <v>0</v>
      </c>
      <c r="AO135" s="44">
        <f t="shared" si="90"/>
        <v>0</v>
      </c>
      <c r="AP135" s="44">
        <f t="shared" si="90"/>
        <v>0</v>
      </c>
      <c r="AQ135" s="44">
        <f t="shared" si="90"/>
        <v>0</v>
      </c>
      <c r="AR135" s="44">
        <f t="shared" si="90"/>
        <v>0</v>
      </c>
      <c r="AS135" s="44">
        <f t="shared" si="90"/>
        <v>0</v>
      </c>
      <c r="AT135" s="44">
        <f t="shared" si="90"/>
        <v>0</v>
      </c>
      <c r="AU135" s="44">
        <f t="shared" si="90"/>
        <v>0</v>
      </c>
      <c r="AV135" s="44">
        <f t="shared" si="90"/>
        <v>0</v>
      </c>
      <c r="AW135" s="44">
        <f t="shared" si="90"/>
        <v>0</v>
      </c>
      <c r="AX135" s="44">
        <f t="shared" si="90"/>
        <v>0</v>
      </c>
      <c r="AY135" s="44">
        <f t="shared" si="90"/>
        <v>0</v>
      </c>
      <c r="AZ135" s="44">
        <f t="shared" si="90"/>
        <v>0</v>
      </c>
      <c r="BA135" s="44">
        <f t="shared" si="90"/>
        <v>0</v>
      </c>
      <c r="BB135" s="44">
        <f t="shared" si="90"/>
        <v>0</v>
      </c>
      <c r="BC135" s="44">
        <f t="shared" si="90"/>
        <v>0</v>
      </c>
      <c r="BD135" s="44">
        <f t="shared" si="90"/>
        <v>0</v>
      </c>
      <c r="BE135" s="44">
        <f t="shared" si="90"/>
        <v>0</v>
      </c>
      <c r="BF135" s="44">
        <f t="shared" si="90"/>
        <v>0</v>
      </c>
      <c r="BG135" s="44">
        <f t="shared" si="90"/>
        <v>0</v>
      </c>
      <c r="BH135" s="44">
        <f t="shared" si="90"/>
        <v>0</v>
      </c>
      <c r="BI135" s="44">
        <f t="shared" si="90"/>
        <v>0</v>
      </c>
      <c r="BJ135" s="44">
        <f t="shared" si="90"/>
        <v>0</v>
      </c>
      <c r="BK135" s="44">
        <f t="shared" si="90"/>
        <v>0</v>
      </c>
      <c r="BL135" s="44">
        <f t="shared" si="90"/>
        <v>0</v>
      </c>
      <c r="BM135" s="44">
        <f t="shared" si="90"/>
        <v>0</v>
      </c>
      <c r="BN135" s="44">
        <f t="shared" si="90"/>
        <v>0</v>
      </c>
      <c r="BO135" s="44">
        <f t="shared" si="90"/>
        <v>0</v>
      </c>
      <c r="BP135" s="44">
        <f t="shared" si="90"/>
        <v>0</v>
      </c>
      <c r="BQ135" s="44">
        <f t="shared" si="90"/>
        <v>0</v>
      </c>
      <c r="BR135" s="44">
        <f t="shared" si="90"/>
        <v>0</v>
      </c>
      <c r="BS135" s="44">
        <f t="shared" si="90"/>
        <v>0</v>
      </c>
      <c r="BT135" s="44">
        <f t="shared" si="90"/>
        <v>0</v>
      </c>
      <c r="BU135" s="44">
        <f t="shared" si="90"/>
        <v>0</v>
      </c>
      <c r="BV135" s="44">
        <f t="shared" si="90"/>
        <v>0</v>
      </c>
      <c r="BW135" s="44">
        <f t="shared" si="90"/>
        <v>0</v>
      </c>
      <c r="BX135" s="44">
        <f t="shared" si="90"/>
        <v>0</v>
      </c>
      <c r="BY135" s="44">
        <f t="shared" si="90"/>
        <v>0</v>
      </c>
      <c r="BZ135" s="44">
        <f t="shared" si="90"/>
        <v>0</v>
      </c>
      <c r="CA135" s="44">
        <f t="shared" ref="CA135:EL135" si="91">CA140</f>
        <v>0</v>
      </c>
      <c r="CB135" s="44">
        <f t="shared" si="91"/>
        <v>0</v>
      </c>
      <c r="CC135" s="44">
        <f t="shared" si="91"/>
        <v>0</v>
      </c>
      <c r="CD135" s="44">
        <f t="shared" si="91"/>
        <v>0</v>
      </c>
      <c r="CE135" s="44">
        <f t="shared" si="91"/>
        <v>0</v>
      </c>
      <c r="CF135" s="44">
        <f t="shared" si="91"/>
        <v>0</v>
      </c>
      <c r="CG135" s="44">
        <f t="shared" si="91"/>
        <v>0</v>
      </c>
      <c r="CH135" s="44">
        <f t="shared" si="91"/>
        <v>0</v>
      </c>
      <c r="CI135" s="44">
        <f t="shared" si="91"/>
        <v>0</v>
      </c>
      <c r="CJ135" s="44">
        <f t="shared" si="91"/>
        <v>0</v>
      </c>
      <c r="CK135" s="44">
        <f t="shared" si="91"/>
        <v>0</v>
      </c>
      <c r="CL135" s="44">
        <f t="shared" si="91"/>
        <v>0</v>
      </c>
      <c r="CM135" s="44">
        <f t="shared" si="91"/>
        <v>0</v>
      </c>
      <c r="CN135" s="44">
        <f t="shared" si="91"/>
        <v>0</v>
      </c>
      <c r="CO135" s="44">
        <f t="shared" si="91"/>
        <v>0</v>
      </c>
      <c r="CP135" s="44">
        <f t="shared" si="91"/>
        <v>0</v>
      </c>
      <c r="CQ135" s="44">
        <f t="shared" si="91"/>
        <v>0</v>
      </c>
      <c r="CR135" s="44">
        <f t="shared" si="91"/>
        <v>0</v>
      </c>
      <c r="CS135" s="44">
        <f t="shared" si="91"/>
        <v>0</v>
      </c>
      <c r="CT135" s="44">
        <f t="shared" si="91"/>
        <v>0</v>
      </c>
      <c r="CU135" s="44">
        <f t="shared" si="91"/>
        <v>0</v>
      </c>
      <c r="CV135" s="44">
        <f t="shared" si="91"/>
        <v>0</v>
      </c>
      <c r="CW135" s="44">
        <f t="shared" si="91"/>
        <v>0</v>
      </c>
      <c r="CX135" s="44">
        <f t="shared" si="91"/>
        <v>0</v>
      </c>
      <c r="CY135" s="44">
        <f t="shared" si="91"/>
        <v>0</v>
      </c>
      <c r="CZ135" s="44">
        <f t="shared" si="91"/>
        <v>0</v>
      </c>
      <c r="DA135" s="44">
        <f t="shared" si="91"/>
        <v>0</v>
      </c>
      <c r="DB135" s="44">
        <f t="shared" si="91"/>
        <v>0</v>
      </c>
      <c r="DC135" s="44">
        <f t="shared" si="91"/>
        <v>0</v>
      </c>
      <c r="DD135" s="44">
        <f t="shared" si="91"/>
        <v>0</v>
      </c>
      <c r="DE135" s="44">
        <f t="shared" si="91"/>
        <v>0</v>
      </c>
      <c r="DF135" s="44">
        <f t="shared" si="91"/>
        <v>0</v>
      </c>
      <c r="DG135" s="45">
        <f t="shared" si="91"/>
        <v>0</v>
      </c>
      <c r="DH135" s="45">
        <f t="shared" si="91"/>
        <v>0</v>
      </c>
      <c r="DI135" s="45">
        <f t="shared" si="91"/>
        <v>0</v>
      </c>
      <c r="DJ135" s="45">
        <f t="shared" si="91"/>
        <v>0</v>
      </c>
      <c r="DK135" s="45">
        <f t="shared" si="91"/>
        <v>0</v>
      </c>
      <c r="DL135" s="45">
        <f t="shared" si="91"/>
        <v>0</v>
      </c>
      <c r="DM135" s="45">
        <f t="shared" si="91"/>
        <v>0</v>
      </c>
      <c r="DN135" s="45">
        <f t="shared" si="91"/>
        <v>0</v>
      </c>
      <c r="DO135" s="45">
        <f t="shared" si="91"/>
        <v>0</v>
      </c>
      <c r="DP135" s="45">
        <f t="shared" si="91"/>
        <v>0</v>
      </c>
      <c r="DQ135" s="45">
        <f t="shared" si="91"/>
        <v>0</v>
      </c>
      <c r="DR135" s="45">
        <f t="shared" si="91"/>
        <v>0</v>
      </c>
      <c r="DS135" s="45">
        <f t="shared" si="91"/>
        <v>0</v>
      </c>
      <c r="DT135" s="45">
        <f t="shared" si="91"/>
        <v>0</v>
      </c>
      <c r="DU135" s="45">
        <f t="shared" si="91"/>
        <v>0</v>
      </c>
      <c r="DV135" s="45">
        <f t="shared" si="91"/>
        <v>0</v>
      </c>
      <c r="DW135" s="45">
        <f t="shared" si="91"/>
        <v>0</v>
      </c>
      <c r="DX135" s="45">
        <f t="shared" si="91"/>
        <v>0</v>
      </c>
      <c r="DY135" s="45">
        <f t="shared" si="91"/>
        <v>0</v>
      </c>
      <c r="DZ135" s="45">
        <f t="shared" si="91"/>
        <v>0</v>
      </c>
      <c r="EA135" s="45">
        <f t="shared" si="91"/>
        <v>0</v>
      </c>
      <c r="EB135" s="45">
        <f t="shared" si="91"/>
        <v>0</v>
      </c>
      <c r="EC135" s="45">
        <f t="shared" si="91"/>
        <v>0</v>
      </c>
      <c r="ED135" s="45">
        <f t="shared" si="91"/>
        <v>0</v>
      </c>
      <c r="EE135" s="45">
        <f t="shared" si="91"/>
        <v>0</v>
      </c>
      <c r="EF135" s="45">
        <f t="shared" si="91"/>
        <v>0</v>
      </c>
      <c r="EG135" s="45">
        <f t="shared" si="91"/>
        <v>0</v>
      </c>
      <c r="EH135" s="45">
        <f t="shared" si="91"/>
        <v>0</v>
      </c>
      <c r="EI135" s="45">
        <f t="shared" si="91"/>
        <v>0</v>
      </c>
      <c r="EJ135" s="45">
        <f t="shared" si="91"/>
        <v>0</v>
      </c>
      <c r="EK135" s="45">
        <f t="shared" si="91"/>
        <v>0</v>
      </c>
      <c r="EL135" s="45">
        <f t="shared" si="91"/>
        <v>0</v>
      </c>
      <c r="EM135" s="45">
        <f t="shared" ref="EM135:GX135" si="92">EM140</f>
        <v>0</v>
      </c>
      <c r="EN135" s="45">
        <f t="shared" si="92"/>
        <v>0</v>
      </c>
      <c r="EO135" s="45">
        <f t="shared" si="92"/>
        <v>0</v>
      </c>
      <c r="EP135" s="45">
        <f t="shared" si="92"/>
        <v>0</v>
      </c>
      <c r="EQ135" s="45">
        <f t="shared" si="92"/>
        <v>0</v>
      </c>
      <c r="ER135" s="45">
        <f t="shared" si="92"/>
        <v>0</v>
      </c>
      <c r="ES135" s="45">
        <f t="shared" si="92"/>
        <v>0</v>
      </c>
      <c r="ET135" s="45">
        <f t="shared" si="92"/>
        <v>0</v>
      </c>
      <c r="EU135" s="45">
        <f t="shared" si="92"/>
        <v>0</v>
      </c>
      <c r="EV135" s="45">
        <f t="shared" si="92"/>
        <v>0</v>
      </c>
      <c r="EW135" s="45">
        <f t="shared" si="92"/>
        <v>0</v>
      </c>
      <c r="EX135" s="45">
        <f t="shared" si="92"/>
        <v>0</v>
      </c>
      <c r="EY135" s="45">
        <f t="shared" si="92"/>
        <v>0</v>
      </c>
      <c r="EZ135" s="45">
        <f t="shared" si="92"/>
        <v>0</v>
      </c>
      <c r="FA135" s="45">
        <f t="shared" si="92"/>
        <v>0</v>
      </c>
      <c r="FB135" s="45">
        <f t="shared" si="92"/>
        <v>0</v>
      </c>
      <c r="FC135" s="45">
        <f t="shared" si="92"/>
        <v>0</v>
      </c>
      <c r="FD135" s="45">
        <f t="shared" si="92"/>
        <v>0</v>
      </c>
      <c r="FE135" s="45">
        <f t="shared" si="92"/>
        <v>0</v>
      </c>
      <c r="FF135" s="45">
        <f t="shared" si="92"/>
        <v>0</v>
      </c>
      <c r="FG135" s="45">
        <f t="shared" si="92"/>
        <v>0</v>
      </c>
      <c r="FH135" s="45">
        <f t="shared" si="92"/>
        <v>0</v>
      </c>
      <c r="FI135" s="45">
        <f t="shared" si="92"/>
        <v>0</v>
      </c>
      <c r="FJ135" s="45">
        <f t="shared" si="92"/>
        <v>0</v>
      </c>
      <c r="FK135" s="45">
        <f t="shared" si="92"/>
        <v>0</v>
      </c>
      <c r="FL135" s="45">
        <f t="shared" si="92"/>
        <v>0</v>
      </c>
      <c r="FM135" s="45">
        <f t="shared" si="92"/>
        <v>0</v>
      </c>
      <c r="FN135" s="45">
        <f t="shared" si="92"/>
        <v>0</v>
      </c>
      <c r="FO135" s="45">
        <f t="shared" si="92"/>
        <v>0</v>
      </c>
      <c r="FP135" s="45">
        <f t="shared" si="92"/>
        <v>0</v>
      </c>
      <c r="FQ135" s="45">
        <f t="shared" si="92"/>
        <v>0</v>
      </c>
      <c r="FR135" s="45">
        <f t="shared" si="92"/>
        <v>0</v>
      </c>
      <c r="FS135" s="45">
        <f t="shared" si="92"/>
        <v>0</v>
      </c>
      <c r="FT135" s="45">
        <f t="shared" si="92"/>
        <v>0</v>
      </c>
      <c r="FU135" s="45">
        <f t="shared" si="92"/>
        <v>0</v>
      </c>
      <c r="FV135" s="45">
        <f t="shared" si="92"/>
        <v>0</v>
      </c>
      <c r="FW135" s="45">
        <f t="shared" si="92"/>
        <v>0</v>
      </c>
      <c r="FX135" s="45">
        <f t="shared" si="92"/>
        <v>0</v>
      </c>
      <c r="FY135" s="45">
        <f t="shared" si="92"/>
        <v>0</v>
      </c>
      <c r="FZ135" s="45">
        <f t="shared" si="92"/>
        <v>0</v>
      </c>
      <c r="GA135" s="45">
        <f t="shared" si="92"/>
        <v>0</v>
      </c>
      <c r="GB135" s="45">
        <f t="shared" si="92"/>
        <v>0</v>
      </c>
      <c r="GC135" s="45">
        <f t="shared" si="92"/>
        <v>0</v>
      </c>
      <c r="GD135" s="45">
        <f t="shared" si="92"/>
        <v>0</v>
      </c>
      <c r="GE135" s="45">
        <f t="shared" si="92"/>
        <v>0</v>
      </c>
      <c r="GF135" s="45">
        <f t="shared" si="92"/>
        <v>0</v>
      </c>
      <c r="GG135" s="45">
        <f t="shared" si="92"/>
        <v>0</v>
      </c>
      <c r="GH135" s="45">
        <f t="shared" si="92"/>
        <v>0</v>
      </c>
      <c r="GI135" s="45">
        <f t="shared" si="92"/>
        <v>0</v>
      </c>
      <c r="GJ135" s="45">
        <f t="shared" si="92"/>
        <v>0</v>
      </c>
      <c r="GK135" s="45">
        <f t="shared" si="92"/>
        <v>0</v>
      </c>
      <c r="GL135" s="45">
        <f t="shared" si="92"/>
        <v>0</v>
      </c>
      <c r="GM135" s="45">
        <f t="shared" si="92"/>
        <v>0</v>
      </c>
      <c r="GN135" s="45">
        <f t="shared" si="92"/>
        <v>0</v>
      </c>
      <c r="GO135" s="45">
        <f t="shared" si="92"/>
        <v>0</v>
      </c>
      <c r="GP135" s="45">
        <f t="shared" si="92"/>
        <v>0</v>
      </c>
      <c r="GQ135" s="45">
        <f t="shared" si="92"/>
        <v>0</v>
      </c>
      <c r="GR135" s="45">
        <f t="shared" si="92"/>
        <v>0</v>
      </c>
      <c r="GS135" s="45">
        <f t="shared" si="92"/>
        <v>0</v>
      </c>
      <c r="GT135" s="45">
        <f t="shared" si="92"/>
        <v>0</v>
      </c>
      <c r="GU135" s="45">
        <f t="shared" si="92"/>
        <v>0</v>
      </c>
      <c r="GV135" s="45">
        <f t="shared" si="92"/>
        <v>0</v>
      </c>
      <c r="GW135" s="45">
        <f t="shared" si="92"/>
        <v>0</v>
      </c>
      <c r="GX135" s="45">
        <f t="shared" si="92"/>
        <v>0</v>
      </c>
    </row>
    <row r="137" spans="1:245" x14ac:dyDescent="0.25">
      <c r="A137" s="2">
        <v>17</v>
      </c>
      <c r="B137" s="2">
        <v>1</v>
      </c>
      <c r="E137" s="2" t="s">
        <v>303</v>
      </c>
      <c r="F137" s="2" t="s">
        <v>132</v>
      </c>
      <c r="G137" s="2" t="s">
        <v>133</v>
      </c>
      <c r="H137" s="2" t="s">
        <v>67</v>
      </c>
      <c r="I137" s="2">
        <v>0</v>
      </c>
      <c r="J137" s="2">
        <v>0</v>
      </c>
      <c r="K137" s="2">
        <v>2</v>
      </c>
      <c r="O137" s="2">
        <f>ROUND(CP137,2)</f>
        <v>0</v>
      </c>
      <c r="P137" s="2">
        <f>ROUND(CQ137*I137,2)</f>
        <v>0</v>
      </c>
      <c r="Q137" s="2">
        <f>ROUND(CR137*I137,2)</f>
        <v>0</v>
      </c>
      <c r="R137" s="2">
        <f>ROUND(CS137*I137,2)</f>
        <v>0</v>
      </c>
      <c r="S137" s="2">
        <f>ROUND(CT137*I137,2)</f>
        <v>0</v>
      </c>
      <c r="T137" s="2">
        <f>ROUND(CU137*I137,2)</f>
        <v>0</v>
      </c>
      <c r="U137" s="2">
        <f>CV137*I137</f>
        <v>0</v>
      </c>
      <c r="V137" s="2">
        <f>CW137*I137</f>
        <v>0</v>
      </c>
      <c r="W137" s="2">
        <f>ROUND(CX137*I137,2)</f>
        <v>0</v>
      </c>
      <c r="X137" s="2">
        <f>ROUND(CY137,2)</f>
        <v>0</v>
      </c>
      <c r="Y137" s="2">
        <f>ROUND(CZ137,2)</f>
        <v>0</v>
      </c>
      <c r="AA137" s="2">
        <v>52261502</v>
      </c>
      <c r="AB137" s="2">
        <f>ROUND((AC137+AD137+AF137),6)</f>
        <v>20600</v>
      </c>
      <c r="AC137" s="2">
        <f>ROUND((ES137),6)</f>
        <v>20600</v>
      </c>
      <c r="AD137" s="2">
        <f>ROUND((((ET137)-(EU137))+AE137),6)</f>
        <v>0</v>
      </c>
      <c r="AE137" s="2">
        <f>ROUND((EU137),6)</f>
        <v>0</v>
      </c>
      <c r="AF137" s="2">
        <f>ROUND((EV137),6)</f>
        <v>0</v>
      </c>
      <c r="AG137" s="2">
        <f>ROUND((AP137),6)</f>
        <v>0</v>
      </c>
      <c r="AH137" s="2">
        <f>(EW137)</f>
        <v>0</v>
      </c>
      <c r="AI137" s="2">
        <f>(EX137)</f>
        <v>0</v>
      </c>
      <c r="AJ137" s="2">
        <f>(AS137)</f>
        <v>0</v>
      </c>
      <c r="AK137" s="2">
        <v>20600</v>
      </c>
      <c r="AL137" s="2">
        <v>20600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70</v>
      </c>
      <c r="AU137" s="2">
        <v>10</v>
      </c>
      <c r="AV137" s="2">
        <v>1</v>
      </c>
      <c r="AW137" s="2">
        <v>1</v>
      </c>
      <c r="AZ137" s="2">
        <v>1</v>
      </c>
      <c r="BA137" s="2">
        <v>1</v>
      </c>
      <c r="BB137" s="2">
        <v>1</v>
      </c>
      <c r="BC137" s="2">
        <v>1</v>
      </c>
      <c r="BD137" s="2" t="s">
        <v>30</v>
      </c>
      <c r="BE137" s="2" t="s">
        <v>30</v>
      </c>
      <c r="BF137" s="2" t="s">
        <v>30</v>
      </c>
      <c r="BG137" s="2" t="s">
        <v>30</v>
      </c>
      <c r="BH137" s="2">
        <v>3</v>
      </c>
      <c r="BI137" s="2">
        <v>4</v>
      </c>
      <c r="BJ137" s="2" t="s">
        <v>304</v>
      </c>
      <c r="BM137" s="2">
        <v>0</v>
      </c>
      <c r="BN137" s="2">
        <v>0</v>
      </c>
      <c r="BO137" s="2" t="s">
        <v>30</v>
      </c>
      <c r="BP137" s="2">
        <v>0</v>
      </c>
      <c r="BQ137" s="2">
        <v>1</v>
      </c>
      <c r="BR137" s="2">
        <v>0</v>
      </c>
      <c r="BS137" s="2">
        <v>1</v>
      </c>
      <c r="BT137" s="2">
        <v>1</v>
      </c>
      <c r="BU137" s="2">
        <v>1</v>
      </c>
      <c r="BV137" s="2">
        <v>1</v>
      </c>
      <c r="BW137" s="2">
        <v>1</v>
      </c>
      <c r="BX137" s="2">
        <v>1</v>
      </c>
      <c r="BY137" s="2" t="s">
        <v>30</v>
      </c>
      <c r="BZ137" s="2">
        <v>70</v>
      </c>
      <c r="CA137" s="2">
        <v>10</v>
      </c>
      <c r="CB137" s="2" t="s">
        <v>30</v>
      </c>
      <c r="CE137" s="2">
        <v>0</v>
      </c>
      <c r="CF137" s="2">
        <v>0</v>
      </c>
      <c r="CG137" s="2">
        <v>0</v>
      </c>
      <c r="CM137" s="2">
        <v>0</v>
      </c>
      <c r="CN137" s="2" t="s">
        <v>30</v>
      </c>
      <c r="CO137" s="2">
        <v>0</v>
      </c>
      <c r="CP137" s="2">
        <f>(P137+Q137+S137)</f>
        <v>0</v>
      </c>
      <c r="CQ137" s="2">
        <f>(AC137*BC137*AW137)</f>
        <v>20600</v>
      </c>
      <c r="CR137" s="2">
        <f>((((ET137)*BB137-(EU137)*BS137)+AE137*BS137)*AV137)</f>
        <v>0</v>
      </c>
      <c r="CS137" s="2">
        <f>(AE137*BS137*AV137)</f>
        <v>0</v>
      </c>
      <c r="CT137" s="2">
        <f>(AF137*BA137*AV137)</f>
        <v>0</v>
      </c>
      <c r="CU137" s="2">
        <f>AG137</f>
        <v>0</v>
      </c>
      <c r="CV137" s="2">
        <f>(AH137*AV137)</f>
        <v>0</v>
      </c>
      <c r="CW137" s="2">
        <f>AI137</f>
        <v>0</v>
      </c>
      <c r="CX137" s="2">
        <f>AJ137</f>
        <v>0</v>
      </c>
      <c r="CY137" s="2">
        <f>((S137*BZ137)/100)</f>
        <v>0</v>
      </c>
      <c r="CZ137" s="2">
        <f>((S137*CA137)/100)</f>
        <v>0</v>
      </c>
      <c r="DC137" s="2" t="s">
        <v>30</v>
      </c>
      <c r="DD137" s="2" t="s">
        <v>30</v>
      </c>
      <c r="DE137" s="2" t="s">
        <v>30</v>
      </c>
      <c r="DF137" s="2" t="s">
        <v>30</v>
      </c>
      <c r="DG137" s="2" t="s">
        <v>30</v>
      </c>
      <c r="DH137" s="2" t="s">
        <v>30</v>
      </c>
      <c r="DI137" s="2" t="s">
        <v>30</v>
      </c>
      <c r="DJ137" s="2" t="s">
        <v>30</v>
      </c>
      <c r="DK137" s="2" t="s">
        <v>30</v>
      </c>
      <c r="DL137" s="2" t="s">
        <v>30</v>
      </c>
      <c r="DM137" s="2" t="s">
        <v>30</v>
      </c>
      <c r="DN137" s="2">
        <v>0</v>
      </c>
      <c r="DO137" s="2">
        <v>0</v>
      </c>
      <c r="DP137" s="2">
        <v>1</v>
      </c>
      <c r="DQ137" s="2">
        <v>1</v>
      </c>
      <c r="DU137" s="2">
        <v>1010</v>
      </c>
      <c r="DV137" s="2" t="s">
        <v>67</v>
      </c>
      <c r="DW137" s="2" t="s">
        <v>67</v>
      </c>
      <c r="DX137" s="2">
        <v>1</v>
      </c>
      <c r="DZ137" s="2" t="s">
        <v>30</v>
      </c>
      <c r="EA137" s="2" t="s">
        <v>30</v>
      </c>
      <c r="EB137" s="2" t="s">
        <v>30</v>
      </c>
      <c r="EC137" s="2" t="s">
        <v>30</v>
      </c>
      <c r="EE137" s="2">
        <v>49661954</v>
      </c>
      <c r="EF137" s="2">
        <v>1</v>
      </c>
      <c r="EG137" s="2" t="s">
        <v>180</v>
      </c>
      <c r="EH137" s="2">
        <v>0</v>
      </c>
      <c r="EI137" s="2" t="s">
        <v>30</v>
      </c>
      <c r="EJ137" s="2">
        <v>4</v>
      </c>
      <c r="EK137" s="2">
        <v>0</v>
      </c>
      <c r="EL137" s="2" t="s">
        <v>181</v>
      </c>
      <c r="EM137" s="2" t="s">
        <v>182</v>
      </c>
      <c r="EO137" s="2" t="s">
        <v>30</v>
      </c>
      <c r="EQ137" s="2">
        <v>0</v>
      </c>
      <c r="ER137" s="2">
        <v>20600</v>
      </c>
      <c r="ES137" s="2">
        <v>20600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FQ137" s="2">
        <v>0</v>
      </c>
      <c r="FR137" s="2">
        <f>ROUND(IF(AND(BH137=3,BI137=3),P137,0),2)</f>
        <v>0</v>
      </c>
      <c r="FS137" s="2">
        <v>0</v>
      </c>
      <c r="FX137" s="2">
        <v>70</v>
      </c>
      <c r="FY137" s="2">
        <v>10</v>
      </c>
      <c r="GA137" s="2" t="s">
        <v>30</v>
      </c>
      <c r="GD137" s="2">
        <v>0</v>
      </c>
      <c r="GF137" s="2">
        <v>762208768</v>
      </c>
      <c r="GG137" s="2">
        <v>2</v>
      </c>
      <c r="GH137" s="2">
        <v>1</v>
      </c>
      <c r="GI137" s="2">
        <v>-2</v>
      </c>
      <c r="GJ137" s="2">
        <v>0</v>
      </c>
      <c r="GK137" s="2">
        <f>ROUND(R137*(R12)/100,2)</f>
        <v>0</v>
      </c>
      <c r="GL137" s="2">
        <f>ROUND(IF(AND(BH137=3,BI137=3,FS137&lt;&gt;0),P137,0),2)</f>
        <v>0</v>
      </c>
      <c r="GM137" s="2">
        <f>ROUND(O137+X137+Y137+GK137,2)+GX137</f>
        <v>0</v>
      </c>
      <c r="GN137" s="2">
        <f>IF(OR(BI137=0,BI137=1),ROUND(O137+X137+Y137+GK137,2),0)</f>
        <v>0</v>
      </c>
      <c r="GO137" s="2">
        <f>IF(BI137=2,ROUND(O137+X137+Y137+GK137,2),0)</f>
        <v>0</v>
      </c>
      <c r="GP137" s="2">
        <f>IF(BI137=4,ROUND(O137+X137+Y137+GK137,2)+GX137,0)</f>
        <v>0</v>
      </c>
      <c r="GR137" s="2">
        <v>0</v>
      </c>
      <c r="GS137" s="2">
        <v>0</v>
      </c>
      <c r="GT137" s="2">
        <v>0</v>
      </c>
      <c r="GU137" s="2" t="s">
        <v>30</v>
      </c>
      <c r="GV137" s="2">
        <f>ROUND((GT137),6)</f>
        <v>0</v>
      </c>
      <c r="GW137" s="2">
        <v>1</v>
      </c>
      <c r="GX137" s="2">
        <f>ROUND(HC137*I137,2)</f>
        <v>0</v>
      </c>
      <c r="HA137" s="2">
        <v>0</v>
      </c>
      <c r="HB137" s="2">
        <v>0</v>
      </c>
      <c r="HC137" s="2">
        <f>GV137*GW137</f>
        <v>0</v>
      </c>
      <c r="HE137" s="2" t="s">
        <v>30</v>
      </c>
      <c r="HF137" s="2" t="s">
        <v>30</v>
      </c>
      <c r="HM137" s="2" t="s">
        <v>30</v>
      </c>
      <c r="HN137" s="2" t="s">
        <v>30</v>
      </c>
      <c r="HO137" s="2" t="s">
        <v>30</v>
      </c>
      <c r="HP137" s="2" t="s">
        <v>30</v>
      </c>
      <c r="HQ137" s="2" t="s">
        <v>30</v>
      </c>
      <c r="IK137" s="2">
        <v>0</v>
      </c>
    </row>
    <row r="138" spans="1:245" x14ac:dyDescent="0.25">
      <c r="A138" s="2">
        <v>17</v>
      </c>
      <c r="B138" s="2">
        <v>1</v>
      </c>
      <c r="E138" s="2" t="s">
        <v>305</v>
      </c>
      <c r="F138" s="2" t="s">
        <v>130</v>
      </c>
      <c r="G138" s="2" t="s">
        <v>131</v>
      </c>
      <c r="H138" s="2" t="s">
        <v>67</v>
      </c>
      <c r="I138" s="2">
        <v>0</v>
      </c>
      <c r="J138" s="2">
        <v>0</v>
      </c>
      <c r="K138" s="2">
        <v>2</v>
      </c>
      <c r="O138" s="2">
        <f>ROUND(CP138,2)</f>
        <v>0</v>
      </c>
      <c r="P138" s="2">
        <f>ROUND(CQ138*I138,2)</f>
        <v>0</v>
      </c>
      <c r="Q138" s="2">
        <f>ROUND(CR138*I138,2)</f>
        <v>0</v>
      </c>
      <c r="R138" s="2">
        <f>ROUND(CS138*I138,2)</f>
        <v>0</v>
      </c>
      <c r="S138" s="2">
        <f>ROUND(CT138*I138,2)</f>
        <v>0</v>
      </c>
      <c r="T138" s="2">
        <f>ROUND(CU138*I138,2)</f>
        <v>0</v>
      </c>
      <c r="U138" s="2">
        <f>CV138*I138</f>
        <v>0</v>
      </c>
      <c r="V138" s="2">
        <f>CW138*I138</f>
        <v>0</v>
      </c>
      <c r="W138" s="2">
        <f>ROUND(CX138*I138,2)</f>
        <v>0</v>
      </c>
      <c r="X138" s="2">
        <f>ROUND(CY138,2)</f>
        <v>0</v>
      </c>
      <c r="Y138" s="2">
        <f>ROUND(CZ138,2)</f>
        <v>0</v>
      </c>
      <c r="AA138" s="2">
        <v>52261502</v>
      </c>
      <c r="AB138" s="2">
        <f>ROUND((AC138+AD138+AF138),6)</f>
        <v>2812.5</v>
      </c>
      <c r="AC138" s="2">
        <f>ROUND((ES138),6)</f>
        <v>2812.5</v>
      </c>
      <c r="AD138" s="2">
        <f>ROUND((((ET138)-(EU138))+AE138),6)</f>
        <v>0</v>
      </c>
      <c r="AE138" s="2">
        <f>ROUND((EU138),6)</f>
        <v>0</v>
      </c>
      <c r="AF138" s="2">
        <f>ROUND((EV138),6)</f>
        <v>0</v>
      </c>
      <c r="AG138" s="2">
        <f>ROUND((AP138),6)</f>
        <v>0</v>
      </c>
      <c r="AH138" s="2">
        <f>(EW138)</f>
        <v>0</v>
      </c>
      <c r="AI138" s="2">
        <f>(EX138)</f>
        <v>0</v>
      </c>
      <c r="AJ138" s="2">
        <f>(AS138)</f>
        <v>0</v>
      </c>
      <c r="AK138" s="2">
        <v>2812.5</v>
      </c>
      <c r="AL138" s="2">
        <v>2812.5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70</v>
      </c>
      <c r="AU138" s="2">
        <v>10</v>
      </c>
      <c r="AV138" s="2">
        <v>1</v>
      </c>
      <c r="AW138" s="2">
        <v>1</v>
      </c>
      <c r="AZ138" s="2">
        <v>1</v>
      </c>
      <c r="BA138" s="2">
        <v>1</v>
      </c>
      <c r="BB138" s="2">
        <v>1</v>
      </c>
      <c r="BC138" s="2">
        <v>1</v>
      </c>
      <c r="BD138" s="2" t="s">
        <v>30</v>
      </c>
      <c r="BE138" s="2" t="s">
        <v>30</v>
      </c>
      <c r="BF138" s="2" t="s">
        <v>30</v>
      </c>
      <c r="BG138" s="2" t="s">
        <v>30</v>
      </c>
      <c r="BH138" s="2">
        <v>3</v>
      </c>
      <c r="BI138" s="2">
        <v>4</v>
      </c>
      <c r="BJ138" s="2" t="s">
        <v>306</v>
      </c>
      <c r="BM138" s="2">
        <v>0</v>
      </c>
      <c r="BN138" s="2">
        <v>0</v>
      </c>
      <c r="BO138" s="2" t="s">
        <v>30</v>
      </c>
      <c r="BP138" s="2">
        <v>0</v>
      </c>
      <c r="BQ138" s="2">
        <v>1</v>
      </c>
      <c r="BR138" s="2">
        <v>0</v>
      </c>
      <c r="BS138" s="2">
        <v>1</v>
      </c>
      <c r="BT138" s="2">
        <v>1</v>
      </c>
      <c r="BU138" s="2">
        <v>1</v>
      </c>
      <c r="BV138" s="2">
        <v>1</v>
      </c>
      <c r="BW138" s="2">
        <v>1</v>
      </c>
      <c r="BX138" s="2">
        <v>1</v>
      </c>
      <c r="BY138" s="2" t="s">
        <v>30</v>
      </c>
      <c r="BZ138" s="2">
        <v>70</v>
      </c>
      <c r="CA138" s="2">
        <v>10</v>
      </c>
      <c r="CB138" s="2" t="s">
        <v>30</v>
      </c>
      <c r="CE138" s="2">
        <v>0</v>
      </c>
      <c r="CF138" s="2">
        <v>0</v>
      </c>
      <c r="CG138" s="2">
        <v>0</v>
      </c>
      <c r="CM138" s="2">
        <v>0</v>
      </c>
      <c r="CN138" s="2" t="s">
        <v>30</v>
      </c>
      <c r="CO138" s="2">
        <v>0</v>
      </c>
      <c r="CP138" s="2">
        <f>(P138+Q138+S138)</f>
        <v>0</v>
      </c>
      <c r="CQ138" s="2">
        <f>(AC138*BC138*AW138)</f>
        <v>2812.5</v>
      </c>
      <c r="CR138" s="2">
        <f>((((ET138)*BB138-(EU138)*BS138)+AE138*BS138)*AV138)</f>
        <v>0</v>
      </c>
      <c r="CS138" s="2">
        <f>(AE138*BS138*AV138)</f>
        <v>0</v>
      </c>
      <c r="CT138" s="2">
        <f>(AF138*BA138*AV138)</f>
        <v>0</v>
      </c>
      <c r="CU138" s="2">
        <f>AG138</f>
        <v>0</v>
      </c>
      <c r="CV138" s="2">
        <f>(AH138*AV138)</f>
        <v>0</v>
      </c>
      <c r="CW138" s="2">
        <f>AI138</f>
        <v>0</v>
      </c>
      <c r="CX138" s="2">
        <f>AJ138</f>
        <v>0</v>
      </c>
      <c r="CY138" s="2">
        <f>((S138*BZ138)/100)</f>
        <v>0</v>
      </c>
      <c r="CZ138" s="2">
        <f>((S138*CA138)/100)</f>
        <v>0</v>
      </c>
      <c r="DC138" s="2" t="s">
        <v>30</v>
      </c>
      <c r="DD138" s="2" t="s">
        <v>30</v>
      </c>
      <c r="DE138" s="2" t="s">
        <v>30</v>
      </c>
      <c r="DF138" s="2" t="s">
        <v>30</v>
      </c>
      <c r="DG138" s="2" t="s">
        <v>30</v>
      </c>
      <c r="DH138" s="2" t="s">
        <v>30</v>
      </c>
      <c r="DI138" s="2" t="s">
        <v>30</v>
      </c>
      <c r="DJ138" s="2" t="s">
        <v>30</v>
      </c>
      <c r="DK138" s="2" t="s">
        <v>30</v>
      </c>
      <c r="DL138" s="2" t="s">
        <v>30</v>
      </c>
      <c r="DM138" s="2" t="s">
        <v>30</v>
      </c>
      <c r="DN138" s="2">
        <v>0</v>
      </c>
      <c r="DO138" s="2">
        <v>0</v>
      </c>
      <c r="DP138" s="2">
        <v>1</v>
      </c>
      <c r="DQ138" s="2">
        <v>1</v>
      </c>
      <c r="DU138" s="2">
        <v>1010</v>
      </c>
      <c r="DV138" s="2" t="s">
        <v>67</v>
      </c>
      <c r="DW138" s="2" t="s">
        <v>67</v>
      </c>
      <c r="DX138" s="2">
        <v>1</v>
      </c>
      <c r="DZ138" s="2" t="s">
        <v>30</v>
      </c>
      <c r="EA138" s="2" t="s">
        <v>30</v>
      </c>
      <c r="EB138" s="2" t="s">
        <v>30</v>
      </c>
      <c r="EC138" s="2" t="s">
        <v>30</v>
      </c>
      <c r="EE138" s="2">
        <v>49661954</v>
      </c>
      <c r="EF138" s="2">
        <v>1</v>
      </c>
      <c r="EG138" s="2" t="s">
        <v>180</v>
      </c>
      <c r="EH138" s="2">
        <v>0</v>
      </c>
      <c r="EI138" s="2" t="s">
        <v>30</v>
      </c>
      <c r="EJ138" s="2">
        <v>4</v>
      </c>
      <c r="EK138" s="2">
        <v>0</v>
      </c>
      <c r="EL138" s="2" t="s">
        <v>181</v>
      </c>
      <c r="EM138" s="2" t="s">
        <v>182</v>
      </c>
      <c r="EO138" s="2" t="s">
        <v>30</v>
      </c>
      <c r="EQ138" s="2">
        <v>0</v>
      </c>
      <c r="ER138" s="2">
        <v>2812.5</v>
      </c>
      <c r="ES138" s="2">
        <v>2812.5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FQ138" s="2">
        <v>0</v>
      </c>
      <c r="FR138" s="2">
        <f>ROUND(IF(AND(BH138=3,BI138=3),P138,0),2)</f>
        <v>0</v>
      </c>
      <c r="FS138" s="2">
        <v>0</v>
      </c>
      <c r="FX138" s="2">
        <v>70</v>
      </c>
      <c r="FY138" s="2">
        <v>10</v>
      </c>
      <c r="GA138" s="2" t="s">
        <v>30</v>
      </c>
      <c r="GD138" s="2">
        <v>0</v>
      </c>
      <c r="GF138" s="2">
        <v>1267118734</v>
      </c>
      <c r="GG138" s="2">
        <v>2</v>
      </c>
      <c r="GH138" s="2">
        <v>1</v>
      </c>
      <c r="GI138" s="2">
        <v>-2</v>
      </c>
      <c r="GJ138" s="2">
        <v>0</v>
      </c>
      <c r="GK138" s="2">
        <f>ROUND(R138*(R12)/100,2)</f>
        <v>0</v>
      </c>
      <c r="GL138" s="2">
        <f>ROUND(IF(AND(BH138=3,BI138=3,FS138&lt;&gt;0),P138,0),2)</f>
        <v>0</v>
      </c>
      <c r="GM138" s="2">
        <f>ROUND(O138+X138+Y138+GK138,2)+GX138</f>
        <v>0</v>
      </c>
      <c r="GN138" s="2">
        <f>IF(OR(BI138=0,BI138=1),ROUND(O138+X138+Y138+GK138,2),0)</f>
        <v>0</v>
      </c>
      <c r="GO138" s="2">
        <f>IF(BI138=2,ROUND(O138+X138+Y138+GK138,2),0)</f>
        <v>0</v>
      </c>
      <c r="GP138" s="2">
        <f>IF(BI138=4,ROUND(O138+X138+Y138+GK138,2)+GX138,0)</f>
        <v>0</v>
      </c>
      <c r="GR138" s="2">
        <v>0</v>
      </c>
      <c r="GS138" s="2">
        <v>0</v>
      </c>
      <c r="GT138" s="2">
        <v>0</v>
      </c>
      <c r="GU138" s="2" t="s">
        <v>30</v>
      </c>
      <c r="GV138" s="2">
        <f>ROUND((GT138),6)</f>
        <v>0</v>
      </c>
      <c r="GW138" s="2">
        <v>1</v>
      </c>
      <c r="GX138" s="2">
        <f>ROUND(HC138*I138,2)</f>
        <v>0</v>
      </c>
      <c r="HA138" s="2">
        <v>0</v>
      </c>
      <c r="HB138" s="2">
        <v>0</v>
      </c>
      <c r="HC138" s="2">
        <f>GV138*GW138</f>
        <v>0</v>
      </c>
      <c r="HE138" s="2" t="s">
        <v>30</v>
      </c>
      <c r="HF138" s="2" t="s">
        <v>30</v>
      </c>
      <c r="HM138" s="2" t="s">
        <v>30</v>
      </c>
      <c r="HN138" s="2" t="s">
        <v>30</v>
      </c>
      <c r="HO138" s="2" t="s">
        <v>30</v>
      </c>
      <c r="HP138" s="2" t="s">
        <v>30</v>
      </c>
      <c r="HQ138" s="2" t="s">
        <v>30</v>
      </c>
      <c r="IK138" s="2">
        <v>0</v>
      </c>
    </row>
    <row r="140" spans="1:245" ht="13" x14ac:dyDescent="0.3">
      <c r="A140" s="44">
        <v>51</v>
      </c>
      <c r="B140" s="44">
        <f>B133</f>
        <v>1</v>
      </c>
      <c r="C140" s="44">
        <f>A133</f>
        <v>4</v>
      </c>
      <c r="D140" s="44">
        <f>ROW(A133)</f>
        <v>133</v>
      </c>
      <c r="E140" s="44"/>
      <c r="F140" s="44" t="str">
        <f>IF(F133&lt;&gt;"",F133,"")</f>
        <v>Новый раздел</v>
      </c>
      <c r="G140" s="44" t="str">
        <f>IF(G133&lt;&gt;"",G133,"")</f>
        <v>Устройство малых архитектурных форм</v>
      </c>
      <c r="H140" s="44">
        <v>0</v>
      </c>
      <c r="I140" s="44"/>
      <c r="J140" s="44"/>
      <c r="K140" s="44"/>
      <c r="L140" s="44"/>
      <c r="M140" s="44"/>
      <c r="N140" s="44"/>
      <c r="O140" s="44">
        <f t="shared" ref="O140:T140" si="93">ROUND(AB140,2)</f>
        <v>0</v>
      </c>
      <c r="P140" s="44">
        <f t="shared" si="93"/>
        <v>0</v>
      </c>
      <c r="Q140" s="44">
        <f t="shared" si="93"/>
        <v>0</v>
      </c>
      <c r="R140" s="44">
        <f t="shared" si="93"/>
        <v>0</v>
      </c>
      <c r="S140" s="44">
        <f t="shared" si="93"/>
        <v>0</v>
      </c>
      <c r="T140" s="44">
        <f t="shared" si="93"/>
        <v>0</v>
      </c>
      <c r="U140" s="44">
        <f>AH140</f>
        <v>0</v>
      </c>
      <c r="V140" s="44">
        <f>AI140</f>
        <v>0</v>
      </c>
      <c r="W140" s="44">
        <f>ROUND(AJ140,2)</f>
        <v>0</v>
      </c>
      <c r="X140" s="44">
        <f>ROUND(AK140,2)</f>
        <v>0</v>
      </c>
      <c r="Y140" s="44">
        <f>ROUND(AL140,2)</f>
        <v>0</v>
      </c>
      <c r="Z140" s="44"/>
      <c r="AA140" s="44"/>
      <c r="AB140" s="44">
        <f>ROUND(SUMIF(AA137:AA138,"=52261502",O137:O138),2)</f>
        <v>0</v>
      </c>
      <c r="AC140" s="44">
        <f>ROUND(SUMIF(AA137:AA138,"=52261502",P137:P138),2)</f>
        <v>0</v>
      </c>
      <c r="AD140" s="44">
        <f>ROUND(SUMIF(AA137:AA138,"=52261502",Q137:Q138),2)</f>
        <v>0</v>
      </c>
      <c r="AE140" s="44">
        <f>ROUND(SUMIF(AA137:AA138,"=52261502",R137:R138),2)</f>
        <v>0</v>
      </c>
      <c r="AF140" s="44">
        <f>ROUND(SUMIF(AA137:AA138,"=52261502",S137:S138),2)</f>
        <v>0</v>
      </c>
      <c r="AG140" s="44">
        <f>ROUND(SUMIF(AA137:AA138,"=52261502",T137:T138),2)</f>
        <v>0</v>
      </c>
      <c r="AH140" s="44">
        <f>SUMIF(AA137:AA138,"=52261502",U137:U138)</f>
        <v>0</v>
      </c>
      <c r="AI140" s="44">
        <f>SUMIF(AA137:AA138,"=52261502",V137:V138)</f>
        <v>0</v>
      </c>
      <c r="AJ140" s="44">
        <f>ROUND(SUMIF(AA137:AA138,"=52261502",W137:W138),2)</f>
        <v>0</v>
      </c>
      <c r="AK140" s="44">
        <f>ROUND(SUMIF(AA137:AA138,"=52261502",X137:X138),2)</f>
        <v>0</v>
      </c>
      <c r="AL140" s="44">
        <f>ROUND(SUMIF(AA137:AA138,"=52261502",Y137:Y138),2)</f>
        <v>0</v>
      </c>
      <c r="AM140" s="44"/>
      <c r="AN140" s="44"/>
      <c r="AO140" s="44">
        <f t="shared" ref="AO140:BD140" si="94">ROUND(BX140,2)</f>
        <v>0</v>
      </c>
      <c r="AP140" s="44">
        <f t="shared" si="94"/>
        <v>0</v>
      </c>
      <c r="AQ140" s="44">
        <f t="shared" si="94"/>
        <v>0</v>
      </c>
      <c r="AR140" s="44">
        <f t="shared" si="94"/>
        <v>0</v>
      </c>
      <c r="AS140" s="44">
        <f t="shared" si="94"/>
        <v>0</v>
      </c>
      <c r="AT140" s="44">
        <f t="shared" si="94"/>
        <v>0</v>
      </c>
      <c r="AU140" s="44">
        <f t="shared" si="94"/>
        <v>0</v>
      </c>
      <c r="AV140" s="44">
        <f t="shared" si="94"/>
        <v>0</v>
      </c>
      <c r="AW140" s="44">
        <f t="shared" si="94"/>
        <v>0</v>
      </c>
      <c r="AX140" s="44">
        <f t="shared" si="94"/>
        <v>0</v>
      </c>
      <c r="AY140" s="44">
        <f t="shared" si="94"/>
        <v>0</v>
      </c>
      <c r="AZ140" s="44">
        <f t="shared" si="94"/>
        <v>0</v>
      </c>
      <c r="BA140" s="44">
        <f t="shared" si="94"/>
        <v>0</v>
      </c>
      <c r="BB140" s="44">
        <f t="shared" si="94"/>
        <v>0</v>
      </c>
      <c r="BC140" s="44">
        <f t="shared" si="94"/>
        <v>0</v>
      </c>
      <c r="BD140" s="44">
        <f t="shared" si="94"/>
        <v>0</v>
      </c>
      <c r="BE140" s="44"/>
      <c r="BF140" s="44"/>
      <c r="BG140" s="44"/>
      <c r="BH140" s="44"/>
      <c r="BI140" s="44"/>
      <c r="BJ140" s="44"/>
      <c r="BK140" s="44"/>
      <c r="BL140" s="44"/>
      <c r="BM140" s="44"/>
      <c r="BN140" s="44"/>
      <c r="BO140" s="44"/>
      <c r="BP140" s="44"/>
      <c r="BQ140" s="44"/>
      <c r="BR140" s="44"/>
      <c r="BS140" s="44"/>
      <c r="BT140" s="44"/>
      <c r="BU140" s="44"/>
      <c r="BV140" s="44"/>
      <c r="BW140" s="44"/>
      <c r="BX140" s="44">
        <f>ROUND(SUMIF(AA137:AA138,"=52261502",FQ137:FQ138),2)</f>
        <v>0</v>
      </c>
      <c r="BY140" s="44">
        <f>ROUND(SUMIF(AA137:AA138,"=52261502",FR137:FR138),2)</f>
        <v>0</v>
      </c>
      <c r="BZ140" s="44">
        <f>ROUND(SUMIF(AA137:AA138,"=52261502",GL137:GL138),2)</f>
        <v>0</v>
      </c>
      <c r="CA140" s="44">
        <f>ROUND(SUMIF(AA137:AA138,"=52261502",GM137:GM138),2)</f>
        <v>0</v>
      </c>
      <c r="CB140" s="44">
        <f>ROUND(SUMIF(AA137:AA138,"=52261502",GN137:GN138),2)</f>
        <v>0</v>
      </c>
      <c r="CC140" s="44">
        <f>ROUND(SUMIF(AA137:AA138,"=52261502",GO137:GO138),2)</f>
        <v>0</v>
      </c>
      <c r="CD140" s="44">
        <f>ROUND(SUMIF(AA137:AA138,"=52261502",GP137:GP138),2)</f>
        <v>0</v>
      </c>
      <c r="CE140" s="44">
        <f>AC140-BX140</f>
        <v>0</v>
      </c>
      <c r="CF140" s="44">
        <f>AC140-BY140</f>
        <v>0</v>
      </c>
      <c r="CG140" s="44">
        <f>BX140-BZ140</f>
        <v>0</v>
      </c>
      <c r="CH140" s="44">
        <f>AC140-BX140-BY140+BZ140</f>
        <v>0</v>
      </c>
      <c r="CI140" s="44">
        <f>BY140-BZ140</f>
        <v>0</v>
      </c>
      <c r="CJ140" s="44">
        <f>ROUND(SUMIF(AA137:AA138,"=52261502",GX137:GX138),2)</f>
        <v>0</v>
      </c>
      <c r="CK140" s="44">
        <f>ROUND(SUMIF(AA137:AA138,"=52261502",GY137:GY138),2)</f>
        <v>0</v>
      </c>
      <c r="CL140" s="44">
        <f>ROUND(SUMIF(AA137:AA138,"=52261502",GZ137:GZ138),2)</f>
        <v>0</v>
      </c>
      <c r="CM140" s="44">
        <f>ROUND(SUMIF(AA137:AA138,"=52261502",HD137:HD138),2)</f>
        <v>0</v>
      </c>
      <c r="CN140" s="44"/>
      <c r="CO140" s="44"/>
      <c r="CP140" s="44"/>
      <c r="CQ140" s="44"/>
      <c r="CR140" s="44"/>
      <c r="CS140" s="44"/>
      <c r="CT140" s="44"/>
      <c r="CU140" s="44"/>
      <c r="CV140" s="44"/>
      <c r="CW140" s="44"/>
      <c r="CX140" s="44"/>
      <c r="CY140" s="44"/>
      <c r="CZ140" s="44"/>
      <c r="DA140" s="44"/>
      <c r="DB140" s="44"/>
      <c r="DC140" s="44"/>
      <c r="DD140" s="44"/>
      <c r="DE140" s="44"/>
      <c r="DF140" s="44"/>
      <c r="DG140" s="45"/>
      <c r="DH140" s="45"/>
      <c r="DI140" s="45"/>
      <c r="DJ140" s="45"/>
      <c r="DK140" s="45"/>
      <c r="DL140" s="45"/>
      <c r="DM140" s="45"/>
      <c r="DN140" s="45"/>
      <c r="DO140" s="45"/>
      <c r="DP140" s="45"/>
      <c r="DQ140" s="45"/>
      <c r="DR140" s="45"/>
      <c r="DS140" s="45"/>
      <c r="DT140" s="45"/>
      <c r="DU140" s="45"/>
      <c r="DV140" s="45"/>
      <c r="DW140" s="45"/>
      <c r="DX140" s="45"/>
      <c r="DY140" s="45"/>
      <c r="DZ140" s="45"/>
      <c r="EA140" s="45"/>
      <c r="EB140" s="45"/>
      <c r="EC140" s="45"/>
      <c r="ED140" s="45"/>
      <c r="EE140" s="45"/>
      <c r="EF140" s="45"/>
      <c r="EG140" s="45"/>
      <c r="EH140" s="45"/>
      <c r="EI140" s="45"/>
      <c r="EJ140" s="45"/>
      <c r="EK140" s="45"/>
      <c r="EL140" s="45"/>
      <c r="EM140" s="45"/>
      <c r="EN140" s="45"/>
      <c r="EO140" s="45"/>
      <c r="EP140" s="45"/>
      <c r="EQ140" s="45"/>
      <c r="ER140" s="45"/>
      <c r="ES140" s="45"/>
      <c r="ET140" s="45"/>
      <c r="EU140" s="45"/>
      <c r="EV140" s="45"/>
      <c r="EW140" s="45"/>
      <c r="EX140" s="45"/>
      <c r="EY140" s="45"/>
      <c r="EZ140" s="45"/>
      <c r="FA140" s="45"/>
      <c r="FB140" s="45"/>
      <c r="FC140" s="45"/>
      <c r="FD140" s="45"/>
      <c r="FE140" s="45"/>
      <c r="FF140" s="45"/>
      <c r="FG140" s="45"/>
      <c r="FH140" s="45"/>
      <c r="FI140" s="45"/>
      <c r="FJ140" s="45"/>
      <c r="FK140" s="45"/>
      <c r="FL140" s="45"/>
      <c r="FM140" s="45"/>
      <c r="FN140" s="45"/>
      <c r="FO140" s="45"/>
      <c r="FP140" s="45"/>
      <c r="FQ140" s="45"/>
      <c r="FR140" s="45"/>
      <c r="FS140" s="45"/>
      <c r="FT140" s="45"/>
      <c r="FU140" s="45"/>
      <c r="FV140" s="45"/>
      <c r="FW140" s="45"/>
      <c r="FX140" s="45"/>
      <c r="FY140" s="45"/>
      <c r="FZ140" s="45"/>
      <c r="GA140" s="45"/>
      <c r="GB140" s="45"/>
      <c r="GC140" s="45"/>
      <c r="GD140" s="45"/>
      <c r="GE140" s="45"/>
      <c r="GF140" s="45"/>
      <c r="GG140" s="45"/>
      <c r="GH140" s="45"/>
      <c r="GI140" s="45"/>
      <c r="GJ140" s="45"/>
      <c r="GK140" s="45"/>
      <c r="GL140" s="45"/>
      <c r="GM140" s="45"/>
      <c r="GN140" s="45"/>
      <c r="GO140" s="45"/>
      <c r="GP140" s="45"/>
      <c r="GQ140" s="45"/>
      <c r="GR140" s="45"/>
      <c r="GS140" s="45"/>
      <c r="GT140" s="45"/>
      <c r="GU140" s="45"/>
      <c r="GV140" s="45"/>
      <c r="GW140" s="45"/>
      <c r="GX140" s="45">
        <v>0</v>
      </c>
    </row>
    <row r="142" spans="1:245" ht="13" x14ac:dyDescent="0.3">
      <c r="A142" s="46">
        <v>50</v>
      </c>
      <c r="B142" s="46">
        <v>0</v>
      </c>
      <c r="C142" s="46">
        <v>0</v>
      </c>
      <c r="D142" s="46">
        <v>1</v>
      </c>
      <c r="E142" s="46">
        <v>201</v>
      </c>
      <c r="F142" s="46">
        <f>ROUND(Source!O140,O142)</f>
        <v>0</v>
      </c>
      <c r="G142" s="46" t="s">
        <v>214</v>
      </c>
      <c r="H142" s="46" t="s">
        <v>215</v>
      </c>
      <c r="I142" s="46"/>
      <c r="J142" s="46"/>
      <c r="K142" s="46">
        <v>201</v>
      </c>
      <c r="L142" s="46">
        <v>1</v>
      </c>
      <c r="M142" s="46">
        <v>3</v>
      </c>
      <c r="N142" s="46" t="s">
        <v>30</v>
      </c>
      <c r="O142" s="46">
        <v>2</v>
      </c>
      <c r="P142" s="46"/>
      <c r="Q142" s="46"/>
      <c r="R142" s="46"/>
      <c r="S142" s="46"/>
      <c r="T142" s="46"/>
      <c r="U142" s="46"/>
      <c r="V142" s="46"/>
      <c r="W142" s="46">
        <v>46825</v>
      </c>
      <c r="X142" s="46">
        <v>1</v>
      </c>
      <c r="Y142" s="46">
        <v>46825</v>
      </c>
      <c r="Z142" s="46"/>
      <c r="AA142" s="46"/>
      <c r="AB142" s="46"/>
    </row>
    <row r="143" spans="1:245" ht="13" x14ac:dyDescent="0.3">
      <c r="A143" s="46">
        <v>50</v>
      </c>
      <c r="B143" s="46">
        <v>0</v>
      </c>
      <c r="C143" s="46">
        <v>0</v>
      </c>
      <c r="D143" s="46">
        <v>1</v>
      </c>
      <c r="E143" s="46">
        <v>202</v>
      </c>
      <c r="F143" s="46">
        <f>ROUND(Source!P140,O143)</f>
        <v>0</v>
      </c>
      <c r="G143" s="46" t="s">
        <v>216</v>
      </c>
      <c r="H143" s="46" t="s">
        <v>217</v>
      </c>
      <c r="I143" s="46"/>
      <c r="J143" s="46"/>
      <c r="K143" s="46">
        <v>202</v>
      </c>
      <c r="L143" s="46">
        <v>2</v>
      </c>
      <c r="M143" s="46">
        <v>3</v>
      </c>
      <c r="N143" s="46" t="s">
        <v>30</v>
      </c>
      <c r="O143" s="46">
        <v>2</v>
      </c>
      <c r="P143" s="46"/>
      <c r="Q143" s="46"/>
      <c r="R143" s="46"/>
      <c r="S143" s="46"/>
      <c r="T143" s="46"/>
      <c r="U143" s="46"/>
      <c r="V143" s="46"/>
      <c r="W143" s="46">
        <v>46825</v>
      </c>
      <c r="X143" s="46">
        <v>1</v>
      </c>
      <c r="Y143" s="46">
        <v>46825</v>
      </c>
      <c r="Z143" s="46"/>
      <c r="AA143" s="46"/>
      <c r="AB143" s="46"/>
    </row>
    <row r="144" spans="1:245" ht="13" x14ac:dyDescent="0.3">
      <c r="A144" s="46">
        <v>50</v>
      </c>
      <c r="B144" s="46">
        <v>0</v>
      </c>
      <c r="C144" s="46">
        <v>0</v>
      </c>
      <c r="D144" s="46">
        <v>1</v>
      </c>
      <c r="E144" s="46">
        <v>222</v>
      </c>
      <c r="F144" s="46">
        <f>ROUND(Source!AO140,O144)</f>
        <v>0</v>
      </c>
      <c r="G144" s="46" t="s">
        <v>218</v>
      </c>
      <c r="H144" s="46" t="s">
        <v>219</v>
      </c>
      <c r="I144" s="46"/>
      <c r="J144" s="46"/>
      <c r="K144" s="46">
        <v>222</v>
      </c>
      <c r="L144" s="46">
        <v>3</v>
      </c>
      <c r="M144" s="46">
        <v>3</v>
      </c>
      <c r="N144" s="46" t="s">
        <v>30</v>
      </c>
      <c r="O144" s="46">
        <v>2</v>
      </c>
      <c r="P144" s="46"/>
      <c r="Q144" s="46"/>
      <c r="R144" s="46"/>
      <c r="S144" s="46"/>
      <c r="T144" s="46"/>
      <c r="U144" s="46"/>
      <c r="V144" s="46"/>
      <c r="W144" s="46">
        <v>0</v>
      </c>
      <c r="X144" s="46">
        <v>1</v>
      </c>
      <c r="Y144" s="46">
        <v>0</v>
      </c>
      <c r="Z144" s="46"/>
      <c r="AA144" s="46"/>
      <c r="AB144" s="46"/>
    </row>
    <row r="145" spans="1:28" ht="13" x14ac:dyDescent="0.3">
      <c r="A145" s="46">
        <v>50</v>
      </c>
      <c r="B145" s="46">
        <v>0</v>
      </c>
      <c r="C145" s="46">
        <v>0</v>
      </c>
      <c r="D145" s="46">
        <v>1</v>
      </c>
      <c r="E145" s="46">
        <v>225</v>
      </c>
      <c r="F145" s="46">
        <f>ROUND(Source!AV140,O145)</f>
        <v>0</v>
      </c>
      <c r="G145" s="46" t="s">
        <v>220</v>
      </c>
      <c r="H145" s="46" t="s">
        <v>221</v>
      </c>
      <c r="I145" s="46"/>
      <c r="J145" s="46"/>
      <c r="K145" s="46">
        <v>225</v>
      </c>
      <c r="L145" s="46">
        <v>4</v>
      </c>
      <c r="M145" s="46">
        <v>3</v>
      </c>
      <c r="N145" s="46" t="s">
        <v>30</v>
      </c>
      <c r="O145" s="46">
        <v>2</v>
      </c>
      <c r="P145" s="46"/>
      <c r="Q145" s="46"/>
      <c r="R145" s="46"/>
      <c r="S145" s="46"/>
      <c r="T145" s="46"/>
      <c r="U145" s="46"/>
      <c r="V145" s="46"/>
      <c r="W145" s="46">
        <v>46825</v>
      </c>
      <c r="X145" s="46">
        <v>1</v>
      </c>
      <c r="Y145" s="46">
        <v>46825</v>
      </c>
      <c r="Z145" s="46"/>
      <c r="AA145" s="46"/>
      <c r="AB145" s="46"/>
    </row>
    <row r="146" spans="1:28" ht="13" x14ac:dyDescent="0.3">
      <c r="A146" s="46">
        <v>50</v>
      </c>
      <c r="B146" s="46">
        <v>0</v>
      </c>
      <c r="C146" s="46">
        <v>0</v>
      </c>
      <c r="D146" s="46">
        <v>1</v>
      </c>
      <c r="E146" s="46">
        <v>226</v>
      </c>
      <c r="F146" s="46">
        <f>ROUND(Source!AW140,O146)</f>
        <v>0</v>
      </c>
      <c r="G146" s="46" t="s">
        <v>222</v>
      </c>
      <c r="H146" s="46" t="s">
        <v>223</v>
      </c>
      <c r="I146" s="46"/>
      <c r="J146" s="46"/>
      <c r="K146" s="46">
        <v>226</v>
      </c>
      <c r="L146" s="46">
        <v>5</v>
      </c>
      <c r="M146" s="46">
        <v>3</v>
      </c>
      <c r="N146" s="46" t="s">
        <v>30</v>
      </c>
      <c r="O146" s="46">
        <v>2</v>
      </c>
      <c r="P146" s="46"/>
      <c r="Q146" s="46"/>
      <c r="R146" s="46"/>
      <c r="S146" s="46"/>
      <c r="T146" s="46"/>
      <c r="U146" s="46"/>
      <c r="V146" s="46"/>
      <c r="W146" s="46">
        <v>46825</v>
      </c>
      <c r="X146" s="46">
        <v>1</v>
      </c>
      <c r="Y146" s="46">
        <v>46825</v>
      </c>
      <c r="Z146" s="46"/>
      <c r="AA146" s="46"/>
      <c r="AB146" s="46"/>
    </row>
    <row r="147" spans="1:28" ht="13" x14ac:dyDescent="0.3">
      <c r="A147" s="46">
        <v>50</v>
      </c>
      <c r="B147" s="46">
        <v>0</v>
      </c>
      <c r="C147" s="46">
        <v>0</v>
      </c>
      <c r="D147" s="46">
        <v>1</v>
      </c>
      <c r="E147" s="46">
        <v>227</v>
      </c>
      <c r="F147" s="46">
        <f>ROUND(Source!AX140,O147)</f>
        <v>0</v>
      </c>
      <c r="G147" s="46" t="s">
        <v>224</v>
      </c>
      <c r="H147" s="46" t="s">
        <v>225</v>
      </c>
      <c r="I147" s="46"/>
      <c r="J147" s="46"/>
      <c r="K147" s="46">
        <v>227</v>
      </c>
      <c r="L147" s="46">
        <v>6</v>
      </c>
      <c r="M147" s="46">
        <v>3</v>
      </c>
      <c r="N147" s="46" t="s">
        <v>30</v>
      </c>
      <c r="O147" s="46">
        <v>2</v>
      </c>
      <c r="P147" s="46"/>
      <c r="Q147" s="46"/>
      <c r="R147" s="46"/>
      <c r="S147" s="46"/>
      <c r="T147" s="46"/>
      <c r="U147" s="46"/>
      <c r="V147" s="46"/>
      <c r="W147" s="46">
        <v>0</v>
      </c>
      <c r="X147" s="46">
        <v>1</v>
      </c>
      <c r="Y147" s="46">
        <v>0</v>
      </c>
      <c r="Z147" s="46"/>
      <c r="AA147" s="46"/>
      <c r="AB147" s="46"/>
    </row>
    <row r="148" spans="1:28" ht="13" x14ac:dyDescent="0.3">
      <c r="A148" s="46">
        <v>50</v>
      </c>
      <c r="B148" s="46">
        <v>0</v>
      </c>
      <c r="C148" s="46">
        <v>0</v>
      </c>
      <c r="D148" s="46">
        <v>1</v>
      </c>
      <c r="E148" s="46">
        <v>228</v>
      </c>
      <c r="F148" s="46">
        <f>ROUND(Source!AY140,O148)</f>
        <v>0</v>
      </c>
      <c r="G148" s="46" t="s">
        <v>226</v>
      </c>
      <c r="H148" s="46" t="s">
        <v>227</v>
      </c>
      <c r="I148" s="46"/>
      <c r="J148" s="46"/>
      <c r="K148" s="46">
        <v>228</v>
      </c>
      <c r="L148" s="46">
        <v>7</v>
      </c>
      <c r="M148" s="46">
        <v>3</v>
      </c>
      <c r="N148" s="46" t="s">
        <v>30</v>
      </c>
      <c r="O148" s="46">
        <v>2</v>
      </c>
      <c r="P148" s="46"/>
      <c r="Q148" s="46"/>
      <c r="R148" s="46"/>
      <c r="S148" s="46"/>
      <c r="T148" s="46"/>
      <c r="U148" s="46"/>
      <c r="V148" s="46"/>
      <c r="W148" s="46">
        <v>46825</v>
      </c>
      <c r="X148" s="46">
        <v>1</v>
      </c>
      <c r="Y148" s="46">
        <v>46825</v>
      </c>
      <c r="Z148" s="46"/>
      <c r="AA148" s="46"/>
      <c r="AB148" s="46"/>
    </row>
    <row r="149" spans="1:28" ht="13" x14ac:dyDescent="0.3">
      <c r="A149" s="46">
        <v>50</v>
      </c>
      <c r="B149" s="46">
        <v>0</v>
      </c>
      <c r="C149" s="46">
        <v>0</v>
      </c>
      <c r="D149" s="46">
        <v>1</v>
      </c>
      <c r="E149" s="46">
        <v>216</v>
      </c>
      <c r="F149" s="46">
        <f>ROUND(Source!AP140,O149)</f>
        <v>0</v>
      </c>
      <c r="G149" s="46" t="s">
        <v>228</v>
      </c>
      <c r="H149" s="46" t="s">
        <v>229</v>
      </c>
      <c r="I149" s="46"/>
      <c r="J149" s="46"/>
      <c r="K149" s="46">
        <v>216</v>
      </c>
      <c r="L149" s="46">
        <v>8</v>
      </c>
      <c r="M149" s="46">
        <v>3</v>
      </c>
      <c r="N149" s="46" t="s">
        <v>30</v>
      </c>
      <c r="O149" s="46">
        <v>2</v>
      </c>
      <c r="P149" s="46"/>
      <c r="Q149" s="46"/>
      <c r="R149" s="46"/>
      <c r="S149" s="46"/>
      <c r="T149" s="46"/>
      <c r="U149" s="46"/>
      <c r="V149" s="46"/>
      <c r="W149" s="46">
        <v>0</v>
      </c>
      <c r="X149" s="46">
        <v>1</v>
      </c>
      <c r="Y149" s="46">
        <v>0</v>
      </c>
      <c r="Z149" s="46"/>
      <c r="AA149" s="46"/>
      <c r="AB149" s="46"/>
    </row>
    <row r="150" spans="1:28" ht="13" x14ac:dyDescent="0.3">
      <c r="A150" s="46">
        <v>50</v>
      </c>
      <c r="B150" s="46">
        <v>0</v>
      </c>
      <c r="C150" s="46">
        <v>0</v>
      </c>
      <c r="D150" s="46">
        <v>1</v>
      </c>
      <c r="E150" s="46">
        <v>223</v>
      </c>
      <c r="F150" s="46">
        <f>ROUND(Source!AQ140,O150)</f>
        <v>0</v>
      </c>
      <c r="G150" s="46" t="s">
        <v>230</v>
      </c>
      <c r="H150" s="46" t="s">
        <v>231</v>
      </c>
      <c r="I150" s="46"/>
      <c r="J150" s="46"/>
      <c r="K150" s="46">
        <v>223</v>
      </c>
      <c r="L150" s="46">
        <v>9</v>
      </c>
      <c r="M150" s="46">
        <v>3</v>
      </c>
      <c r="N150" s="46" t="s">
        <v>30</v>
      </c>
      <c r="O150" s="46">
        <v>2</v>
      </c>
      <c r="P150" s="46"/>
      <c r="Q150" s="46"/>
      <c r="R150" s="46"/>
      <c r="S150" s="46"/>
      <c r="T150" s="46"/>
      <c r="U150" s="46"/>
      <c r="V150" s="46"/>
      <c r="W150" s="46">
        <v>0</v>
      </c>
      <c r="X150" s="46">
        <v>1</v>
      </c>
      <c r="Y150" s="46">
        <v>0</v>
      </c>
      <c r="Z150" s="46"/>
      <c r="AA150" s="46"/>
      <c r="AB150" s="46"/>
    </row>
    <row r="151" spans="1:28" ht="13" x14ac:dyDescent="0.3">
      <c r="A151" s="46">
        <v>50</v>
      </c>
      <c r="B151" s="46">
        <v>0</v>
      </c>
      <c r="C151" s="46">
        <v>0</v>
      </c>
      <c r="D151" s="46">
        <v>1</v>
      </c>
      <c r="E151" s="46">
        <v>229</v>
      </c>
      <c r="F151" s="46">
        <f>ROUND(Source!AZ140,O151)</f>
        <v>0</v>
      </c>
      <c r="G151" s="46" t="s">
        <v>232</v>
      </c>
      <c r="H151" s="46" t="s">
        <v>233</v>
      </c>
      <c r="I151" s="46"/>
      <c r="J151" s="46"/>
      <c r="K151" s="46">
        <v>229</v>
      </c>
      <c r="L151" s="46">
        <v>10</v>
      </c>
      <c r="M151" s="46">
        <v>3</v>
      </c>
      <c r="N151" s="46" t="s">
        <v>30</v>
      </c>
      <c r="O151" s="46">
        <v>2</v>
      </c>
      <c r="P151" s="46"/>
      <c r="Q151" s="46"/>
      <c r="R151" s="46"/>
      <c r="S151" s="46"/>
      <c r="T151" s="46"/>
      <c r="U151" s="46"/>
      <c r="V151" s="46"/>
      <c r="W151" s="46">
        <v>0</v>
      </c>
      <c r="X151" s="46">
        <v>1</v>
      </c>
      <c r="Y151" s="46">
        <v>0</v>
      </c>
      <c r="Z151" s="46"/>
      <c r="AA151" s="46"/>
      <c r="AB151" s="46"/>
    </row>
    <row r="152" spans="1:28" ht="13" x14ac:dyDescent="0.3">
      <c r="A152" s="46">
        <v>50</v>
      </c>
      <c r="B152" s="46">
        <v>0</v>
      </c>
      <c r="C152" s="46">
        <v>0</v>
      </c>
      <c r="D152" s="46">
        <v>1</v>
      </c>
      <c r="E152" s="46">
        <v>203</v>
      </c>
      <c r="F152" s="46">
        <f>ROUND(Source!Q140,O152)</f>
        <v>0</v>
      </c>
      <c r="G152" s="46" t="s">
        <v>234</v>
      </c>
      <c r="H152" s="46" t="s">
        <v>235</v>
      </c>
      <c r="I152" s="46"/>
      <c r="J152" s="46"/>
      <c r="K152" s="46">
        <v>203</v>
      </c>
      <c r="L152" s="46">
        <v>11</v>
      </c>
      <c r="M152" s="46">
        <v>3</v>
      </c>
      <c r="N152" s="46" t="s">
        <v>30</v>
      </c>
      <c r="O152" s="46">
        <v>2</v>
      </c>
      <c r="P152" s="46"/>
      <c r="Q152" s="46"/>
      <c r="R152" s="46"/>
      <c r="S152" s="46"/>
      <c r="T152" s="46"/>
      <c r="U152" s="46"/>
      <c r="V152" s="46"/>
      <c r="W152" s="46">
        <v>0</v>
      </c>
      <c r="X152" s="46">
        <v>1</v>
      </c>
      <c r="Y152" s="46">
        <v>0</v>
      </c>
      <c r="Z152" s="46"/>
      <c r="AA152" s="46"/>
      <c r="AB152" s="46"/>
    </row>
    <row r="153" spans="1:28" ht="13" x14ac:dyDescent="0.3">
      <c r="A153" s="46">
        <v>50</v>
      </c>
      <c r="B153" s="46">
        <v>0</v>
      </c>
      <c r="C153" s="46">
        <v>0</v>
      </c>
      <c r="D153" s="46">
        <v>1</v>
      </c>
      <c r="E153" s="46">
        <v>231</v>
      </c>
      <c r="F153" s="46">
        <f>ROUND(Source!BB140,O153)</f>
        <v>0</v>
      </c>
      <c r="G153" s="46" t="s">
        <v>236</v>
      </c>
      <c r="H153" s="46" t="s">
        <v>237</v>
      </c>
      <c r="I153" s="46"/>
      <c r="J153" s="46"/>
      <c r="K153" s="46">
        <v>231</v>
      </c>
      <c r="L153" s="46">
        <v>12</v>
      </c>
      <c r="M153" s="46">
        <v>3</v>
      </c>
      <c r="N153" s="46" t="s">
        <v>30</v>
      </c>
      <c r="O153" s="46">
        <v>2</v>
      </c>
      <c r="P153" s="46"/>
      <c r="Q153" s="46"/>
      <c r="R153" s="46"/>
      <c r="S153" s="46"/>
      <c r="T153" s="46"/>
      <c r="U153" s="46"/>
      <c r="V153" s="46"/>
      <c r="W153" s="46">
        <v>0</v>
      </c>
      <c r="X153" s="46">
        <v>1</v>
      </c>
      <c r="Y153" s="46">
        <v>0</v>
      </c>
      <c r="Z153" s="46"/>
      <c r="AA153" s="46"/>
      <c r="AB153" s="46"/>
    </row>
    <row r="154" spans="1:28" ht="13" x14ac:dyDescent="0.3">
      <c r="A154" s="46">
        <v>50</v>
      </c>
      <c r="B154" s="46">
        <v>0</v>
      </c>
      <c r="C154" s="46">
        <v>0</v>
      </c>
      <c r="D154" s="46">
        <v>1</v>
      </c>
      <c r="E154" s="46">
        <v>204</v>
      </c>
      <c r="F154" s="46">
        <f>ROUND(Source!R140,O154)</f>
        <v>0</v>
      </c>
      <c r="G154" s="46" t="s">
        <v>238</v>
      </c>
      <c r="H154" s="46" t="s">
        <v>239</v>
      </c>
      <c r="I154" s="46"/>
      <c r="J154" s="46"/>
      <c r="K154" s="46">
        <v>204</v>
      </c>
      <c r="L154" s="46">
        <v>13</v>
      </c>
      <c r="M154" s="46">
        <v>3</v>
      </c>
      <c r="N154" s="46" t="s">
        <v>30</v>
      </c>
      <c r="O154" s="46">
        <v>2</v>
      </c>
      <c r="P154" s="46"/>
      <c r="Q154" s="46"/>
      <c r="R154" s="46"/>
      <c r="S154" s="46"/>
      <c r="T154" s="46"/>
      <c r="U154" s="46"/>
      <c r="V154" s="46"/>
      <c r="W154" s="46">
        <v>0</v>
      </c>
      <c r="X154" s="46">
        <v>1</v>
      </c>
      <c r="Y154" s="46">
        <v>0</v>
      </c>
      <c r="Z154" s="46"/>
      <c r="AA154" s="46"/>
      <c r="AB154" s="46"/>
    </row>
    <row r="155" spans="1:28" ht="13" x14ac:dyDescent="0.3">
      <c r="A155" s="46">
        <v>50</v>
      </c>
      <c r="B155" s="46">
        <v>0</v>
      </c>
      <c r="C155" s="46">
        <v>0</v>
      </c>
      <c r="D155" s="46">
        <v>1</v>
      </c>
      <c r="E155" s="46">
        <v>205</v>
      </c>
      <c r="F155" s="46">
        <f>ROUND(Source!S140,O155)</f>
        <v>0</v>
      </c>
      <c r="G155" s="46" t="s">
        <v>240</v>
      </c>
      <c r="H155" s="46" t="s">
        <v>241</v>
      </c>
      <c r="I155" s="46"/>
      <c r="J155" s="46"/>
      <c r="K155" s="46">
        <v>205</v>
      </c>
      <c r="L155" s="46">
        <v>14</v>
      </c>
      <c r="M155" s="46">
        <v>3</v>
      </c>
      <c r="N155" s="46" t="s">
        <v>30</v>
      </c>
      <c r="O155" s="46">
        <v>2</v>
      </c>
      <c r="P155" s="46"/>
      <c r="Q155" s="46"/>
      <c r="R155" s="46"/>
      <c r="S155" s="46"/>
      <c r="T155" s="46"/>
      <c r="U155" s="46"/>
      <c r="V155" s="46"/>
      <c r="W155" s="46">
        <v>0</v>
      </c>
      <c r="X155" s="46">
        <v>1</v>
      </c>
      <c r="Y155" s="46">
        <v>0</v>
      </c>
      <c r="Z155" s="46"/>
      <c r="AA155" s="46"/>
      <c r="AB155" s="46"/>
    </row>
    <row r="156" spans="1:28" ht="13" x14ac:dyDescent="0.3">
      <c r="A156" s="46">
        <v>50</v>
      </c>
      <c r="B156" s="46">
        <v>0</v>
      </c>
      <c r="C156" s="46">
        <v>0</v>
      </c>
      <c r="D156" s="46">
        <v>1</v>
      </c>
      <c r="E156" s="46">
        <v>232</v>
      </c>
      <c r="F156" s="46">
        <f>ROUND(Source!BC140,O156)</f>
        <v>0</v>
      </c>
      <c r="G156" s="46" t="s">
        <v>242</v>
      </c>
      <c r="H156" s="46" t="s">
        <v>243</v>
      </c>
      <c r="I156" s="46"/>
      <c r="J156" s="46"/>
      <c r="K156" s="46">
        <v>232</v>
      </c>
      <c r="L156" s="46">
        <v>15</v>
      </c>
      <c r="M156" s="46">
        <v>3</v>
      </c>
      <c r="N156" s="46" t="s">
        <v>30</v>
      </c>
      <c r="O156" s="46">
        <v>2</v>
      </c>
      <c r="P156" s="46"/>
      <c r="Q156" s="46"/>
      <c r="R156" s="46"/>
      <c r="S156" s="46"/>
      <c r="T156" s="46"/>
      <c r="U156" s="46"/>
      <c r="V156" s="46"/>
      <c r="W156" s="46">
        <v>0</v>
      </c>
      <c r="X156" s="46">
        <v>1</v>
      </c>
      <c r="Y156" s="46">
        <v>0</v>
      </c>
      <c r="Z156" s="46"/>
      <c r="AA156" s="46"/>
      <c r="AB156" s="46"/>
    </row>
    <row r="157" spans="1:28" ht="13" x14ac:dyDescent="0.3">
      <c r="A157" s="46">
        <v>50</v>
      </c>
      <c r="B157" s="46">
        <v>0</v>
      </c>
      <c r="C157" s="46">
        <v>0</v>
      </c>
      <c r="D157" s="46">
        <v>1</v>
      </c>
      <c r="E157" s="46">
        <v>214</v>
      </c>
      <c r="F157" s="46">
        <f>ROUND(Source!AS140,O157)</f>
        <v>0</v>
      </c>
      <c r="G157" s="46" t="s">
        <v>244</v>
      </c>
      <c r="H157" s="46" t="s">
        <v>245</v>
      </c>
      <c r="I157" s="46"/>
      <c r="J157" s="46"/>
      <c r="K157" s="46">
        <v>214</v>
      </c>
      <c r="L157" s="46">
        <v>16</v>
      </c>
      <c r="M157" s="46">
        <v>3</v>
      </c>
      <c r="N157" s="46" t="s">
        <v>30</v>
      </c>
      <c r="O157" s="46">
        <v>2</v>
      </c>
      <c r="P157" s="46"/>
      <c r="Q157" s="46"/>
      <c r="R157" s="46"/>
      <c r="S157" s="46"/>
      <c r="T157" s="46"/>
      <c r="U157" s="46"/>
      <c r="V157" s="46"/>
      <c r="W157" s="46">
        <v>0</v>
      </c>
      <c r="X157" s="46">
        <v>1</v>
      </c>
      <c r="Y157" s="46">
        <v>0</v>
      </c>
      <c r="Z157" s="46"/>
      <c r="AA157" s="46"/>
      <c r="AB157" s="46"/>
    </row>
    <row r="158" spans="1:28" ht="13" x14ac:dyDescent="0.3">
      <c r="A158" s="46">
        <v>50</v>
      </c>
      <c r="B158" s="46">
        <v>0</v>
      </c>
      <c r="C158" s="46">
        <v>0</v>
      </c>
      <c r="D158" s="46">
        <v>1</v>
      </c>
      <c r="E158" s="46">
        <v>215</v>
      </c>
      <c r="F158" s="46">
        <f>ROUND(Source!AT140,O158)</f>
        <v>0</v>
      </c>
      <c r="G158" s="46" t="s">
        <v>246</v>
      </c>
      <c r="H158" s="46" t="s">
        <v>247</v>
      </c>
      <c r="I158" s="46"/>
      <c r="J158" s="46"/>
      <c r="K158" s="46">
        <v>215</v>
      </c>
      <c r="L158" s="46">
        <v>17</v>
      </c>
      <c r="M158" s="46">
        <v>3</v>
      </c>
      <c r="N158" s="46" t="s">
        <v>30</v>
      </c>
      <c r="O158" s="46">
        <v>2</v>
      </c>
      <c r="P158" s="46"/>
      <c r="Q158" s="46"/>
      <c r="R158" s="46"/>
      <c r="S158" s="46"/>
      <c r="T158" s="46"/>
      <c r="U158" s="46"/>
      <c r="V158" s="46"/>
      <c r="W158" s="46">
        <v>0</v>
      </c>
      <c r="X158" s="46">
        <v>1</v>
      </c>
      <c r="Y158" s="46">
        <v>0</v>
      </c>
      <c r="Z158" s="46"/>
      <c r="AA158" s="46"/>
      <c r="AB158" s="46"/>
    </row>
    <row r="159" spans="1:28" ht="13" x14ac:dyDescent="0.3">
      <c r="A159" s="46">
        <v>50</v>
      </c>
      <c r="B159" s="46">
        <v>0</v>
      </c>
      <c r="C159" s="46">
        <v>0</v>
      </c>
      <c r="D159" s="46">
        <v>1</v>
      </c>
      <c r="E159" s="46">
        <v>217</v>
      </c>
      <c r="F159" s="46">
        <f>ROUND(Source!AU140,O159)</f>
        <v>0</v>
      </c>
      <c r="G159" s="46" t="s">
        <v>248</v>
      </c>
      <c r="H159" s="46" t="s">
        <v>249</v>
      </c>
      <c r="I159" s="46"/>
      <c r="J159" s="46"/>
      <c r="K159" s="46">
        <v>217</v>
      </c>
      <c r="L159" s="46">
        <v>18</v>
      </c>
      <c r="M159" s="46">
        <v>3</v>
      </c>
      <c r="N159" s="46" t="s">
        <v>30</v>
      </c>
      <c r="O159" s="46">
        <v>2</v>
      </c>
      <c r="P159" s="46"/>
      <c r="Q159" s="46"/>
      <c r="R159" s="46"/>
      <c r="S159" s="46"/>
      <c r="T159" s="46"/>
      <c r="U159" s="46"/>
      <c r="V159" s="46"/>
      <c r="W159" s="46">
        <v>46825</v>
      </c>
      <c r="X159" s="46">
        <v>1</v>
      </c>
      <c r="Y159" s="46">
        <v>46825</v>
      </c>
      <c r="Z159" s="46"/>
      <c r="AA159" s="46"/>
      <c r="AB159" s="46"/>
    </row>
    <row r="160" spans="1:28" ht="13" x14ac:dyDescent="0.3">
      <c r="A160" s="46">
        <v>50</v>
      </c>
      <c r="B160" s="46">
        <v>0</v>
      </c>
      <c r="C160" s="46">
        <v>0</v>
      </c>
      <c r="D160" s="46">
        <v>1</v>
      </c>
      <c r="E160" s="46">
        <v>230</v>
      </c>
      <c r="F160" s="46">
        <f>ROUND(Source!BA140,O160)</f>
        <v>0</v>
      </c>
      <c r="G160" s="46" t="s">
        <v>250</v>
      </c>
      <c r="H160" s="46" t="s">
        <v>251</v>
      </c>
      <c r="I160" s="46"/>
      <c r="J160" s="46"/>
      <c r="K160" s="46">
        <v>230</v>
      </c>
      <c r="L160" s="46">
        <v>19</v>
      </c>
      <c r="M160" s="46">
        <v>3</v>
      </c>
      <c r="N160" s="46" t="s">
        <v>30</v>
      </c>
      <c r="O160" s="46">
        <v>2</v>
      </c>
      <c r="P160" s="46"/>
      <c r="Q160" s="46"/>
      <c r="R160" s="46"/>
      <c r="S160" s="46"/>
      <c r="T160" s="46"/>
      <c r="U160" s="46"/>
      <c r="V160" s="46"/>
      <c r="W160" s="46">
        <v>0</v>
      </c>
      <c r="X160" s="46">
        <v>1</v>
      </c>
      <c r="Y160" s="46">
        <v>0</v>
      </c>
      <c r="Z160" s="46"/>
      <c r="AA160" s="46"/>
      <c r="AB160" s="46"/>
    </row>
    <row r="161" spans="1:28" ht="13" x14ac:dyDescent="0.3">
      <c r="A161" s="46">
        <v>50</v>
      </c>
      <c r="B161" s="46">
        <v>0</v>
      </c>
      <c r="C161" s="46">
        <v>0</v>
      </c>
      <c r="D161" s="46">
        <v>1</v>
      </c>
      <c r="E161" s="46">
        <v>206</v>
      </c>
      <c r="F161" s="46">
        <f>ROUND(Source!T140,O161)</f>
        <v>0</v>
      </c>
      <c r="G161" s="46" t="s">
        <v>252</v>
      </c>
      <c r="H161" s="46" t="s">
        <v>253</v>
      </c>
      <c r="I161" s="46"/>
      <c r="J161" s="46"/>
      <c r="K161" s="46">
        <v>206</v>
      </c>
      <c r="L161" s="46">
        <v>20</v>
      </c>
      <c r="M161" s="46">
        <v>3</v>
      </c>
      <c r="N161" s="46" t="s">
        <v>30</v>
      </c>
      <c r="O161" s="46">
        <v>2</v>
      </c>
      <c r="P161" s="46"/>
      <c r="Q161" s="46"/>
      <c r="R161" s="46"/>
      <c r="S161" s="46"/>
      <c r="T161" s="46"/>
      <c r="U161" s="46"/>
      <c r="V161" s="46"/>
      <c r="W161" s="46">
        <v>0</v>
      </c>
      <c r="X161" s="46">
        <v>1</v>
      </c>
      <c r="Y161" s="46">
        <v>0</v>
      </c>
      <c r="Z161" s="46"/>
      <c r="AA161" s="46"/>
      <c r="AB161" s="46"/>
    </row>
    <row r="162" spans="1:28" ht="13" x14ac:dyDescent="0.3">
      <c r="A162" s="46">
        <v>50</v>
      </c>
      <c r="B162" s="46">
        <v>0</v>
      </c>
      <c r="C162" s="46">
        <v>0</v>
      </c>
      <c r="D162" s="46">
        <v>1</v>
      </c>
      <c r="E162" s="46">
        <v>207</v>
      </c>
      <c r="F162" s="46">
        <f>Source!U140</f>
        <v>0</v>
      </c>
      <c r="G162" s="46" t="s">
        <v>254</v>
      </c>
      <c r="H162" s="46" t="s">
        <v>255</v>
      </c>
      <c r="I162" s="46"/>
      <c r="J162" s="46"/>
      <c r="K162" s="46">
        <v>207</v>
      </c>
      <c r="L162" s="46">
        <v>21</v>
      </c>
      <c r="M162" s="46">
        <v>3</v>
      </c>
      <c r="N162" s="46" t="s">
        <v>30</v>
      </c>
      <c r="O162" s="46">
        <v>-1</v>
      </c>
      <c r="P162" s="46"/>
      <c r="Q162" s="46"/>
      <c r="R162" s="46"/>
      <c r="S162" s="46"/>
      <c r="T162" s="46"/>
      <c r="U162" s="46"/>
      <c r="V162" s="46"/>
      <c r="W162" s="46">
        <v>0</v>
      </c>
      <c r="X162" s="46">
        <v>1</v>
      </c>
      <c r="Y162" s="46">
        <v>0</v>
      </c>
      <c r="Z162" s="46"/>
      <c r="AA162" s="46"/>
      <c r="AB162" s="46"/>
    </row>
    <row r="163" spans="1:28" ht="13" x14ac:dyDescent="0.3">
      <c r="A163" s="46">
        <v>50</v>
      </c>
      <c r="B163" s="46">
        <v>0</v>
      </c>
      <c r="C163" s="46">
        <v>0</v>
      </c>
      <c r="D163" s="46">
        <v>1</v>
      </c>
      <c r="E163" s="46">
        <v>208</v>
      </c>
      <c r="F163" s="46">
        <f>Source!V140</f>
        <v>0</v>
      </c>
      <c r="G163" s="46" t="s">
        <v>256</v>
      </c>
      <c r="H163" s="46" t="s">
        <v>257</v>
      </c>
      <c r="I163" s="46"/>
      <c r="J163" s="46"/>
      <c r="K163" s="46">
        <v>208</v>
      </c>
      <c r="L163" s="46">
        <v>22</v>
      </c>
      <c r="M163" s="46">
        <v>3</v>
      </c>
      <c r="N163" s="46" t="s">
        <v>30</v>
      </c>
      <c r="O163" s="46">
        <v>-1</v>
      </c>
      <c r="P163" s="46"/>
      <c r="Q163" s="46"/>
      <c r="R163" s="46"/>
      <c r="S163" s="46"/>
      <c r="T163" s="46"/>
      <c r="U163" s="46"/>
      <c r="V163" s="46"/>
      <c r="W163" s="46">
        <v>0</v>
      </c>
      <c r="X163" s="46">
        <v>1</v>
      </c>
      <c r="Y163" s="46">
        <v>0</v>
      </c>
      <c r="Z163" s="46"/>
      <c r="AA163" s="46"/>
      <c r="AB163" s="46"/>
    </row>
    <row r="164" spans="1:28" ht="13" x14ac:dyDescent="0.3">
      <c r="A164" s="46">
        <v>50</v>
      </c>
      <c r="B164" s="46">
        <v>0</v>
      </c>
      <c r="C164" s="46">
        <v>0</v>
      </c>
      <c r="D164" s="46">
        <v>1</v>
      </c>
      <c r="E164" s="46">
        <v>209</v>
      </c>
      <c r="F164" s="46">
        <f>ROUND(Source!W140,O164)</f>
        <v>0</v>
      </c>
      <c r="G164" s="46" t="s">
        <v>258</v>
      </c>
      <c r="H164" s="46" t="s">
        <v>259</v>
      </c>
      <c r="I164" s="46"/>
      <c r="J164" s="46"/>
      <c r="K164" s="46">
        <v>209</v>
      </c>
      <c r="L164" s="46">
        <v>23</v>
      </c>
      <c r="M164" s="46">
        <v>3</v>
      </c>
      <c r="N164" s="46" t="s">
        <v>30</v>
      </c>
      <c r="O164" s="46">
        <v>2</v>
      </c>
      <c r="P164" s="46"/>
      <c r="Q164" s="46"/>
      <c r="R164" s="46"/>
      <c r="S164" s="46"/>
      <c r="T164" s="46"/>
      <c r="U164" s="46"/>
      <c r="V164" s="46"/>
      <c r="W164" s="46">
        <v>0</v>
      </c>
      <c r="X164" s="46">
        <v>1</v>
      </c>
      <c r="Y164" s="46">
        <v>0</v>
      </c>
      <c r="Z164" s="46"/>
      <c r="AA164" s="46"/>
      <c r="AB164" s="46"/>
    </row>
    <row r="165" spans="1:28" ht="13" x14ac:dyDescent="0.3">
      <c r="A165" s="46">
        <v>50</v>
      </c>
      <c r="B165" s="46">
        <v>0</v>
      </c>
      <c r="C165" s="46">
        <v>0</v>
      </c>
      <c r="D165" s="46">
        <v>1</v>
      </c>
      <c r="E165" s="46">
        <v>233</v>
      </c>
      <c r="F165" s="46">
        <f>ROUND(Source!BD140,O165)</f>
        <v>0</v>
      </c>
      <c r="G165" s="46" t="s">
        <v>260</v>
      </c>
      <c r="H165" s="46" t="s">
        <v>261</v>
      </c>
      <c r="I165" s="46"/>
      <c r="J165" s="46"/>
      <c r="K165" s="46">
        <v>233</v>
      </c>
      <c r="L165" s="46">
        <v>24</v>
      </c>
      <c r="M165" s="46">
        <v>3</v>
      </c>
      <c r="N165" s="46" t="s">
        <v>30</v>
      </c>
      <c r="O165" s="46">
        <v>2</v>
      </c>
      <c r="P165" s="46"/>
      <c r="Q165" s="46"/>
      <c r="R165" s="46"/>
      <c r="S165" s="46"/>
      <c r="T165" s="46"/>
      <c r="U165" s="46"/>
      <c r="V165" s="46"/>
      <c r="W165" s="46">
        <v>0</v>
      </c>
      <c r="X165" s="46">
        <v>1</v>
      </c>
      <c r="Y165" s="46">
        <v>0</v>
      </c>
      <c r="Z165" s="46"/>
      <c r="AA165" s="46"/>
      <c r="AB165" s="46"/>
    </row>
    <row r="166" spans="1:28" ht="13" x14ac:dyDescent="0.3">
      <c r="A166" s="46">
        <v>50</v>
      </c>
      <c r="B166" s="46">
        <v>0</v>
      </c>
      <c r="C166" s="46">
        <v>0</v>
      </c>
      <c r="D166" s="46">
        <v>1</v>
      </c>
      <c r="E166" s="46">
        <v>210</v>
      </c>
      <c r="F166" s="46">
        <f>ROUND(Source!X140,O166)</f>
        <v>0</v>
      </c>
      <c r="G166" s="46" t="s">
        <v>262</v>
      </c>
      <c r="H166" s="46" t="s">
        <v>263</v>
      </c>
      <c r="I166" s="46"/>
      <c r="J166" s="46"/>
      <c r="K166" s="46">
        <v>210</v>
      </c>
      <c r="L166" s="46">
        <v>25</v>
      </c>
      <c r="M166" s="46">
        <v>3</v>
      </c>
      <c r="N166" s="46" t="s">
        <v>30</v>
      </c>
      <c r="O166" s="46">
        <v>2</v>
      </c>
      <c r="P166" s="46"/>
      <c r="Q166" s="46"/>
      <c r="R166" s="46"/>
      <c r="S166" s="46"/>
      <c r="T166" s="46"/>
      <c r="U166" s="46"/>
      <c r="V166" s="46"/>
      <c r="W166" s="46">
        <v>0</v>
      </c>
      <c r="X166" s="46">
        <v>1</v>
      </c>
      <c r="Y166" s="46">
        <v>0</v>
      </c>
      <c r="Z166" s="46"/>
      <c r="AA166" s="46"/>
      <c r="AB166" s="46"/>
    </row>
    <row r="167" spans="1:28" ht="13" x14ac:dyDescent="0.3">
      <c r="A167" s="46">
        <v>50</v>
      </c>
      <c r="B167" s="46">
        <v>0</v>
      </c>
      <c r="C167" s="46">
        <v>0</v>
      </c>
      <c r="D167" s="46">
        <v>1</v>
      </c>
      <c r="E167" s="46">
        <v>211</v>
      </c>
      <c r="F167" s="46">
        <f>ROUND(Source!Y140,O167)</f>
        <v>0</v>
      </c>
      <c r="G167" s="46" t="s">
        <v>264</v>
      </c>
      <c r="H167" s="46" t="s">
        <v>265</v>
      </c>
      <c r="I167" s="46"/>
      <c r="J167" s="46"/>
      <c r="K167" s="46">
        <v>211</v>
      </c>
      <c r="L167" s="46">
        <v>26</v>
      </c>
      <c r="M167" s="46">
        <v>3</v>
      </c>
      <c r="N167" s="46" t="s">
        <v>30</v>
      </c>
      <c r="O167" s="46">
        <v>2</v>
      </c>
      <c r="P167" s="46"/>
      <c r="Q167" s="46"/>
      <c r="R167" s="46"/>
      <c r="S167" s="46"/>
      <c r="T167" s="46"/>
      <c r="U167" s="46"/>
      <c r="V167" s="46"/>
      <c r="W167" s="46">
        <v>0</v>
      </c>
      <c r="X167" s="46">
        <v>1</v>
      </c>
      <c r="Y167" s="46">
        <v>0</v>
      </c>
      <c r="Z167" s="46"/>
      <c r="AA167" s="46"/>
      <c r="AB167" s="46"/>
    </row>
    <row r="168" spans="1:28" ht="13" x14ac:dyDescent="0.3">
      <c r="A168" s="46">
        <v>50</v>
      </c>
      <c r="B168" s="46">
        <v>0</v>
      </c>
      <c r="C168" s="46">
        <v>0</v>
      </c>
      <c r="D168" s="46">
        <v>1</v>
      </c>
      <c r="E168" s="46">
        <v>224</v>
      </c>
      <c r="F168" s="46">
        <f>ROUND(Source!AR140,O168)</f>
        <v>0</v>
      </c>
      <c r="G168" s="46" t="s">
        <v>266</v>
      </c>
      <c r="H168" s="46" t="s">
        <v>267</v>
      </c>
      <c r="I168" s="46"/>
      <c r="J168" s="46"/>
      <c r="K168" s="46">
        <v>224</v>
      </c>
      <c r="L168" s="46">
        <v>27</v>
      </c>
      <c r="M168" s="46">
        <v>3</v>
      </c>
      <c r="N168" s="46" t="s">
        <v>30</v>
      </c>
      <c r="O168" s="46">
        <v>2</v>
      </c>
      <c r="P168" s="46"/>
      <c r="Q168" s="46"/>
      <c r="R168" s="46"/>
      <c r="S168" s="46"/>
      <c r="T168" s="46"/>
      <c r="U168" s="46"/>
      <c r="V168" s="46"/>
      <c r="W168" s="46">
        <v>46825</v>
      </c>
      <c r="X168" s="46">
        <v>1</v>
      </c>
      <c r="Y168" s="46">
        <v>46825</v>
      </c>
      <c r="Z168" s="46"/>
      <c r="AA168" s="46"/>
      <c r="AB168" s="46"/>
    </row>
    <row r="169" spans="1:28" ht="13" x14ac:dyDescent="0.3">
      <c r="A169" s="46">
        <v>50</v>
      </c>
      <c r="B169" s="46">
        <v>1</v>
      </c>
      <c r="C169" s="46">
        <v>0</v>
      </c>
      <c r="D169" s="46">
        <v>2</v>
      </c>
      <c r="E169" s="46">
        <v>0</v>
      </c>
      <c r="F169" s="46">
        <f>ROUND(F168,O169)</f>
        <v>0</v>
      </c>
      <c r="G169" s="46" t="s">
        <v>268</v>
      </c>
      <c r="H169" s="46" t="s">
        <v>269</v>
      </c>
      <c r="I169" s="46"/>
      <c r="J169" s="46"/>
      <c r="K169" s="46">
        <v>212</v>
      </c>
      <c r="L169" s="46">
        <v>28</v>
      </c>
      <c r="M169" s="46">
        <v>0</v>
      </c>
      <c r="N169" s="46" t="s">
        <v>30</v>
      </c>
      <c r="O169" s="46">
        <v>2</v>
      </c>
      <c r="P169" s="46"/>
      <c r="Q169" s="46"/>
      <c r="R169" s="46"/>
      <c r="S169" s="46"/>
      <c r="T169" s="46"/>
      <c r="U169" s="46"/>
      <c r="V169" s="46"/>
      <c r="W169" s="46">
        <v>46825</v>
      </c>
      <c r="X169" s="46">
        <v>1</v>
      </c>
      <c r="Y169" s="46">
        <v>46825</v>
      </c>
      <c r="Z169" s="46"/>
      <c r="AA169" s="46"/>
      <c r="AB169" s="46"/>
    </row>
    <row r="170" spans="1:28" ht="13" x14ac:dyDescent="0.3">
      <c r="A170" s="46">
        <v>50</v>
      </c>
      <c r="B170" s="46">
        <v>1</v>
      </c>
      <c r="C170" s="46">
        <v>0</v>
      </c>
      <c r="D170" s="46">
        <v>2</v>
      </c>
      <c r="E170" s="46">
        <v>0</v>
      </c>
      <c r="F170" s="46">
        <f>ROUND(F168-F155-F154,O170)</f>
        <v>0</v>
      </c>
      <c r="G170" s="46" t="s">
        <v>270</v>
      </c>
      <c r="H170" s="46" t="s">
        <v>271</v>
      </c>
      <c r="I170" s="46"/>
      <c r="J170" s="46"/>
      <c r="K170" s="46">
        <v>212</v>
      </c>
      <c r="L170" s="46">
        <v>29</v>
      </c>
      <c r="M170" s="46">
        <v>0</v>
      </c>
      <c r="N170" s="46" t="s">
        <v>30</v>
      </c>
      <c r="O170" s="46">
        <v>2</v>
      </c>
      <c r="P170" s="46"/>
      <c r="Q170" s="46"/>
      <c r="R170" s="46"/>
      <c r="S170" s="46"/>
      <c r="T170" s="46"/>
      <c r="U170" s="46"/>
      <c r="V170" s="46"/>
      <c r="W170" s="46">
        <v>46825</v>
      </c>
      <c r="X170" s="46">
        <v>1</v>
      </c>
      <c r="Y170" s="46">
        <v>46825</v>
      </c>
      <c r="Z170" s="46"/>
      <c r="AA170" s="46"/>
      <c r="AB170" s="46"/>
    </row>
    <row r="171" spans="1:28" ht="13" x14ac:dyDescent="0.3">
      <c r="A171" s="46">
        <v>50</v>
      </c>
      <c r="B171" s="46">
        <v>1</v>
      </c>
      <c r="C171" s="46">
        <v>0</v>
      </c>
      <c r="D171" s="46">
        <v>2</v>
      </c>
      <c r="E171" s="46">
        <v>0</v>
      </c>
      <c r="F171" s="46">
        <f>ROUND(F167,O171)</f>
        <v>0</v>
      </c>
      <c r="G171" s="46" t="s">
        <v>25</v>
      </c>
      <c r="H171" s="46" t="s">
        <v>25</v>
      </c>
      <c r="I171" s="46"/>
      <c r="J171" s="46"/>
      <c r="K171" s="46">
        <v>212</v>
      </c>
      <c r="L171" s="46">
        <v>30</v>
      </c>
      <c r="M171" s="46">
        <v>0</v>
      </c>
      <c r="N171" s="46" t="s">
        <v>30</v>
      </c>
      <c r="O171" s="46">
        <v>2</v>
      </c>
      <c r="P171" s="46"/>
      <c r="Q171" s="46"/>
      <c r="R171" s="46"/>
      <c r="S171" s="46"/>
      <c r="T171" s="46"/>
      <c r="U171" s="46"/>
      <c r="V171" s="46"/>
      <c r="W171" s="46">
        <v>0</v>
      </c>
      <c r="X171" s="46">
        <v>1</v>
      </c>
      <c r="Y171" s="46">
        <v>0</v>
      </c>
      <c r="Z171" s="46"/>
      <c r="AA171" s="46"/>
      <c r="AB171" s="46"/>
    </row>
    <row r="172" spans="1:28" ht="13" x14ac:dyDescent="0.3">
      <c r="A172" s="46">
        <v>50</v>
      </c>
      <c r="B172" s="46">
        <v>1</v>
      </c>
      <c r="C172" s="46">
        <v>0</v>
      </c>
      <c r="D172" s="46">
        <v>2</v>
      </c>
      <c r="E172" s="46">
        <v>0</v>
      </c>
      <c r="F172" s="46">
        <f>ROUND(F177*0.3,O172)</f>
        <v>0</v>
      </c>
      <c r="G172" s="46" t="s">
        <v>272</v>
      </c>
      <c r="H172" s="46" t="s">
        <v>272</v>
      </c>
      <c r="I172" s="46"/>
      <c r="J172" s="46"/>
      <c r="K172" s="46">
        <v>212</v>
      </c>
      <c r="L172" s="46">
        <v>31</v>
      </c>
      <c r="M172" s="46">
        <v>0</v>
      </c>
      <c r="N172" s="46" t="s">
        <v>30</v>
      </c>
      <c r="O172" s="46">
        <v>2</v>
      </c>
      <c r="P172" s="46"/>
      <c r="Q172" s="46"/>
      <c r="R172" s="46"/>
      <c r="S172" s="46"/>
      <c r="T172" s="46"/>
      <c r="U172" s="46"/>
      <c r="V172" s="46"/>
      <c r="W172" s="46">
        <v>0</v>
      </c>
      <c r="X172" s="46">
        <v>1</v>
      </c>
      <c r="Y172" s="46">
        <v>0</v>
      </c>
      <c r="Z172" s="46"/>
      <c r="AA172" s="46"/>
      <c r="AB172" s="46"/>
    </row>
    <row r="173" spans="1:28" ht="13" x14ac:dyDescent="0.3">
      <c r="A173" s="46">
        <v>50</v>
      </c>
      <c r="B173" s="46">
        <v>1</v>
      </c>
      <c r="C173" s="46">
        <v>0</v>
      </c>
      <c r="D173" s="46">
        <v>2</v>
      </c>
      <c r="E173" s="46">
        <v>0</v>
      </c>
      <c r="F173" s="46">
        <f>ROUND(F170-F171-F172,O173)</f>
        <v>0</v>
      </c>
      <c r="G173" s="46" t="s">
        <v>273</v>
      </c>
      <c r="H173" s="46" t="s">
        <v>274</v>
      </c>
      <c r="I173" s="46"/>
      <c r="J173" s="46"/>
      <c r="K173" s="46">
        <v>212</v>
      </c>
      <c r="L173" s="46">
        <v>32</v>
      </c>
      <c r="M173" s="46">
        <v>0</v>
      </c>
      <c r="N173" s="46" t="s">
        <v>30</v>
      </c>
      <c r="O173" s="46">
        <v>2</v>
      </c>
      <c r="P173" s="46"/>
      <c r="Q173" s="46"/>
      <c r="R173" s="46"/>
      <c r="S173" s="46"/>
      <c r="T173" s="46"/>
      <c r="U173" s="46"/>
      <c r="V173" s="46"/>
      <c r="W173" s="46">
        <v>46825</v>
      </c>
      <c r="X173" s="46">
        <v>1</v>
      </c>
      <c r="Y173" s="46">
        <v>46825</v>
      </c>
      <c r="Z173" s="46"/>
      <c r="AA173" s="46"/>
      <c r="AB173" s="46"/>
    </row>
    <row r="174" spans="1:28" ht="13" x14ac:dyDescent="0.3">
      <c r="A174" s="46">
        <v>50</v>
      </c>
      <c r="B174" s="46">
        <v>1</v>
      </c>
      <c r="C174" s="46">
        <v>0</v>
      </c>
      <c r="D174" s="46">
        <v>2</v>
      </c>
      <c r="E174" s="46">
        <v>0</v>
      </c>
      <c r="F174" s="46">
        <f>ROUND(F173*0.2,O174)</f>
        <v>0</v>
      </c>
      <c r="G174" s="46" t="s">
        <v>42</v>
      </c>
      <c r="H174" s="46" t="s">
        <v>42</v>
      </c>
      <c r="I174" s="46"/>
      <c r="J174" s="46"/>
      <c r="K174" s="46">
        <v>212</v>
      </c>
      <c r="L174" s="46">
        <v>33</v>
      </c>
      <c r="M174" s="46">
        <v>0</v>
      </c>
      <c r="N174" s="46" t="s">
        <v>30</v>
      </c>
      <c r="O174" s="46">
        <v>2</v>
      </c>
      <c r="P174" s="46"/>
      <c r="Q174" s="46"/>
      <c r="R174" s="46"/>
      <c r="S174" s="46"/>
      <c r="T174" s="46"/>
      <c r="U174" s="46"/>
      <c r="V174" s="46"/>
      <c r="W174" s="46">
        <v>9365</v>
      </c>
      <c r="X174" s="46">
        <v>1</v>
      </c>
      <c r="Y174" s="46">
        <v>9365</v>
      </c>
      <c r="Z174" s="46"/>
      <c r="AA174" s="46"/>
      <c r="AB174" s="46"/>
    </row>
    <row r="175" spans="1:28" ht="13" x14ac:dyDescent="0.3">
      <c r="A175" s="46">
        <v>50</v>
      </c>
      <c r="B175" s="46">
        <v>1</v>
      </c>
      <c r="C175" s="46">
        <v>0</v>
      </c>
      <c r="D175" s="46">
        <v>2</v>
      </c>
      <c r="E175" s="46">
        <v>0</v>
      </c>
      <c r="F175" s="46">
        <f>ROUND(F173+F174,O175)</f>
        <v>0</v>
      </c>
      <c r="G175" s="46" t="s">
        <v>43</v>
      </c>
      <c r="H175" s="46" t="s">
        <v>275</v>
      </c>
      <c r="I175" s="46"/>
      <c r="J175" s="46"/>
      <c r="K175" s="46">
        <v>212</v>
      </c>
      <c r="L175" s="46">
        <v>34</v>
      </c>
      <c r="M175" s="46">
        <v>0</v>
      </c>
      <c r="N175" s="46" t="s">
        <v>30</v>
      </c>
      <c r="O175" s="46">
        <v>2</v>
      </c>
      <c r="P175" s="46"/>
      <c r="Q175" s="46"/>
      <c r="R175" s="46"/>
      <c r="S175" s="46"/>
      <c r="T175" s="46"/>
      <c r="U175" s="46"/>
      <c r="V175" s="46"/>
      <c r="W175" s="46">
        <v>56190</v>
      </c>
      <c r="X175" s="46">
        <v>1</v>
      </c>
      <c r="Y175" s="46">
        <v>56190</v>
      </c>
      <c r="Z175" s="46"/>
      <c r="AA175" s="46"/>
      <c r="AB175" s="46"/>
    </row>
    <row r="176" spans="1:28" ht="13" x14ac:dyDescent="0.3">
      <c r="A176" s="46">
        <v>50</v>
      </c>
      <c r="B176" s="46">
        <v>1</v>
      </c>
      <c r="C176" s="46">
        <v>0</v>
      </c>
      <c r="D176" s="46">
        <v>2</v>
      </c>
      <c r="E176" s="46">
        <v>0</v>
      </c>
      <c r="F176" s="46">
        <f>ROUND(F155,O176)</f>
        <v>0</v>
      </c>
      <c r="G176" s="46" t="s">
        <v>276</v>
      </c>
      <c r="H176" s="46" t="s">
        <v>277</v>
      </c>
      <c r="I176" s="46"/>
      <c r="J176" s="46"/>
      <c r="K176" s="46">
        <v>212</v>
      </c>
      <c r="L176" s="46">
        <v>35</v>
      </c>
      <c r="M176" s="46">
        <v>0</v>
      </c>
      <c r="N176" s="46" t="s">
        <v>30</v>
      </c>
      <c r="O176" s="46">
        <v>2</v>
      </c>
      <c r="P176" s="46"/>
      <c r="Q176" s="46"/>
      <c r="R176" s="46"/>
      <c r="S176" s="46"/>
      <c r="T176" s="46"/>
      <c r="U176" s="46"/>
      <c r="V176" s="46"/>
      <c r="W176" s="46">
        <v>0</v>
      </c>
      <c r="X176" s="46">
        <v>1</v>
      </c>
      <c r="Y176" s="46">
        <v>0</v>
      </c>
      <c r="Z176" s="46"/>
      <c r="AA176" s="46"/>
      <c r="AB176" s="46"/>
    </row>
    <row r="177" spans="1:245" ht="13" x14ac:dyDescent="0.3">
      <c r="A177" s="46">
        <v>50</v>
      </c>
      <c r="B177" s="46">
        <v>1</v>
      </c>
      <c r="C177" s="46">
        <v>0</v>
      </c>
      <c r="D177" s="46">
        <v>2</v>
      </c>
      <c r="E177" s="46">
        <v>0</v>
      </c>
      <c r="F177" s="46">
        <f>ROUND(F154,O177)</f>
        <v>0</v>
      </c>
      <c r="G177" s="46" t="s">
        <v>278</v>
      </c>
      <c r="H177" s="46" t="s">
        <v>279</v>
      </c>
      <c r="I177" s="46"/>
      <c r="J177" s="46"/>
      <c r="K177" s="46">
        <v>212</v>
      </c>
      <c r="L177" s="46">
        <v>36</v>
      </c>
      <c r="M177" s="46">
        <v>0</v>
      </c>
      <c r="N177" s="46" t="s">
        <v>30</v>
      </c>
      <c r="O177" s="46">
        <v>2</v>
      </c>
      <c r="P177" s="46"/>
      <c r="Q177" s="46"/>
      <c r="R177" s="46"/>
      <c r="S177" s="46"/>
      <c r="T177" s="46"/>
      <c r="U177" s="46"/>
      <c r="V177" s="46"/>
      <c r="W177" s="46">
        <v>0</v>
      </c>
      <c r="X177" s="46">
        <v>1</v>
      </c>
      <c r="Y177" s="46">
        <v>0</v>
      </c>
      <c r="Z177" s="46"/>
      <c r="AA177" s="46"/>
      <c r="AB177" s="46"/>
    </row>
    <row r="178" spans="1:245" ht="13" x14ac:dyDescent="0.3">
      <c r="A178" s="46">
        <v>50</v>
      </c>
      <c r="B178" s="46">
        <v>1</v>
      </c>
      <c r="C178" s="46">
        <v>0</v>
      </c>
      <c r="D178" s="46">
        <v>2</v>
      </c>
      <c r="E178" s="46">
        <v>0</v>
      </c>
      <c r="F178" s="46">
        <f>ROUND(F175+F176+F177,O178)</f>
        <v>0</v>
      </c>
      <c r="G178" s="46" t="s">
        <v>266</v>
      </c>
      <c r="H178" s="46" t="s">
        <v>280</v>
      </c>
      <c r="I178" s="46"/>
      <c r="J178" s="46"/>
      <c r="K178" s="46">
        <v>212</v>
      </c>
      <c r="L178" s="46">
        <v>37</v>
      </c>
      <c r="M178" s="46">
        <v>0</v>
      </c>
      <c r="N178" s="46" t="s">
        <v>30</v>
      </c>
      <c r="O178" s="46">
        <v>2</v>
      </c>
      <c r="P178" s="46"/>
      <c r="Q178" s="46"/>
      <c r="R178" s="46"/>
      <c r="S178" s="46"/>
      <c r="T178" s="46"/>
      <c r="U178" s="46"/>
      <c r="V178" s="46"/>
      <c r="W178" s="46">
        <v>56190</v>
      </c>
      <c r="X178" s="46">
        <v>1</v>
      </c>
      <c r="Y178" s="46">
        <v>56190</v>
      </c>
      <c r="Z178" s="46"/>
      <c r="AA178" s="46"/>
      <c r="AB178" s="46"/>
    </row>
    <row r="180" spans="1:245" ht="13" x14ac:dyDescent="0.3">
      <c r="A180" s="43">
        <v>4</v>
      </c>
      <c r="B180" s="43">
        <v>1</v>
      </c>
      <c r="C180" s="43"/>
      <c r="D180" s="43">
        <f>ROW(A189)</f>
        <v>189</v>
      </c>
      <c r="E180" s="43"/>
      <c r="F180" s="43" t="s">
        <v>174</v>
      </c>
      <c r="G180" s="43" t="s">
        <v>307</v>
      </c>
      <c r="H180" s="43" t="s">
        <v>30</v>
      </c>
      <c r="I180" s="43">
        <v>0</v>
      </c>
      <c r="J180" s="43"/>
      <c r="K180" s="43">
        <v>-1</v>
      </c>
      <c r="L180" s="43"/>
      <c r="M180" s="43" t="s">
        <v>30</v>
      </c>
      <c r="N180" s="43"/>
      <c r="O180" s="43"/>
      <c r="P180" s="43"/>
      <c r="Q180" s="43"/>
      <c r="R180" s="43"/>
      <c r="S180" s="43">
        <v>0</v>
      </c>
      <c r="T180" s="43"/>
      <c r="U180" s="43" t="s">
        <v>30</v>
      </c>
      <c r="V180" s="43">
        <v>0</v>
      </c>
      <c r="W180" s="43"/>
      <c r="X180" s="43"/>
      <c r="Y180" s="43"/>
      <c r="Z180" s="43"/>
      <c r="AA180" s="43"/>
      <c r="AB180" s="43" t="s">
        <v>30</v>
      </c>
      <c r="AC180" s="43" t="s">
        <v>30</v>
      </c>
      <c r="AD180" s="43" t="s">
        <v>30</v>
      </c>
      <c r="AE180" s="43" t="s">
        <v>30</v>
      </c>
      <c r="AF180" s="43" t="s">
        <v>30</v>
      </c>
      <c r="AG180" s="43" t="s">
        <v>30</v>
      </c>
      <c r="AH180" s="43"/>
      <c r="AI180" s="43"/>
      <c r="AJ180" s="43"/>
      <c r="AK180" s="43"/>
      <c r="AL180" s="43"/>
      <c r="AM180" s="43"/>
      <c r="AN180" s="43"/>
      <c r="AO180" s="43"/>
      <c r="AP180" s="43" t="s">
        <v>30</v>
      </c>
      <c r="AQ180" s="43" t="s">
        <v>30</v>
      </c>
      <c r="AR180" s="43" t="s">
        <v>30</v>
      </c>
      <c r="AS180" s="43"/>
      <c r="AT180" s="43"/>
      <c r="AU180" s="43"/>
      <c r="AV180" s="43"/>
      <c r="AW180" s="43"/>
      <c r="AX180" s="43"/>
      <c r="AY180" s="43"/>
      <c r="AZ180" s="43" t="s">
        <v>30</v>
      </c>
      <c r="BA180" s="43"/>
      <c r="BB180" s="43" t="s">
        <v>30</v>
      </c>
      <c r="BC180" s="43" t="s">
        <v>30</v>
      </c>
      <c r="BD180" s="43" t="s">
        <v>30</v>
      </c>
      <c r="BE180" s="43" t="s">
        <v>30</v>
      </c>
      <c r="BF180" s="43" t="s">
        <v>30</v>
      </c>
      <c r="BG180" s="43" t="s">
        <v>30</v>
      </c>
      <c r="BH180" s="43" t="s">
        <v>30</v>
      </c>
      <c r="BI180" s="43" t="s">
        <v>30</v>
      </c>
      <c r="BJ180" s="43" t="s">
        <v>30</v>
      </c>
      <c r="BK180" s="43" t="s">
        <v>30</v>
      </c>
      <c r="BL180" s="43" t="s">
        <v>30</v>
      </c>
      <c r="BM180" s="43" t="s">
        <v>30</v>
      </c>
      <c r="BN180" s="43" t="s">
        <v>30</v>
      </c>
      <c r="BO180" s="43" t="s">
        <v>30</v>
      </c>
      <c r="BP180" s="43" t="s">
        <v>30</v>
      </c>
      <c r="BQ180" s="43"/>
      <c r="BR180" s="43"/>
      <c r="BS180" s="43"/>
      <c r="BT180" s="43"/>
      <c r="BU180" s="43"/>
      <c r="BV180" s="43"/>
      <c r="BW180" s="43"/>
      <c r="BX180" s="43">
        <v>0</v>
      </c>
      <c r="BY180" s="43"/>
      <c r="BZ180" s="43"/>
      <c r="CA180" s="43"/>
      <c r="CB180" s="43"/>
      <c r="CC180" s="43"/>
      <c r="CD180" s="43"/>
      <c r="CE180" s="43"/>
      <c r="CF180" s="43"/>
      <c r="CG180" s="43"/>
      <c r="CH180" s="43"/>
      <c r="CI180" s="43"/>
      <c r="CJ180" s="43">
        <v>0</v>
      </c>
    </row>
    <row r="182" spans="1:245" ht="13" x14ac:dyDescent="0.3">
      <c r="A182" s="44">
        <v>52</v>
      </c>
      <c r="B182" s="44">
        <f t="shared" ref="B182:G182" si="95">B189</f>
        <v>1</v>
      </c>
      <c r="C182" s="44">
        <f t="shared" si="95"/>
        <v>4</v>
      </c>
      <c r="D182" s="44">
        <f t="shared" si="95"/>
        <v>180</v>
      </c>
      <c r="E182" s="44">
        <f t="shared" si="95"/>
        <v>0</v>
      </c>
      <c r="F182" s="44" t="str">
        <f t="shared" si="95"/>
        <v>Новый раздел</v>
      </c>
      <c r="G182" s="44" t="str">
        <f t="shared" si="95"/>
        <v>Ремонт газонов -300м2</v>
      </c>
      <c r="H182" s="44"/>
      <c r="I182" s="44"/>
      <c r="J182" s="44"/>
      <c r="K182" s="44"/>
      <c r="L182" s="44"/>
      <c r="M182" s="44"/>
      <c r="N182" s="44"/>
      <c r="O182" s="44">
        <f t="shared" ref="O182:BZ182" si="96">O189</f>
        <v>49272.65</v>
      </c>
      <c r="P182" s="44">
        <f t="shared" si="96"/>
        <v>28780.63</v>
      </c>
      <c r="Q182" s="44">
        <f t="shared" si="96"/>
        <v>145.49</v>
      </c>
      <c r="R182" s="44">
        <f t="shared" si="96"/>
        <v>51.35</v>
      </c>
      <c r="S182" s="44">
        <f t="shared" si="96"/>
        <v>20346.53</v>
      </c>
      <c r="T182" s="44">
        <f t="shared" si="96"/>
        <v>0</v>
      </c>
      <c r="U182" s="44">
        <f t="shared" si="96"/>
        <v>103.05</v>
      </c>
      <c r="V182" s="44">
        <f t="shared" si="96"/>
        <v>0</v>
      </c>
      <c r="W182" s="44">
        <f t="shared" si="96"/>
        <v>0</v>
      </c>
      <c r="X182" s="44">
        <f t="shared" si="96"/>
        <v>14242.57</v>
      </c>
      <c r="Y182" s="44">
        <f t="shared" si="96"/>
        <v>2034.65</v>
      </c>
      <c r="Z182" s="44">
        <f t="shared" si="96"/>
        <v>0</v>
      </c>
      <c r="AA182" s="44">
        <f t="shared" si="96"/>
        <v>0</v>
      </c>
      <c r="AB182" s="44">
        <f t="shared" si="96"/>
        <v>49272.65</v>
      </c>
      <c r="AC182" s="44">
        <f t="shared" si="96"/>
        <v>28780.63</v>
      </c>
      <c r="AD182" s="44">
        <f t="shared" si="96"/>
        <v>145.49</v>
      </c>
      <c r="AE182" s="44">
        <f t="shared" si="96"/>
        <v>51.35</v>
      </c>
      <c r="AF182" s="44">
        <f t="shared" si="96"/>
        <v>20346.53</v>
      </c>
      <c r="AG182" s="44">
        <f t="shared" si="96"/>
        <v>0</v>
      </c>
      <c r="AH182" s="44">
        <f t="shared" si="96"/>
        <v>103.05</v>
      </c>
      <c r="AI182" s="44">
        <f t="shared" si="96"/>
        <v>0</v>
      </c>
      <c r="AJ182" s="44">
        <f t="shared" si="96"/>
        <v>0</v>
      </c>
      <c r="AK182" s="44">
        <f t="shared" si="96"/>
        <v>14242.57</v>
      </c>
      <c r="AL182" s="44">
        <f t="shared" si="96"/>
        <v>2034.65</v>
      </c>
      <c r="AM182" s="44">
        <f t="shared" si="96"/>
        <v>0</v>
      </c>
      <c r="AN182" s="44">
        <f t="shared" si="96"/>
        <v>0</v>
      </c>
      <c r="AO182" s="44">
        <f t="shared" si="96"/>
        <v>0</v>
      </c>
      <c r="AP182" s="44">
        <f t="shared" si="96"/>
        <v>0</v>
      </c>
      <c r="AQ182" s="44">
        <f t="shared" si="96"/>
        <v>0</v>
      </c>
      <c r="AR182" s="44">
        <f t="shared" si="96"/>
        <v>65605.33</v>
      </c>
      <c r="AS182" s="44">
        <f t="shared" si="96"/>
        <v>0</v>
      </c>
      <c r="AT182" s="44">
        <f t="shared" si="96"/>
        <v>0</v>
      </c>
      <c r="AU182" s="44">
        <f t="shared" si="96"/>
        <v>65605.33</v>
      </c>
      <c r="AV182" s="44">
        <f t="shared" si="96"/>
        <v>28780.63</v>
      </c>
      <c r="AW182" s="44">
        <f t="shared" si="96"/>
        <v>28780.63</v>
      </c>
      <c r="AX182" s="44">
        <f t="shared" si="96"/>
        <v>0</v>
      </c>
      <c r="AY182" s="44">
        <f t="shared" si="96"/>
        <v>28780.63</v>
      </c>
      <c r="AZ182" s="44">
        <f t="shared" si="96"/>
        <v>0</v>
      </c>
      <c r="BA182" s="44">
        <f t="shared" si="96"/>
        <v>0</v>
      </c>
      <c r="BB182" s="44">
        <f t="shared" si="96"/>
        <v>0</v>
      </c>
      <c r="BC182" s="44">
        <f t="shared" si="96"/>
        <v>0</v>
      </c>
      <c r="BD182" s="44">
        <f t="shared" si="96"/>
        <v>0</v>
      </c>
      <c r="BE182" s="44">
        <f t="shared" si="96"/>
        <v>0</v>
      </c>
      <c r="BF182" s="44">
        <f t="shared" si="96"/>
        <v>0</v>
      </c>
      <c r="BG182" s="44">
        <f t="shared" si="96"/>
        <v>0</v>
      </c>
      <c r="BH182" s="44">
        <f t="shared" si="96"/>
        <v>0</v>
      </c>
      <c r="BI182" s="44">
        <f t="shared" si="96"/>
        <v>0</v>
      </c>
      <c r="BJ182" s="44">
        <f t="shared" si="96"/>
        <v>0</v>
      </c>
      <c r="BK182" s="44">
        <f t="shared" si="96"/>
        <v>0</v>
      </c>
      <c r="BL182" s="44">
        <f t="shared" si="96"/>
        <v>0</v>
      </c>
      <c r="BM182" s="44">
        <f t="shared" si="96"/>
        <v>0</v>
      </c>
      <c r="BN182" s="44">
        <f t="shared" si="96"/>
        <v>0</v>
      </c>
      <c r="BO182" s="44">
        <f t="shared" si="96"/>
        <v>0</v>
      </c>
      <c r="BP182" s="44">
        <f t="shared" si="96"/>
        <v>0</v>
      </c>
      <c r="BQ182" s="44">
        <f t="shared" si="96"/>
        <v>0</v>
      </c>
      <c r="BR182" s="44">
        <f t="shared" si="96"/>
        <v>0</v>
      </c>
      <c r="BS182" s="44">
        <f t="shared" si="96"/>
        <v>0</v>
      </c>
      <c r="BT182" s="44">
        <f t="shared" si="96"/>
        <v>0</v>
      </c>
      <c r="BU182" s="44">
        <f t="shared" si="96"/>
        <v>0</v>
      </c>
      <c r="BV182" s="44">
        <f t="shared" si="96"/>
        <v>0</v>
      </c>
      <c r="BW182" s="44">
        <f t="shared" si="96"/>
        <v>0</v>
      </c>
      <c r="BX182" s="44">
        <f t="shared" si="96"/>
        <v>0</v>
      </c>
      <c r="BY182" s="44">
        <f t="shared" si="96"/>
        <v>0</v>
      </c>
      <c r="BZ182" s="44">
        <f t="shared" si="96"/>
        <v>0</v>
      </c>
      <c r="CA182" s="44">
        <f t="shared" ref="CA182:EL182" si="97">CA189</f>
        <v>65605.33</v>
      </c>
      <c r="CB182" s="44">
        <f t="shared" si="97"/>
        <v>0</v>
      </c>
      <c r="CC182" s="44">
        <f t="shared" si="97"/>
        <v>0</v>
      </c>
      <c r="CD182" s="44">
        <f t="shared" si="97"/>
        <v>65605.33</v>
      </c>
      <c r="CE182" s="44">
        <f t="shared" si="97"/>
        <v>28780.63</v>
      </c>
      <c r="CF182" s="44">
        <f t="shared" si="97"/>
        <v>28780.63</v>
      </c>
      <c r="CG182" s="44">
        <f t="shared" si="97"/>
        <v>0</v>
      </c>
      <c r="CH182" s="44">
        <f t="shared" si="97"/>
        <v>28780.63</v>
      </c>
      <c r="CI182" s="44">
        <f t="shared" si="97"/>
        <v>0</v>
      </c>
      <c r="CJ182" s="44">
        <f t="shared" si="97"/>
        <v>0</v>
      </c>
      <c r="CK182" s="44">
        <f t="shared" si="97"/>
        <v>0</v>
      </c>
      <c r="CL182" s="44">
        <f t="shared" si="97"/>
        <v>0</v>
      </c>
      <c r="CM182" s="44">
        <f t="shared" si="97"/>
        <v>0</v>
      </c>
      <c r="CN182" s="44">
        <f t="shared" si="97"/>
        <v>0</v>
      </c>
      <c r="CO182" s="44">
        <f t="shared" si="97"/>
        <v>0</v>
      </c>
      <c r="CP182" s="44">
        <f t="shared" si="97"/>
        <v>0</v>
      </c>
      <c r="CQ182" s="44">
        <f t="shared" si="97"/>
        <v>0</v>
      </c>
      <c r="CR182" s="44">
        <f t="shared" si="97"/>
        <v>0</v>
      </c>
      <c r="CS182" s="44">
        <f t="shared" si="97"/>
        <v>0</v>
      </c>
      <c r="CT182" s="44">
        <f t="shared" si="97"/>
        <v>0</v>
      </c>
      <c r="CU182" s="44">
        <f t="shared" si="97"/>
        <v>0</v>
      </c>
      <c r="CV182" s="44">
        <f t="shared" si="97"/>
        <v>0</v>
      </c>
      <c r="CW182" s="44">
        <f t="shared" si="97"/>
        <v>0</v>
      </c>
      <c r="CX182" s="44">
        <f t="shared" si="97"/>
        <v>0</v>
      </c>
      <c r="CY182" s="44">
        <f t="shared" si="97"/>
        <v>0</v>
      </c>
      <c r="CZ182" s="44">
        <f t="shared" si="97"/>
        <v>0</v>
      </c>
      <c r="DA182" s="44">
        <f t="shared" si="97"/>
        <v>0</v>
      </c>
      <c r="DB182" s="44">
        <f t="shared" si="97"/>
        <v>0</v>
      </c>
      <c r="DC182" s="44">
        <f t="shared" si="97"/>
        <v>0</v>
      </c>
      <c r="DD182" s="44">
        <f t="shared" si="97"/>
        <v>0</v>
      </c>
      <c r="DE182" s="44">
        <f t="shared" si="97"/>
        <v>0</v>
      </c>
      <c r="DF182" s="44">
        <f t="shared" si="97"/>
        <v>0</v>
      </c>
      <c r="DG182" s="45">
        <f t="shared" si="97"/>
        <v>0</v>
      </c>
      <c r="DH182" s="45">
        <f t="shared" si="97"/>
        <v>0</v>
      </c>
      <c r="DI182" s="45">
        <f t="shared" si="97"/>
        <v>0</v>
      </c>
      <c r="DJ182" s="45">
        <f t="shared" si="97"/>
        <v>0</v>
      </c>
      <c r="DK182" s="45">
        <f t="shared" si="97"/>
        <v>0</v>
      </c>
      <c r="DL182" s="45">
        <f t="shared" si="97"/>
        <v>0</v>
      </c>
      <c r="DM182" s="45">
        <f t="shared" si="97"/>
        <v>0</v>
      </c>
      <c r="DN182" s="45">
        <f t="shared" si="97"/>
        <v>0</v>
      </c>
      <c r="DO182" s="45">
        <f t="shared" si="97"/>
        <v>0</v>
      </c>
      <c r="DP182" s="45">
        <f t="shared" si="97"/>
        <v>0</v>
      </c>
      <c r="DQ182" s="45">
        <f t="shared" si="97"/>
        <v>0</v>
      </c>
      <c r="DR182" s="45">
        <f t="shared" si="97"/>
        <v>0</v>
      </c>
      <c r="DS182" s="45">
        <f t="shared" si="97"/>
        <v>0</v>
      </c>
      <c r="DT182" s="45">
        <f t="shared" si="97"/>
        <v>0</v>
      </c>
      <c r="DU182" s="45">
        <f t="shared" si="97"/>
        <v>0</v>
      </c>
      <c r="DV182" s="45">
        <f t="shared" si="97"/>
        <v>0</v>
      </c>
      <c r="DW182" s="45">
        <f t="shared" si="97"/>
        <v>0</v>
      </c>
      <c r="DX182" s="45">
        <f t="shared" si="97"/>
        <v>0</v>
      </c>
      <c r="DY182" s="45">
        <f t="shared" si="97"/>
        <v>0</v>
      </c>
      <c r="DZ182" s="45">
        <f t="shared" si="97"/>
        <v>0</v>
      </c>
      <c r="EA182" s="45">
        <f t="shared" si="97"/>
        <v>0</v>
      </c>
      <c r="EB182" s="45">
        <f t="shared" si="97"/>
        <v>0</v>
      </c>
      <c r="EC182" s="45">
        <f t="shared" si="97"/>
        <v>0</v>
      </c>
      <c r="ED182" s="45">
        <f t="shared" si="97"/>
        <v>0</v>
      </c>
      <c r="EE182" s="45">
        <f t="shared" si="97"/>
        <v>0</v>
      </c>
      <c r="EF182" s="45">
        <f t="shared" si="97"/>
        <v>0</v>
      </c>
      <c r="EG182" s="45">
        <f t="shared" si="97"/>
        <v>0</v>
      </c>
      <c r="EH182" s="45">
        <f t="shared" si="97"/>
        <v>0</v>
      </c>
      <c r="EI182" s="45">
        <f t="shared" si="97"/>
        <v>0</v>
      </c>
      <c r="EJ182" s="45">
        <f t="shared" si="97"/>
        <v>0</v>
      </c>
      <c r="EK182" s="45">
        <f t="shared" si="97"/>
        <v>0</v>
      </c>
      <c r="EL182" s="45">
        <f t="shared" si="97"/>
        <v>0</v>
      </c>
      <c r="EM182" s="45">
        <f t="shared" ref="EM182:GX182" si="98">EM189</f>
        <v>0</v>
      </c>
      <c r="EN182" s="45">
        <f t="shared" si="98"/>
        <v>0</v>
      </c>
      <c r="EO182" s="45">
        <f t="shared" si="98"/>
        <v>0</v>
      </c>
      <c r="EP182" s="45">
        <f t="shared" si="98"/>
        <v>0</v>
      </c>
      <c r="EQ182" s="45">
        <f t="shared" si="98"/>
        <v>0</v>
      </c>
      <c r="ER182" s="45">
        <f t="shared" si="98"/>
        <v>0</v>
      </c>
      <c r="ES182" s="45">
        <f t="shared" si="98"/>
        <v>0</v>
      </c>
      <c r="ET182" s="45">
        <f t="shared" si="98"/>
        <v>0</v>
      </c>
      <c r="EU182" s="45">
        <f t="shared" si="98"/>
        <v>0</v>
      </c>
      <c r="EV182" s="45">
        <f t="shared" si="98"/>
        <v>0</v>
      </c>
      <c r="EW182" s="45">
        <f t="shared" si="98"/>
        <v>0</v>
      </c>
      <c r="EX182" s="45">
        <f t="shared" si="98"/>
        <v>0</v>
      </c>
      <c r="EY182" s="45">
        <f t="shared" si="98"/>
        <v>0</v>
      </c>
      <c r="EZ182" s="45">
        <f t="shared" si="98"/>
        <v>0</v>
      </c>
      <c r="FA182" s="45">
        <f t="shared" si="98"/>
        <v>0</v>
      </c>
      <c r="FB182" s="45">
        <f t="shared" si="98"/>
        <v>0</v>
      </c>
      <c r="FC182" s="45">
        <f t="shared" si="98"/>
        <v>0</v>
      </c>
      <c r="FD182" s="45">
        <f t="shared" si="98"/>
        <v>0</v>
      </c>
      <c r="FE182" s="45">
        <f t="shared" si="98"/>
        <v>0</v>
      </c>
      <c r="FF182" s="45">
        <f t="shared" si="98"/>
        <v>0</v>
      </c>
      <c r="FG182" s="45">
        <f t="shared" si="98"/>
        <v>0</v>
      </c>
      <c r="FH182" s="45">
        <f t="shared" si="98"/>
        <v>0</v>
      </c>
      <c r="FI182" s="45">
        <f t="shared" si="98"/>
        <v>0</v>
      </c>
      <c r="FJ182" s="45">
        <f t="shared" si="98"/>
        <v>0</v>
      </c>
      <c r="FK182" s="45">
        <f t="shared" si="98"/>
        <v>0</v>
      </c>
      <c r="FL182" s="45">
        <f t="shared" si="98"/>
        <v>0</v>
      </c>
      <c r="FM182" s="45">
        <f t="shared" si="98"/>
        <v>0</v>
      </c>
      <c r="FN182" s="45">
        <f t="shared" si="98"/>
        <v>0</v>
      </c>
      <c r="FO182" s="45">
        <f t="shared" si="98"/>
        <v>0</v>
      </c>
      <c r="FP182" s="45">
        <f t="shared" si="98"/>
        <v>0</v>
      </c>
      <c r="FQ182" s="45">
        <f t="shared" si="98"/>
        <v>0</v>
      </c>
      <c r="FR182" s="45">
        <f t="shared" si="98"/>
        <v>0</v>
      </c>
      <c r="FS182" s="45">
        <f t="shared" si="98"/>
        <v>0</v>
      </c>
      <c r="FT182" s="45">
        <f t="shared" si="98"/>
        <v>0</v>
      </c>
      <c r="FU182" s="45">
        <f t="shared" si="98"/>
        <v>0</v>
      </c>
      <c r="FV182" s="45">
        <f t="shared" si="98"/>
        <v>0</v>
      </c>
      <c r="FW182" s="45">
        <f t="shared" si="98"/>
        <v>0</v>
      </c>
      <c r="FX182" s="45">
        <f t="shared" si="98"/>
        <v>0</v>
      </c>
      <c r="FY182" s="45">
        <f t="shared" si="98"/>
        <v>0</v>
      </c>
      <c r="FZ182" s="45">
        <f t="shared" si="98"/>
        <v>0</v>
      </c>
      <c r="GA182" s="45">
        <f t="shared" si="98"/>
        <v>0</v>
      </c>
      <c r="GB182" s="45">
        <f t="shared" si="98"/>
        <v>0</v>
      </c>
      <c r="GC182" s="45">
        <f t="shared" si="98"/>
        <v>0</v>
      </c>
      <c r="GD182" s="45">
        <f t="shared" si="98"/>
        <v>0</v>
      </c>
      <c r="GE182" s="45">
        <f t="shared" si="98"/>
        <v>0</v>
      </c>
      <c r="GF182" s="45">
        <f t="shared" si="98"/>
        <v>0</v>
      </c>
      <c r="GG182" s="45">
        <f t="shared" si="98"/>
        <v>0</v>
      </c>
      <c r="GH182" s="45">
        <f t="shared" si="98"/>
        <v>0</v>
      </c>
      <c r="GI182" s="45">
        <f t="shared" si="98"/>
        <v>0</v>
      </c>
      <c r="GJ182" s="45">
        <f t="shared" si="98"/>
        <v>0</v>
      </c>
      <c r="GK182" s="45">
        <f t="shared" si="98"/>
        <v>0</v>
      </c>
      <c r="GL182" s="45">
        <f t="shared" si="98"/>
        <v>0</v>
      </c>
      <c r="GM182" s="45">
        <f t="shared" si="98"/>
        <v>0</v>
      </c>
      <c r="GN182" s="45">
        <f t="shared" si="98"/>
        <v>0</v>
      </c>
      <c r="GO182" s="45">
        <f t="shared" si="98"/>
        <v>0</v>
      </c>
      <c r="GP182" s="45">
        <f t="shared" si="98"/>
        <v>0</v>
      </c>
      <c r="GQ182" s="45">
        <f t="shared" si="98"/>
        <v>0</v>
      </c>
      <c r="GR182" s="45">
        <f t="shared" si="98"/>
        <v>0</v>
      </c>
      <c r="GS182" s="45">
        <f t="shared" si="98"/>
        <v>0</v>
      </c>
      <c r="GT182" s="45">
        <f t="shared" si="98"/>
        <v>0</v>
      </c>
      <c r="GU182" s="45">
        <f t="shared" si="98"/>
        <v>0</v>
      </c>
      <c r="GV182" s="45">
        <f t="shared" si="98"/>
        <v>0</v>
      </c>
      <c r="GW182" s="45">
        <f t="shared" si="98"/>
        <v>0</v>
      </c>
      <c r="GX182" s="45">
        <f t="shared" si="98"/>
        <v>0</v>
      </c>
    </row>
    <row r="184" spans="1:245" x14ac:dyDescent="0.25">
      <c r="A184" s="2">
        <v>17</v>
      </c>
      <c r="B184" s="2">
        <v>1</v>
      </c>
      <c r="C184" s="2">
        <f>ROW(SmtRes!A55)</f>
        <v>55</v>
      </c>
      <c r="D184" s="2">
        <f>ROW(EtalonRes!A53)</f>
        <v>53</v>
      </c>
      <c r="E184" s="2" t="s">
        <v>308</v>
      </c>
      <c r="F184" s="2" t="s">
        <v>309</v>
      </c>
      <c r="G184" s="2" t="s">
        <v>310</v>
      </c>
      <c r="H184" s="2" t="s">
        <v>60</v>
      </c>
      <c r="I184" s="2">
        <f>ROUND(225/100,9)</f>
        <v>2.25</v>
      </c>
      <c r="J184" s="2">
        <v>0</v>
      </c>
      <c r="K184" s="2">
        <f>ROUND(225/100,9)</f>
        <v>2.25</v>
      </c>
      <c r="O184" s="2">
        <f>ROUND(CP184,2)</f>
        <v>40288.47</v>
      </c>
      <c r="P184" s="2">
        <f>ROUND(CQ184*I184,2)</f>
        <v>26679.38</v>
      </c>
      <c r="Q184" s="2">
        <f>ROUND(CR184*I184,2)</f>
        <v>145.49</v>
      </c>
      <c r="R184" s="2">
        <f>ROUND(CS184*I184,2)</f>
        <v>51.35</v>
      </c>
      <c r="S184" s="2">
        <f>ROUND(CT184*I184,2)</f>
        <v>13463.6</v>
      </c>
      <c r="T184" s="2">
        <f>ROUND(CU184*I184,2)</f>
        <v>0</v>
      </c>
      <c r="U184" s="2">
        <f>CV184*I184</f>
        <v>69.3</v>
      </c>
      <c r="V184" s="2">
        <f>CW184*I184</f>
        <v>0</v>
      </c>
      <c r="W184" s="2">
        <f>ROUND(CX184*I184,2)</f>
        <v>0</v>
      </c>
      <c r="X184" s="2">
        <f t="shared" ref="X184:Y187" si="99">ROUND(CY184,2)</f>
        <v>9424.52</v>
      </c>
      <c r="Y184" s="2">
        <f t="shared" si="99"/>
        <v>1346.36</v>
      </c>
      <c r="AA184" s="2">
        <v>52261502</v>
      </c>
      <c r="AB184" s="2">
        <f>ROUND((AC184+AD184+AF184),6)</f>
        <v>17905.98</v>
      </c>
      <c r="AC184" s="2">
        <f>ROUND((ES184),6)</f>
        <v>11857.5</v>
      </c>
      <c r="AD184" s="2">
        <f>ROUND((((ET184)-(EU184))+AE184),6)</f>
        <v>64.66</v>
      </c>
      <c r="AE184" s="2">
        <f t="shared" ref="AE184:AF187" si="100">ROUND((EU184),6)</f>
        <v>22.82</v>
      </c>
      <c r="AF184" s="2">
        <f t="shared" si="100"/>
        <v>5983.82</v>
      </c>
      <c r="AG184" s="2">
        <f>ROUND((AP184),6)</f>
        <v>0</v>
      </c>
      <c r="AH184" s="2">
        <f t="shared" ref="AH184:AI187" si="101">(EW184)</f>
        <v>30.8</v>
      </c>
      <c r="AI184" s="2">
        <f t="shared" si="101"/>
        <v>0</v>
      </c>
      <c r="AJ184" s="2">
        <f>(AS184)</f>
        <v>0</v>
      </c>
      <c r="AK184" s="2">
        <v>17905.98</v>
      </c>
      <c r="AL184" s="2">
        <v>11857.5</v>
      </c>
      <c r="AM184" s="2">
        <v>64.66</v>
      </c>
      <c r="AN184" s="2">
        <v>22.82</v>
      </c>
      <c r="AO184" s="2">
        <v>5983.82</v>
      </c>
      <c r="AP184" s="2">
        <v>0</v>
      </c>
      <c r="AQ184" s="2">
        <v>30.8</v>
      </c>
      <c r="AR184" s="2">
        <v>0</v>
      </c>
      <c r="AS184" s="2">
        <v>0</v>
      </c>
      <c r="AT184" s="2">
        <v>70</v>
      </c>
      <c r="AU184" s="2">
        <v>10</v>
      </c>
      <c r="AV184" s="2">
        <v>1</v>
      </c>
      <c r="AW184" s="2">
        <v>1</v>
      </c>
      <c r="AZ184" s="2">
        <v>1</v>
      </c>
      <c r="BA184" s="2">
        <v>1</v>
      </c>
      <c r="BB184" s="2">
        <v>1</v>
      </c>
      <c r="BC184" s="2">
        <v>1</v>
      </c>
      <c r="BD184" s="2" t="s">
        <v>30</v>
      </c>
      <c r="BE184" s="2" t="s">
        <v>30</v>
      </c>
      <c r="BF184" s="2" t="s">
        <v>30</v>
      </c>
      <c r="BG184" s="2" t="s">
        <v>30</v>
      </c>
      <c r="BH184" s="2">
        <v>0</v>
      </c>
      <c r="BI184" s="2">
        <v>4</v>
      </c>
      <c r="BJ184" s="2" t="s">
        <v>311</v>
      </c>
      <c r="BM184" s="2">
        <v>0</v>
      </c>
      <c r="BN184" s="2">
        <v>0</v>
      </c>
      <c r="BO184" s="2" t="s">
        <v>30</v>
      </c>
      <c r="BP184" s="2">
        <v>0</v>
      </c>
      <c r="BQ184" s="2">
        <v>1</v>
      </c>
      <c r="BR184" s="2">
        <v>0</v>
      </c>
      <c r="BS184" s="2">
        <v>1</v>
      </c>
      <c r="BT184" s="2">
        <v>1</v>
      </c>
      <c r="BU184" s="2">
        <v>1</v>
      </c>
      <c r="BV184" s="2">
        <v>1</v>
      </c>
      <c r="BW184" s="2">
        <v>1</v>
      </c>
      <c r="BX184" s="2">
        <v>1</v>
      </c>
      <c r="BY184" s="2" t="s">
        <v>30</v>
      </c>
      <c r="BZ184" s="2">
        <v>70</v>
      </c>
      <c r="CA184" s="2">
        <v>10</v>
      </c>
      <c r="CB184" s="2" t="s">
        <v>30</v>
      </c>
      <c r="CE184" s="2">
        <v>0</v>
      </c>
      <c r="CF184" s="2">
        <v>0</v>
      </c>
      <c r="CG184" s="2">
        <v>0</v>
      </c>
      <c r="CM184" s="2">
        <v>0</v>
      </c>
      <c r="CN184" s="2" t="s">
        <v>30</v>
      </c>
      <c r="CO184" s="2">
        <v>0</v>
      </c>
      <c r="CP184" s="2">
        <f>(P184+Q184+S184)</f>
        <v>40288.47</v>
      </c>
      <c r="CQ184" s="2">
        <f>(AC184*BC184*AW184)</f>
        <v>11857.5</v>
      </c>
      <c r="CR184" s="2">
        <f>((((ET184)*BB184-(EU184)*BS184)+AE184*BS184)*AV184)</f>
        <v>64.66</v>
      </c>
      <c r="CS184" s="2">
        <f>(AE184*BS184*AV184)</f>
        <v>22.82</v>
      </c>
      <c r="CT184" s="2">
        <f>(AF184*BA184*AV184)</f>
        <v>5983.82</v>
      </c>
      <c r="CU184" s="2">
        <f>AG184</f>
        <v>0</v>
      </c>
      <c r="CV184" s="2">
        <f>(AH184*AV184)</f>
        <v>30.8</v>
      </c>
      <c r="CW184" s="2">
        <f t="shared" ref="CW184:CX187" si="102">AI184</f>
        <v>0</v>
      </c>
      <c r="CX184" s="2">
        <f t="shared" si="102"/>
        <v>0</v>
      </c>
      <c r="CY184" s="2">
        <f>((S184*BZ184)/100)</f>
        <v>9424.52</v>
      </c>
      <c r="CZ184" s="2">
        <f>((S184*CA184)/100)</f>
        <v>1346.36</v>
      </c>
      <c r="DC184" s="2" t="s">
        <v>30</v>
      </c>
      <c r="DD184" s="2" t="s">
        <v>30</v>
      </c>
      <c r="DE184" s="2" t="s">
        <v>30</v>
      </c>
      <c r="DF184" s="2" t="s">
        <v>30</v>
      </c>
      <c r="DG184" s="2" t="s">
        <v>30</v>
      </c>
      <c r="DH184" s="2" t="s">
        <v>30</v>
      </c>
      <c r="DI184" s="2" t="s">
        <v>30</v>
      </c>
      <c r="DJ184" s="2" t="s">
        <v>30</v>
      </c>
      <c r="DK184" s="2" t="s">
        <v>30</v>
      </c>
      <c r="DL184" s="2" t="s">
        <v>30</v>
      </c>
      <c r="DM184" s="2" t="s">
        <v>30</v>
      </c>
      <c r="DN184" s="2">
        <v>0</v>
      </c>
      <c r="DO184" s="2">
        <v>0</v>
      </c>
      <c r="DP184" s="2">
        <v>1</v>
      </c>
      <c r="DQ184" s="2">
        <v>1</v>
      </c>
      <c r="DU184" s="2">
        <v>1005</v>
      </c>
      <c r="DV184" s="2" t="s">
        <v>60</v>
      </c>
      <c r="DW184" s="2" t="s">
        <v>60</v>
      </c>
      <c r="DX184" s="2">
        <v>100</v>
      </c>
      <c r="DZ184" s="2" t="s">
        <v>30</v>
      </c>
      <c r="EA184" s="2" t="s">
        <v>30</v>
      </c>
      <c r="EB184" s="2" t="s">
        <v>30</v>
      </c>
      <c r="EC184" s="2" t="s">
        <v>30</v>
      </c>
      <c r="EE184" s="2">
        <v>49661954</v>
      </c>
      <c r="EF184" s="2">
        <v>1</v>
      </c>
      <c r="EG184" s="2" t="s">
        <v>180</v>
      </c>
      <c r="EH184" s="2">
        <v>0</v>
      </c>
      <c r="EI184" s="2" t="s">
        <v>30</v>
      </c>
      <c r="EJ184" s="2">
        <v>4</v>
      </c>
      <c r="EK184" s="2">
        <v>0</v>
      </c>
      <c r="EL184" s="2" t="s">
        <v>181</v>
      </c>
      <c r="EM184" s="2" t="s">
        <v>182</v>
      </c>
      <c r="EO184" s="2" t="s">
        <v>30</v>
      </c>
      <c r="EQ184" s="2">
        <v>0</v>
      </c>
      <c r="ER184" s="2">
        <v>17905.98</v>
      </c>
      <c r="ES184" s="2">
        <v>11857.5</v>
      </c>
      <c r="ET184" s="2">
        <v>64.66</v>
      </c>
      <c r="EU184" s="2">
        <v>22.82</v>
      </c>
      <c r="EV184" s="2">
        <v>5983.82</v>
      </c>
      <c r="EW184" s="2">
        <v>30.8</v>
      </c>
      <c r="EX184" s="2">
        <v>0</v>
      </c>
      <c r="EY184" s="2">
        <v>0</v>
      </c>
      <c r="FQ184" s="2">
        <v>0</v>
      </c>
      <c r="FR184" s="2">
        <f>ROUND(IF(AND(BH184=3,BI184=3),P184,0),2)</f>
        <v>0</v>
      </c>
      <c r="FS184" s="2">
        <v>0</v>
      </c>
      <c r="FX184" s="2">
        <v>70</v>
      </c>
      <c r="FY184" s="2">
        <v>10</v>
      </c>
      <c r="GA184" s="2" t="s">
        <v>30</v>
      </c>
      <c r="GD184" s="2">
        <v>0</v>
      </c>
      <c r="GF184" s="2">
        <v>1344656155</v>
      </c>
      <c r="GG184" s="2">
        <v>2</v>
      </c>
      <c r="GH184" s="2">
        <v>1</v>
      </c>
      <c r="GI184" s="2">
        <v>-2</v>
      </c>
      <c r="GJ184" s="2">
        <v>0</v>
      </c>
      <c r="GK184" s="2">
        <f>ROUND(R184*(R12)/100,2)</f>
        <v>55.46</v>
      </c>
      <c r="GL184" s="2">
        <f>ROUND(IF(AND(BH184=3,BI184=3,FS184&lt;&gt;0),P184,0),2)</f>
        <v>0</v>
      </c>
      <c r="GM184" s="2">
        <f>ROUND(O184+X184+Y184+GK184,2)+GX184</f>
        <v>51114.81</v>
      </c>
      <c r="GN184" s="2">
        <f>IF(OR(BI184=0,BI184=1),ROUND(O184+X184+Y184+GK184,2),0)</f>
        <v>0</v>
      </c>
      <c r="GO184" s="2">
        <f>IF(BI184=2,ROUND(O184+X184+Y184+GK184,2),0)</f>
        <v>0</v>
      </c>
      <c r="GP184" s="2">
        <f>IF(BI184=4,ROUND(O184+X184+Y184+GK184,2)+GX184,0)</f>
        <v>51114.81</v>
      </c>
      <c r="GR184" s="2">
        <v>0</v>
      </c>
      <c r="GS184" s="2">
        <v>0</v>
      </c>
      <c r="GT184" s="2">
        <v>0</v>
      </c>
      <c r="GU184" s="2" t="s">
        <v>30</v>
      </c>
      <c r="GV184" s="2">
        <f>ROUND((GT184),6)</f>
        <v>0</v>
      </c>
      <c r="GW184" s="2">
        <v>1</v>
      </c>
      <c r="GX184" s="2">
        <f>ROUND(HC184*I184,2)</f>
        <v>0</v>
      </c>
      <c r="HA184" s="2">
        <v>0</v>
      </c>
      <c r="HB184" s="2">
        <v>0</v>
      </c>
      <c r="HC184" s="2">
        <f>GV184*GW184</f>
        <v>0</v>
      </c>
      <c r="HE184" s="2" t="s">
        <v>30</v>
      </c>
      <c r="HF184" s="2" t="s">
        <v>30</v>
      </c>
      <c r="HM184" s="2" t="s">
        <v>30</v>
      </c>
      <c r="HN184" s="2" t="s">
        <v>30</v>
      </c>
      <c r="HO184" s="2" t="s">
        <v>30</v>
      </c>
      <c r="HP184" s="2" t="s">
        <v>30</v>
      </c>
      <c r="HQ184" s="2" t="s">
        <v>30</v>
      </c>
      <c r="IK184" s="2">
        <v>0</v>
      </c>
    </row>
    <row r="185" spans="1:245" x14ac:dyDescent="0.25">
      <c r="A185" s="2">
        <v>17</v>
      </c>
      <c r="B185" s="2">
        <v>1</v>
      </c>
      <c r="C185" s="2">
        <f>ROW(SmtRes!A57)</f>
        <v>57</v>
      </c>
      <c r="D185" s="2">
        <f>ROW(EtalonRes!A55)</f>
        <v>55</v>
      </c>
      <c r="E185" s="2" t="s">
        <v>312</v>
      </c>
      <c r="F185" s="2" t="s">
        <v>313</v>
      </c>
      <c r="G185" s="2" t="s">
        <v>314</v>
      </c>
      <c r="H185" s="2" t="s">
        <v>60</v>
      </c>
      <c r="I185" s="2">
        <f>ROUND(75/100,9)</f>
        <v>0.75</v>
      </c>
      <c r="J185" s="2">
        <v>0</v>
      </c>
      <c r="K185" s="2">
        <f>ROUND(75/100,9)</f>
        <v>0.75</v>
      </c>
      <c r="O185" s="2">
        <f>ROUND(CP185,2)</f>
        <v>15595.79</v>
      </c>
      <c r="P185" s="2">
        <f>ROUND(CQ185*I185,2)</f>
        <v>8893.1299999999992</v>
      </c>
      <c r="Q185" s="2">
        <f>ROUND(CR185*I185,2)</f>
        <v>0</v>
      </c>
      <c r="R185" s="2">
        <f>ROUND(CS185*I185,2)</f>
        <v>0</v>
      </c>
      <c r="S185" s="2">
        <f>ROUND(CT185*I185,2)</f>
        <v>6702.66</v>
      </c>
      <c r="T185" s="2">
        <f>ROUND(CU185*I185,2)</f>
        <v>0</v>
      </c>
      <c r="U185" s="2">
        <f>CV185*I185</f>
        <v>34.5</v>
      </c>
      <c r="V185" s="2">
        <f>CW185*I185</f>
        <v>0</v>
      </c>
      <c r="W185" s="2">
        <f>ROUND(CX185*I185,2)</f>
        <v>0</v>
      </c>
      <c r="X185" s="2">
        <f t="shared" si="99"/>
        <v>4691.8599999999997</v>
      </c>
      <c r="Y185" s="2">
        <f t="shared" si="99"/>
        <v>670.27</v>
      </c>
      <c r="AA185" s="2">
        <v>52261502</v>
      </c>
      <c r="AB185" s="2">
        <f>ROUND((AC185+AD185+AF185),6)</f>
        <v>20794.38</v>
      </c>
      <c r="AC185" s="2">
        <f>ROUND((ES185),6)</f>
        <v>11857.5</v>
      </c>
      <c r="AD185" s="2">
        <f>ROUND((((ET185)-(EU185))+AE185),6)</f>
        <v>0</v>
      </c>
      <c r="AE185" s="2">
        <f t="shared" si="100"/>
        <v>0</v>
      </c>
      <c r="AF185" s="2">
        <f t="shared" si="100"/>
        <v>8936.8799999999992</v>
      </c>
      <c r="AG185" s="2">
        <f>ROUND((AP185),6)</f>
        <v>0</v>
      </c>
      <c r="AH185" s="2">
        <f t="shared" si="101"/>
        <v>46</v>
      </c>
      <c r="AI185" s="2">
        <f t="shared" si="101"/>
        <v>0</v>
      </c>
      <c r="AJ185" s="2">
        <f>(AS185)</f>
        <v>0</v>
      </c>
      <c r="AK185" s="2">
        <v>20794.38</v>
      </c>
      <c r="AL185" s="2">
        <v>11857.5</v>
      </c>
      <c r="AM185" s="2">
        <v>0</v>
      </c>
      <c r="AN185" s="2">
        <v>0</v>
      </c>
      <c r="AO185" s="2">
        <v>8936.8799999999992</v>
      </c>
      <c r="AP185" s="2">
        <v>0</v>
      </c>
      <c r="AQ185" s="2">
        <v>46</v>
      </c>
      <c r="AR185" s="2">
        <v>0</v>
      </c>
      <c r="AS185" s="2">
        <v>0</v>
      </c>
      <c r="AT185" s="2">
        <v>70</v>
      </c>
      <c r="AU185" s="2">
        <v>10</v>
      </c>
      <c r="AV185" s="2">
        <v>1</v>
      </c>
      <c r="AW185" s="2">
        <v>1</v>
      </c>
      <c r="AZ185" s="2">
        <v>1</v>
      </c>
      <c r="BA185" s="2">
        <v>1</v>
      </c>
      <c r="BB185" s="2">
        <v>1</v>
      </c>
      <c r="BC185" s="2">
        <v>1</v>
      </c>
      <c r="BD185" s="2" t="s">
        <v>30</v>
      </c>
      <c r="BE185" s="2" t="s">
        <v>30</v>
      </c>
      <c r="BF185" s="2" t="s">
        <v>30</v>
      </c>
      <c r="BG185" s="2" t="s">
        <v>30</v>
      </c>
      <c r="BH185" s="2">
        <v>0</v>
      </c>
      <c r="BI185" s="2">
        <v>4</v>
      </c>
      <c r="BJ185" s="2" t="s">
        <v>315</v>
      </c>
      <c r="BM185" s="2">
        <v>0</v>
      </c>
      <c r="BN185" s="2">
        <v>0</v>
      </c>
      <c r="BO185" s="2" t="s">
        <v>30</v>
      </c>
      <c r="BP185" s="2">
        <v>0</v>
      </c>
      <c r="BQ185" s="2">
        <v>1</v>
      </c>
      <c r="BR185" s="2">
        <v>0</v>
      </c>
      <c r="BS185" s="2">
        <v>1</v>
      </c>
      <c r="BT185" s="2">
        <v>1</v>
      </c>
      <c r="BU185" s="2">
        <v>1</v>
      </c>
      <c r="BV185" s="2">
        <v>1</v>
      </c>
      <c r="BW185" s="2">
        <v>1</v>
      </c>
      <c r="BX185" s="2">
        <v>1</v>
      </c>
      <c r="BY185" s="2" t="s">
        <v>30</v>
      </c>
      <c r="BZ185" s="2">
        <v>70</v>
      </c>
      <c r="CA185" s="2">
        <v>10</v>
      </c>
      <c r="CB185" s="2" t="s">
        <v>30</v>
      </c>
      <c r="CE185" s="2">
        <v>0</v>
      </c>
      <c r="CF185" s="2">
        <v>0</v>
      </c>
      <c r="CG185" s="2">
        <v>0</v>
      </c>
      <c r="CM185" s="2">
        <v>0</v>
      </c>
      <c r="CN185" s="2" t="s">
        <v>30</v>
      </c>
      <c r="CO185" s="2">
        <v>0</v>
      </c>
      <c r="CP185" s="2">
        <f>(P185+Q185+S185)</f>
        <v>15595.79</v>
      </c>
      <c r="CQ185" s="2">
        <f>(AC185*BC185*AW185)</f>
        <v>11857.5</v>
      </c>
      <c r="CR185" s="2">
        <f>((((ET185)*BB185-(EU185)*BS185)+AE185*BS185)*AV185)</f>
        <v>0</v>
      </c>
      <c r="CS185" s="2">
        <f>(AE185*BS185*AV185)</f>
        <v>0</v>
      </c>
      <c r="CT185" s="2">
        <f>(AF185*BA185*AV185)</f>
        <v>8936.8799999999992</v>
      </c>
      <c r="CU185" s="2">
        <f>AG185</f>
        <v>0</v>
      </c>
      <c r="CV185" s="2">
        <f>(AH185*AV185)</f>
        <v>46</v>
      </c>
      <c r="CW185" s="2">
        <f t="shared" si="102"/>
        <v>0</v>
      </c>
      <c r="CX185" s="2">
        <f t="shared" si="102"/>
        <v>0</v>
      </c>
      <c r="CY185" s="2">
        <f>((S185*BZ185)/100)</f>
        <v>4691.8620000000001</v>
      </c>
      <c r="CZ185" s="2">
        <f>((S185*CA185)/100)</f>
        <v>670.26599999999996</v>
      </c>
      <c r="DC185" s="2" t="s">
        <v>30</v>
      </c>
      <c r="DD185" s="2" t="s">
        <v>30</v>
      </c>
      <c r="DE185" s="2" t="s">
        <v>30</v>
      </c>
      <c r="DF185" s="2" t="s">
        <v>30</v>
      </c>
      <c r="DG185" s="2" t="s">
        <v>30</v>
      </c>
      <c r="DH185" s="2" t="s">
        <v>30</v>
      </c>
      <c r="DI185" s="2" t="s">
        <v>30</v>
      </c>
      <c r="DJ185" s="2" t="s">
        <v>30</v>
      </c>
      <c r="DK185" s="2" t="s">
        <v>30</v>
      </c>
      <c r="DL185" s="2" t="s">
        <v>30</v>
      </c>
      <c r="DM185" s="2" t="s">
        <v>30</v>
      </c>
      <c r="DN185" s="2">
        <v>0</v>
      </c>
      <c r="DO185" s="2">
        <v>0</v>
      </c>
      <c r="DP185" s="2">
        <v>1</v>
      </c>
      <c r="DQ185" s="2">
        <v>1</v>
      </c>
      <c r="DU185" s="2">
        <v>1005</v>
      </c>
      <c r="DV185" s="2" t="s">
        <v>60</v>
      </c>
      <c r="DW185" s="2" t="s">
        <v>60</v>
      </c>
      <c r="DX185" s="2">
        <v>100</v>
      </c>
      <c r="DZ185" s="2" t="s">
        <v>30</v>
      </c>
      <c r="EA185" s="2" t="s">
        <v>30</v>
      </c>
      <c r="EB185" s="2" t="s">
        <v>30</v>
      </c>
      <c r="EC185" s="2" t="s">
        <v>30</v>
      </c>
      <c r="EE185" s="2">
        <v>49661954</v>
      </c>
      <c r="EF185" s="2">
        <v>1</v>
      </c>
      <c r="EG185" s="2" t="s">
        <v>180</v>
      </c>
      <c r="EH185" s="2">
        <v>0</v>
      </c>
      <c r="EI185" s="2" t="s">
        <v>30</v>
      </c>
      <c r="EJ185" s="2">
        <v>4</v>
      </c>
      <c r="EK185" s="2">
        <v>0</v>
      </c>
      <c r="EL185" s="2" t="s">
        <v>181</v>
      </c>
      <c r="EM185" s="2" t="s">
        <v>182</v>
      </c>
      <c r="EO185" s="2" t="s">
        <v>30</v>
      </c>
      <c r="EQ185" s="2">
        <v>0</v>
      </c>
      <c r="ER185" s="2">
        <v>20794.38</v>
      </c>
      <c r="ES185" s="2">
        <v>11857.5</v>
      </c>
      <c r="ET185" s="2">
        <v>0</v>
      </c>
      <c r="EU185" s="2">
        <v>0</v>
      </c>
      <c r="EV185" s="2">
        <v>8936.8799999999992</v>
      </c>
      <c r="EW185" s="2">
        <v>46</v>
      </c>
      <c r="EX185" s="2">
        <v>0</v>
      </c>
      <c r="EY185" s="2">
        <v>0</v>
      </c>
      <c r="FQ185" s="2">
        <v>0</v>
      </c>
      <c r="FR185" s="2">
        <f>ROUND(IF(AND(BH185=3,BI185=3),P185,0),2)</f>
        <v>0</v>
      </c>
      <c r="FS185" s="2">
        <v>0</v>
      </c>
      <c r="FX185" s="2">
        <v>70</v>
      </c>
      <c r="FY185" s="2">
        <v>10</v>
      </c>
      <c r="GA185" s="2" t="s">
        <v>30</v>
      </c>
      <c r="GD185" s="2">
        <v>0</v>
      </c>
      <c r="GF185" s="2">
        <v>1540860315</v>
      </c>
      <c r="GG185" s="2">
        <v>2</v>
      </c>
      <c r="GH185" s="2">
        <v>1</v>
      </c>
      <c r="GI185" s="2">
        <v>-2</v>
      </c>
      <c r="GJ185" s="2">
        <v>0</v>
      </c>
      <c r="GK185" s="2">
        <f>ROUND(R185*(R12)/100,2)</f>
        <v>0</v>
      </c>
      <c r="GL185" s="2">
        <f>ROUND(IF(AND(BH185=3,BI185=3,FS185&lt;&gt;0),P185,0),2)</f>
        <v>0</v>
      </c>
      <c r="GM185" s="2">
        <f>ROUND(O185+X185+Y185+GK185,2)+GX185</f>
        <v>20957.919999999998</v>
      </c>
      <c r="GN185" s="2">
        <f>IF(OR(BI185=0,BI185=1),ROUND(O185+X185+Y185+GK185,2),0)</f>
        <v>0</v>
      </c>
      <c r="GO185" s="2">
        <f>IF(BI185=2,ROUND(O185+X185+Y185+GK185,2),0)</f>
        <v>0</v>
      </c>
      <c r="GP185" s="2">
        <f>IF(BI185=4,ROUND(O185+X185+Y185+GK185,2)+GX185,0)</f>
        <v>20957.919999999998</v>
      </c>
      <c r="GR185" s="2">
        <v>0</v>
      </c>
      <c r="GS185" s="2">
        <v>0</v>
      </c>
      <c r="GT185" s="2">
        <v>0</v>
      </c>
      <c r="GU185" s="2" t="s">
        <v>30</v>
      </c>
      <c r="GV185" s="2">
        <f>ROUND((GT185),6)</f>
        <v>0</v>
      </c>
      <c r="GW185" s="2">
        <v>1</v>
      </c>
      <c r="GX185" s="2">
        <f>ROUND(HC185*I185,2)</f>
        <v>0</v>
      </c>
      <c r="HA185" s="2">
        <v>0</v>
      </c>
      <c r="HB185" s="2">
        <v>0</v>
      </c>
      <c r="HC185" s="2">
        <f>GV185*GW185</f>
        <v>0</v>
      </c>
      <c r="HE185" s="2" t="s">
        <v>30</v>
      </c>
      <c r="HF185" s="2" t="s">
        <v>30</v>
      </c>
      <c r="HM185" s="2" t="s">
        <v>30</v>
      </c>
      <c r="HN185" s="2" t="s">
        <v>30</v>
      </c>
      <c r="HO185" s="2" t="s">
        <v>30</v>
      </c>
      <c r="HP185" s="2" t="s">
        <v>30</v>
      </c>
      <c r="HQ185" s="2" t="s">
        <v>30</v>
      </c>
      <c r="IK185" s="2">
        <v>0</v>
      </c>
    </row>
    <row r="186" spans="1:245" x14ac:dyDescent="0.25">
      <c r="A186" s="2">
        <v>17</v>
      </c>
      <c r="B186" s="2">
        <v>1</v>
      </c>
      <c r="C186" s="2">
        <f>ROW(SmtRes!A59)</f>
        <v>59</v>
      </c>
      <c r="D186" s="2">
        <f>ROW(EtalonRes!A57)</f>
        <v>57</v>
      </c>
      <c r="E186" s="2" t="s">
        <v>316</v>
      </c>
      <c r="F186" s="2" t="s">
        <v>317</v>
      </c>
      <c r="G186" s="2" t="s">
        <v>318</v>
      </c>
      <c r="H186" s="2" t="s">
        <v>60</v>
      </c>
      <c r="I186" s="2">
        <f>ROUND(-300/100,9)</f>
        <v>-3</v>
      </c>
      <c r="J186" s="2">
        <v>0</v>
      </c>
      <c r="K186" s="2">
        <f>ROUND(-300/100,9)</f>
        <v>-3</v>
      </c>
      <c r="O186" s="2">
        <f>ROUND(CP186,2)</f>
        <v>-15523.56</v>
      </c>
      <c r="P186" s="2">
        <f>ROUND(CQ186*I186,2)</f>
        <v>-11857.5</v>
      </c>
      <c r="Q186" s="2">
        <f>ROUND(CR186*I186,2)</f>
        <v>0</v>
      </c>
      <c r="R186" s="2">
        <f>ROUND(CS186*I186,2)</f>
        <v>0</v>
      </c>
      <c r="S186" s="2">
        <f>ROUND(CT186*I186,2)</f>
        <v>-3666.06</v>
      </c>
      <c r="T186" s="2">
        <f>ROUND(CU186*I186,2)</f>
        <v>0</v>
      </c>
      <c r="U186" s="2">
        <f>CV186*I186</f>
        <v>-18.87</v>
      </c>
      <c r="V186" s="2">
        <f>CW186*I186</f>
        <v>0</v>
      </c>
      <c r="W186" s="2">
        <f>ROUND(CX186*I186,2)</f>
        <v>0</v>
      </c>
      <c r="X186" s="2">
        <f t="shared" si="99"/>
        <v>-2566.2399999999998</v>
      </c>
      <c r="Y186" s="2">
        <f t="shared" si="99"/>
        <v>-366.61</v>
      </c>
      <c r="AA186" s="2">
        <v>52261502</v>
      </c>
      <c r="AB186" s="2">
        <f>ROUND((AC186+AD186+AF186),6)</f>
        <v>5174.5200000000004</v>
      </c>
      <c r="AC186" s="2">
        <f>ROUND((ES186),6)</f>
        <v>3952.5</v>
      </c>
      <c r="AD186" s="2">
        <f>ROUND((((ET186)-(EU186))+AE186),6)</f>
        <v>0</v>
      </c>
      <c r="AE186" s="2">
        <f t="shared" si="100"/>
        <v>0</v>
      </c>
      <c r="AF186" s="2">
        <f t="shared" si="100"/>
        <v>1222.02</v>
      </c>
      <c r="AG186" s="2">
        <f>ROUND((AP186),6)</f>
        <v>0</v>
      </c>
      <c r="AH186" s="2">
        <f t="shared" si="101"/>
        <v>6.29</v>
      </c>
      <c r="AI186" s="2">
        <f t="shared" si="101"/>
        <v>0</v>
      </c>
      <c r="AJ186" s="2">
        <f>(AS186)</f>
        <v>0</v>
      </c>
      <c r="AK186" s="2">
        <v>5174.5200000000004</v>
      </c>
      <c r="AL186" s="2">
        <v>3952.5</v>
      </c>
      <c r="AM186" s="2">
        <v>0</v>
      </c>
      <c r="AN186" s="2">
        <v>0</v>
      </c>
      <c r="AO186" s="2">
        <v>1222.02</v>
      </c>
      <c r="AP186" s="2">
        <v>0</v>
      </c>
      <c r="AQ186" s="2">
        <v>6.29</v>
      </c>
      <c r="AR186" s="2">
        <v>0</v>
      </c>
      <c r="AS186" s="2">
        <v>0</v>
      </c>
      <c r="AT186" s="2">
        <v>70</v>
      </c>
      <c r="AU186" s="2">
        <v>10</v>
      </c>
      <c r="AV186" s="2">
        <v>1</v>
      </c>
      <c r="AW186" s="2">
        <v>1</v>
      </c>
      <c r="AZ186" s="2">
        <v>1</v>
      </c>
      <c r="BA186" s="2">
        <v>1</v>
      </c>
      <c r="BB186" s="2">
        <v>1</v>
      </c>
      <c r="BC186" s="2">
        <v>1</v>
      </c>
      <c r="BD186" s="2" t="s">
        <v>30</v>
      </c>
      <c r="BE186" s="2" t="s">
        <v>30</v>
      </c>
      <c r="BF186" s="2" t="s">
        <v>30</v>
      </c>
      <c r="BG186" s="2" t="s">
        <v>30</v>
      </c>
      <c r="BH186" s="2">
        <v>0</v>
      </c>
      <c r="BI186" s="2">
        <v>4</v>
      </c>
      <c r="BJ186" s="2" t="s">
        <v>319</v>
      </c>
      <c r="BM186" s="2">
        <v>0</v>
      </c>
      <c r="BN186" s="2">
        <v>0</v>
      </c>
      <c r="BO186" s="2" t="s">
        <v>30</v>
      </c>
      <c r="BP186" s="2">
        <v>0</v>
      </c>
      <c r="BQ186" s="2">
        <v>1</v>
      </c>
      <c r="BR186" s="2">
        <v>0</v>
      </c>
      <c r="BS186" s="2">
        <v>1</v>
      </c>
      <c r="BT186" s="2">
        <v>1</v>
      </c>
      <c r="BU186" s="2">
        <v>1</v>
      </c>
      <c r="BV186" s="2">
        <v>1</v>
      </c>
      <c r="BW186" s="2">
        <v>1</v>
      </c>
      <c r="BX186" s="2">
        <v>1</v>
      </c>
      <c r="BY186" s="2" t="s">
        <v>30</v>
      </c>
      <c r="BZ186" s="2">
        <v>70</v>
      </c>
      <c r="CA186" s="2">
        <v>10</v>
      </c>
      <c r="CB186" s="2" t="s">
        <v>30</v>
      </c>
      <c r="CE186" s="2">
        <v>0</v>
      </c>
      <c r="CF186" s="2">
        <v>0</v>
      </c>
      <c r="CG186" s="2">
        <v>0</v>
      </c>
      <c r="CM186" s="2">
        <v>0</v>
      </c>
      <c r="CN186" s="2" t="s">
        <v>30</v>
      </c>
      <c r="CO186" s="2">
        <v>0</v>
      </c>
      <c r="CP186" s="2">
        <f>(P186+Q186+S186)</f>
        <v>-15523.56</v>
      </c>
      <c r="CQ186" s="2">
        <f>(AC186*BC186*AW186)</f>
        <v>3952.5</v>
      </c>
      <c r="CR186" s="2">
        <f>((((ET186)*BB186-(EU186)*BS186)+AE186*BS186)*AV186)</f>
        <v>0</v>
      </c>
      <c r="CS186" s="2">
        <f>(AE186*BS186*AV186)</f>
        <v>0</v>
      </c>
      <c r="CT186" s="2">
        <f>(AF186*BA186*AV186)</f>
        <v>1222.02</v>
      </c>
      <c r="CU186" s="2">
        <f>AG186</f>
        <v>0</v>
      </c>
      <c r="CV186" s="2">
        <f>(AH186*AV186)</f>
        <v>6.29</v>
      </c>
      <c r="CW186" s="2">
        <f t="shared" si="102"/>
        <v>0</v>
      </c>
      <c r="CX186" s="2">
        <f t="shared" si="102"/>
        <v>0</v>
      </c>
      <c r="CY186" s="2">
        <f>((S186*BZ186)/100)</f>
        <v>-2566.2420000000002</v>
      </c>
      <c r="CZ186" s="2">
        <f>((S186*CA186)/100)</f>
        <v>-366.60599999999999</v>
      </c>
      <c r="DC186" s="2" t="s">
        <v>30</v>
      </c>
      <c r="DD186" s="2" t="s">
        <v>30</v>
      </c>
      <c r="DE186" s="2" t="s">
        <v>30</v>
      </c>
      <c r="DF186" s="2" t="s">
        <v>30</v>
      </c>
      <c r="DG186" s="2" t="s">
        <v>30</v>
      </c>
      <c r="DH186" s="2" t="s">
        <v>30</v>
      </c>
      <c r="DI186" s="2" t="s">
        <v>30</v>
      </c>
      <c r="DJ186" s="2" t="s">
        <v>30</v>
      </c>
      <c r="DK186" s="2" t="s">
        <v>30</v>
      </c>
      <c r="DL186" s="2" t="s">
        <v>30</v>
      </c>
      <c r="DM186" s="2" t="s">
        <v>30</v>
      </c>
      <c r="DN186" s="2">
        <v>0</v>
      </c>
      <c r="DO186" s="2">
        <v>0</v>
      </c>
      <c r="DP186" s="2">
        <v>1</v>
      </c>
      <c r="DQ186" s="2">
        <v>1</v>
      </c>
      <c r="DU186" s="2">
        <v>1005</v>
      </c>
      <c r="DV186" s="2" t="s">
        <v>60</v>
      </c>
      <c r="DW186" s="2" t="s">
        <v>60</v>
      </c>
      <c r="DX186" s="2">
        <v>100</v>
      </c>
      <c r="DZ186" s="2" t="s">
        <v>30</v>
      </c>
      <c r="EA186" s="2" t="s">
        <v>30</v>
      </c>
      <c r="EB186" s="2" t="s">
        <v>30</v>
      </c>
      <c r="EC186" s="2" t="s">
        <v>30</v>
      </c>
      <c r="EE186" s="2">
        <v>49661954</v>
      </c>
      <c r="EF186" s="2">
        <v>1</v>
      </c>
      <c r="EG186" s="2" t="s">
        <v>180</v>
      </c>
      <c r="EH186" s="2">
        <v>0</v>
      </c>
      <c r="EI186" s="2" t="s">
        <v>30</v>
      </c>
      <c r="EJ186" s="2">
        <v>4</v>
      </c>
      <c r="EK186" s="2">
        <v>0</v>
      </c>
      <c r="EL186" s="2" t="s">
        <v>181</v>
      </c>
      <c r="EM186" s="2" t="s">
        <v>182</v>
      </c>
      <c r="EO186" s="2" t="s">
        <v>30</v>
      </c>
      <c r="EQ186" s="2">
        <v>0</v>
      </c>
      <c r="ER186" s="2">
        <v>5174.5200000000004</v>
      </c>
      <c r="ES186" s="2">
        <v>3952.5</v>
      </c>
      <c r="ET186" s="2">
        <v>0</v>
      </c>
      <c r="EU186" s="2">
        <v>0</v>
      </c>
      <c r="EV186" s="2">
        <v>1222.02</v>
      </c>
      <c r="EW186" s="2">
        <v>6.29</v>
      </c>
      <c r="EX186" s="2">
        <v>0</v>
      </c>
      <c r="EY186" s="2">
        <v>0</v>
      </c>
      <c r="FQ186" s="2">
        <v>0</v>
      </c>
      <c r="FR186" s="2">
        <f>ROUND(IF(AND(BH186=3,BI186=3),P186,0),2)</f>
        <v>0</v>
      </c>
      <c r="FS186" s="2">
        <v>0</v>
      </c>
      <c r="FX186" s="2">
        <v>70</v>
      </c>
      <c r="FY186" s="2">
        <v>10</v>
      </c>
      <c r="GA186" s="2" t="s">
        <v>30</v>
      </c>
      <c r="GD186" s="2">
        <v>0</v>
      </c>
      <c r="GF186" s="2">
        <v>-824199479</v>
      </c>
      <c r="GG186" s="2">
        <v>2</v>
      </c>
      <c r="GH186" s="2">
        <v>1</v>
      </c>
      <c r="GI186" s="2">
        <v>-2</v>
      </c>
      <c r="GJ186" s="2">
        <v>0</v>
      </c>
      <c r="GK186" s="2">
        <f>ROUND(R186*(R12)/100,2)</f>
        <v>0</v>
      </c>
      <c r="GL186" s="2">
        <f>ROUND(IF(AND(BH186=3,BI186=3,FS186&lt;&gt;0),P186,0),2)</f>
        <v>0</v>
      </c>
      <c r="GM186" s="2">
        <f>ROUND(O186+X186+Y186+GK186,2)+GX186</f>
        <v>-18456.41</v>
      </c>
      <c r="GN186" s="2">
        <f>IF(OR(BI186=0,BI186=1),ROUND(O186+X186+Y186+GK186,2),0)</f>
        <v>0</v>
      </c>
      <c r="GO186" s="2">
        <f>IF(BI186=2,ROUND(O186+X186+Y186+GK186,2),0)</f>
        <v>0</v>
      </c>
      <c r="GP186" s="2">
        <f>IF(BI186=4,ROUND(O186+X186+Y186+GK186,2)+GX186,0)</f>
        <v>-18456.41</v>
      </c>
      <c r="GR186" s="2">
        <v>0</v>
      </c>
      <c r="GS186" s="2">
        <v>3</v>
      </c>
      <c r="GT186" s="2">
        <v>0</v>
      </c>
      <c r="GU186" s="2" t="s">
        <v>30</v>
      </c>
      <c r="GV186" s="2">
        <f>ROUND((GT186),6)</f>
        <v>0</v>
      </c>
      <c r="GW186" s="2">
        <v>1</v>
      </c>
      <c r="GX186" s="2">
        <f>ROUND(HC186*I186,2)</f>
        <v>0</v>
      </c>
      <c r="HA186" s="2">
        <v>0</v>
      </c>
      <c r="HB186" s="2">
        <v>0</v>
      </c>
      <c r="HC186" s="2">
        <f>GV186*GW186</f>
        <v>0</v>
      </c>
      <c r="HE186" s="2" t="s">
        <v>30</v>
      </c>
      <c r="HF186" s="2" t="s">
        <v>30</v>
      </c>
      <c r="HM186" s="2" t="s">
        <v>30</v>
      </c>
      <c r="HN186" s="2" t="s">
        <v>30</v>
      </c>
      <c r="HO186" s="2" t="s">
        <v>30</v>
      </c>
      <c r="HP186" s="2" t="s">
        <v>30</v>
      </c>
      <c r="HQ186" s="2" t="s">
        <v>30</v>
      </c>
      <c r="IK186" s="2">
        <v>0</v>
      </c>
    </row>
    <row r="187" spans="1:245" x14ac:dyDescent="0.25">
      <c r="A187" s="2">
        <v>17</v>
      </c>
      <c r="B187" s="2">
        <v>1</v>
      </c>
      <c r="C187" s="2">
        <f>ROW(SmtRes!A62)</f>
        <v>62</v>
      </c>
      <c r="D187" s="2">
        <f>ROW(EtalonRes!A60)</f>
        <v>60</v>
      </c>
      <c r="E187" s="2" t="s">
        <v>320</v>
      </c>
      <c r="F187" s="2" t="s">
        <v>321</v>
      </c>
      <c r="G187" s="2" t="s">
        <v>322</v>
      </c>
      <c r="H187" s="2" t="s">
        <v>60</v>
      </c>
      <c r="I187" s="2">
        <f>ROUND(300/100,9)</f>
        <v>3</v>
      </c>
      <c r="J187" s="2">
        <v>0</v>
      </c>
      <c r="K187" s="2">
        <f>ROUND(300/100,9)</f>
        <v>3</v>
      </c>
      <c r="O187" s="2">
        <f>ROUND(CP187,2)</f>
        <v>8911.9500000000007</v>
      </c>
      <c r="P187" s="2">
        <f>ROUND(CQ187*I187,2)</f>
        <v>5065.62</v>
      </c>
      <c r="Q187" s="2">
        <f>ROUND(CR187*I187,2)</f>
        <v>0</v>
      </c>
      <c r="R187" s="2">
        <f>ROUND(CS187*I187,2)</f>
        <v>0</v>
      </c>
      <c r="S187" s="2">
        <f>ROUND(CT187*I187,2)</f>
        <v>3846.33</v>
      </c>
      <c r="T187" s="2">
        <f>ROUND(CU187*I187,2)</f>
        <v>0</v>
      </c>
      <c r="U187" s="2">
        <f>CV187*I187</f>
        <v>18.12</v>
      </c>
      <c r="V187" s="2">
        <f>CW187*I187</f>
        <v>0</v>
      </c>
      <c r="W187" s="2">
        <f>ROUND(CX187*I187,2)</f>
        <v>0</v>
      </c>
      <c r="X187" s="2">
        <f t="shared" si="99"/>
        <v>2692.43</v>
      </c>
      <c r="Y187" s="2">
        <f t="shared" si="99"/>
        <v>384.63</v>
      </c>
      <c r="AA187" s="2">
        <v>52261502</v>
      </c>
      <c r="AB187" s="2">
        <f>ROUND((AC187+AD187+AF187),6)</f>
        <v>2970.65</v>
      </c>
      <c r="AC187" s="2">
        <f>ROUND((ES187),6)</f>
        <v>1688.54</v>
      </c>
      <c r="AD187" s="2">
        <f>ROUND((((ET187)-(EU187))+AE187),6)</f>
        <v>0</v>
      </c>
      <c r="AE187" s="2">
        <f t="shared" si="100"/>
        <v>0</v>
      </c>
      <c r="AF187" s="2">
        <f t="shared" si="100"/>
        <v>1282.1099999999999</v>
      </c>
      <c r="AG187" s="2">
        <f>ROUND((AP187),6)</f>
        <v>0</v>
      </c>
      <c r="AH187" s="2">
        <f t="shared" si="101"/>
        <v>6.04</v>
      </c>
      <c r="AI187" s="2">
        <f t="shared" si="101"/>
        <v>0</v>
      </c>
      <c r="AJ187" s="2">
        <f>(AS187)</f>
        <v>0</v>
      </c>
      <c r="AK187" s="2">
        <v>2970.65</v>
      </c>
      <c r="AL187" s="2">
        <v>1688.54</v>
      </c>
      <c r="AM187" s="2">
        <v>0</v>
      </c>
      <c r="AN187" s="2">
        <v>0</v>
      </c>
      <c r="AO187" s="2">
        <v>1282.1099999999999</v>
      </c>
      <c r="AP187" s="2">
        <v>0</v>
      </c>
      <c r="AQ187" s="2">
        <v>6.04</v>
      </c>
      <c r="AR187" s="2">
        <v>0</v>
      </c>
      <c r="AS187" s="2">
        <v>0</v>
      </c>
      <c r="AT187" s="2">
        <v>70</v>
      </c>
      <c r="AU187" s="2">
        <v>10</v>
      </c>
      <c r="AV187" s="2">
        <v>1</v>
      </c>
      <c r="AW187" s="2">
        <v>1</v>
      </c>
      <c r="AZ187" s="2">
        <v>1</v>
      </c>
      <c r="BA187" s="2">
        <v>1</v>
      </c>
      <c r="BB187" s="2">
        <v>1</v>
      </c>
      <c r="BC187" s="2">
        <v>1</v>
      </c>
      <c r="BD187" s="2" t="s">
        <v>30</v>
      </c>
      <c r="BE187" s="2" t="s">
        <v>30</v>
      </c>
      <c r="BF187" s="2" t="s">
        <v>30</v>
      </c>
      <c r="BG187" s="2" t="s">
        <v>30</v>
      </c>
      <c r="BH187" s="2">
        <v>0</v>
      </c>
      <c r="BI187" s="2">
        <v>4</v>
      </c>
      <c r="BJ187" s="2" t="s">
        <v>323</v>
      </c>
      <c r="BM187" s="2">
        <v>0</v>
      </c>
      <c r="BN187" s="2">
        <v>0</v>
      </c>
      <c r="BO187" s="2" t="s">
        <v>30</v>
      </c>
      <c r="BP187" s="2">
        <v>0</v>
      </c>
      <c r="BQ187" s="2">
        <v>1</v>
      </c>
      <c r="BR187" s="2">
        <v>0</v>
      </c>
      <c r="BS187" s="2">
        <v>1</v>
      </c>
      <c r="BT187" s="2">
        <v>1</v>
      </c>
      <c r="BU187" s="2">
        <v>1</v>
      </c>
      <c r="BV187" s="2">
        <v>1</v>
      </c>
      <c r="BW187" s="2">
        <v>1</v>
      </c>
      <c r="BX187" s="2">
        <v>1</v>
      </c>
      <c r="BY187" s="2" t="s">
        <v>30</v>
      </c>
      <c r="BZ187" s="2">
        <v>70</v>
      </c>
      <c r="CA187" s="2">
        <v>10</v>
      </c>
      <c r="CB187" s="2" t="s">
        <v>30</v>
      </c>
      <c r="CE187" s="2">
        <v>0</v>
      </c>
      <c r="CF187" s="2">
        <v>0</v>
      </c>
      <c r="CG187" s="2">
        <v>0</v>
      </c>
      <c r="CM187" s="2">
        <v>0</v>
      </c>
      <c r="CN187" s="2" t="s">
        <v>30</v>
      </c>
      <c r="CO187" s="2">
        <v>0</v>
      </c>
      <c r="CP187" s="2">
        <f>(P187+Q187+S187)</f>
        <v>8911.9500000000007</v>
      </c>
      <c r="CQ187" s="2">
        <f>(AC187*BC187*AW187)</f>
        <v>1688.54</v>
      </c>
      <c r="CR187" s="2">
        <f>((((ET187)*BB187-(EU187)*BS187)+AE187*BS187)*AV187)</f>
        <v>0</v>
      </c>
      <c r="CS187" s="2">
        <f>(AE187*BS187*AV187)</f>
        <v>0</v>
      </c>
      <c r="CT187" s="2">
        <f>(AF187*BA187*AV187)</f>
        <v>1282.1099999999999</v>
      </c>
      <c r="CU187" s="2">
        <f>AG187</f>
        <v>0</v>
      </c>
      <c r="CV187" s="2">
        <f>(AH187*AV187)</f>
        <v>6.04</v>
      </c>
      <c r="CW187" s="2">
        <f t="shared" si="102"/>
        <v>0</v>
      </c>
      <c r="CX187" s="2">
        <f t="shared" si="102"/>
        <v>0</v>
      </c>
      <c r="CY187" s="2">
        <f>((S187*BZ187)/100)</f>
        <v>2692.431</v>
      </c>
      <c r="CZ187" s="2">
        <f>((S187*CA187)/100)</f>
        <v>384.63299999999998</v>
      </c>
      <c r="DC187" s="2" t="s">
        <v>30</v>
      </c>
      <c r="DD187" s="2" t="s">
        <v>30</v>
      </c>
      <c r="DE187" s="2" t="s">
        <v>30</v>
      </c>
      <c r="DF187" s="2" t="s">
        <v>30</v>
      </c>
      <c r="DG187" s="2" t="s">
        <v>30</v>
      </c>
      <c r="DH187" s="2" t="s">
        <v>30</v>
      </c>
      <c r="DI187" s="2" t="s">
        <v>30</v>
      </c>
      <c r="DJ187" s="2" t="s">
        <v>30</v>
      </c>
      <c r="DK187" s="2" t="s">
        <v>30</v>
      </c>
      <c r="DL187" s="2" t="s">
        <v>30</v>
      </c>
      <c r="DM187" s="2" t="s">
        <v>30</v>
      </c>
      <c r="DN187" s="2">
        <v>0</v>
      </c>
      <c r="DO187" s="2">
        <v>0</v>
      </c>
      <c r="DP187" s="2">
        <v>1</v>
      </c>
      <c r="DQ187" s="2">
        <v>1</v>
      </c>
      <c r="DU187" s="2">
        <v>1005</v>
      </c>
      <c r="DV187" s="2" t="s">
        <v>60</v>
      </c>
      <c r="DW187" s="2" t="s">
        <v>60</v>
      </c>
      <c r="DX187" s="2">
        <v>100</v>
      </c>
      <c r="DZ187" s="2" t="s">
        <v>30</v>
      </c>
      <c r="EA187" s="2" t="s">
        <v>30</v>
      </c>
      <c r="EB187" s="2" t="s">
        <v>30</v>
      </c>
      <c r="EC187" s="2" t="s">
        <v>30</v>
      </c>
      <c r="EE187" s="2">
        <v>49661954</v>
      </c>
      <c r="EF187" s="2">
        <v>1</v>
      </c>
      <c r="EG187" s="2" t="s">
        <v>180</v>
      </c>
      <c r="EH187" s="2">
        <v>0</v>
      </c>
      <c r="EI187" s="2" t="s">
        <v>30</v>
      </c>
      <c r="EJ187" s="2">
        <v>4</v>
      </c>
      <c r="EK187" s="2">
        <v>0</v>
      </c>
      <c r="EL187" s="2" t="s">
        <v>181</v>
      </c>
      <c r="EM187" s="2" t="s">
        <v>182</v>
      </c>
      <c r="EO187" s="2" t="s">
        <v>30</v>
      </c>
      <c r="EQ187" s="2">
        <v>0</v>
      </c>
      <c r="ER187" s="2">
        <v>2970.65</v>
      </c>
      <c r="ES187" s="2">
        <v>1688.54</v>
      </c>
      <c r="ET187" s="2">
        <v>0</v>
      </c>
      <c r="EU187" s="2">
        <v>0</v>
      </c>
      <c r="EV187" s="2">
        <v>1282.1099999999999</v>
      </c>
      <c r="EW187" s="2">
        <v>6.04</v>
      </c>
      <c r="EX187" s="2">
        <v>0</v>
      </c>
      <c r="EY187" s="2">
        <v>0</v>
      </c>
      <c r="FQ187" s="2">
        <v>0</v>
      </c>
      <c r="FR187" s="2">
        <f>ROUND(IF(AND(BH187=3,BI187=3),P187,0),2)</f>
        <v>0</v>
      </c>
      <c r="FS187" s="2">
        <v>0</v>
      </c>
      <c r="FX187" s="2">
        <v>70</v>
      </c>
      <c r="FY187" s="2">
        <v>10</v>
      </c>
      <c r="GA187" s="2" t="s">
        <v>30</v>
      </c>
      <c r="GD187" s="2">
        <v>0</v>
      </c>
      <c r="GF187" s="2">
        <v>-499590402</v>
      </c>
      <c r="GG187" s="2">
        <v>2</v>
      </c>
      <c r="GH187" s="2">
        <v>1</v>
      </c>
      <c r="GI187" s="2">
        <v>-2</v>
      </c>
      <c r="GJ187" s="2">
        <v>0</v>
      </c>
      <c r="GK187" s="2">
        <f>ROUND(R187*(R12)/100,2)</f>
        <v>0</v>
      </c>
      <c r="GL187" s="2">
        <f>ROUND(IF(AND(BH187=3,BI187=3,FS187&lt;&gt;0),P187,0),2)</f>
        <v>0</v>
      </c>
      <c r="GM187" s="2">
        <f>ROUND(O187+X187+Y187+GK187,2)+GX187</f>
        <v>11989.01</v>
      </c>
      <c r="GN187" s="2">
        <f>IF(OR(BI187=0,BI187=1),ROUND(O187+X187+Y187+GK187,2),0)</f>
        <v>0</v>
      </c>
      <c r="GO187" s="2">
        <f>IF(BI187=2,ROUND(O187+X187+Y187+GK187,2),0)</f>
        <v>0</v>
      </c>
      <c r="GP187" s="2">
        <f>IF(BI187=4,ROUND(O187+X187+Y187+GK187,2)+GX187,0)</f>
        <v>11989.01</v>
      </c>
      <c r="GR187" s="2">
        <v>0</v>
      </c>
      <c r="GS187" s="2">
        <v>0</v>
      </c>
      <c r="GT187" s="2">
        <v>0</v>
      </c>
      <c r="GU187" s="2" t="s">
        <v>30</v>
      </c>
      <c r="GV187" s="2">
        <f>ROUND((GT187),6)</f>
        <v>0</v>
      </c>
      <c r="GW187" s="2">
        <v>1</v>
      </c>
      <c r="GX187" s="2">
        <f>ROUND(HC187*I187,2)</f>
        <v>0</v>
      </c>
      <c r="HA187" s="2">
        <v>0</v>
      </c>
      <c r="HB187" s="2">
        <v>0</v>
      </c>
      <c r="HC187" s="2">
        <f>GV187*GW187</f>
        <v>0</v>
      </c>
      <c r="HE187" s="2" t="s">
        <v>30</v>
      </c>
      <c r="HF187" s="2" t="s">
        <v>30</v>
      </c>
      <c r="HM187" s="2" t="s">
        <v>30</v>
      </c>
      <c r="HN187" s="2" t="s">
        <v>30</v>
      </c>
      <c r="HO187" s="2" t="s">
        <v>30</v>
      </c>
      <c r="HP187" s="2" t="s">
        <v>30</v>
      </c>
      <c r="HQ187" s="2" t="s">
        <v>30</v>
      </c>
      <c r="IK187" s="2">
        <v>0</v>
      </c>
    </row>
    <row r="189" spans="1:245" ht="13" x14ac:dyDescent="0.3">
      <c r="A189" s="44">
        <v>51</v>
      </c>
      <c r="B189" s="44">
        <f>B180</f>
        <v>1</v>
      </c>
      <c r="C189" s="44">
        <f>A180</f>
        <v>4</v>
      </c>
      <c r="D189" s="44">
        <f>ROW(A180)</f>
        <v>180</v>
      </c>
      <c r="E189" s="44"/>
      <c r="F189" s="44" t="str">
        <f>IF(F180&lt;&gt;"",F180,"")</f>
        <v>Новый раздел</v>
      </c>
      <c r="G189" s="44" t="str">
        <f>IF(G180&lt;&gt;"",G180,"")</f>
        <v>Ремонт газонов -300м2</v>
      </c>
      <c r="H189" s="44">
        <v>0</v>
      </c>
      <c r="I189" s="44"/>
      <c r="J189" s="44"/>
      <c r="K189" s="44"/>
      <c r="L189" s="44"/>
      <c r="M189" s="44"/>
      <c r="N189" s="44"/>
      <c r="O189" s="44">
        <f t="shared" ref="O189:T189" si="103">ROUND(AB189,2)</f>
        <v>49272.65</v>
      </c>
      <c r="P189" s="44">
        <f t="shared" si="103"/>
        <v>28780.63</v>
      </c>
      <c r="Q189" s="44">
        <f t="shared" si="103"/>
        <v>145.49</v>
      </c>
      <c r="R189" s="44">
        <f t="shared" si="103"/>
        <v>51.35</v>
      </c>
      <c r="S189" s="44">
        <f t="shared" si="103"/>
        <v>20346.53</v>
      </c>
      <c r="T189" s="44">
        <f t="shared" si="103"/>
        <v>0</v>
      </c>
      <c r="U189" s="44">
        <f>AH189</f>
        <v>103.05</v>
      </c>
      <c r="V189" s="44">
        <f>AI189</f>
        <v>0</v>
      </c>
      <c r="W189" s="44">
        <f>ROUND(AJ189,2)</f>
        <v>0</v>
      </c>
      <c r="X189" s="44">
        <f>ROUND(AK189,2)</f>
        <v>14242.57</v>
      </c>
      <c r="Y189" s="44">
        <f>ROUND(AL189,2)</f>
        <v>2034.65</v>
      </c>
      <c r="Z189" s="44"/>
      <c r="AA189" s="44"/>
      <c r="AB189" s="44">
        <f>ROUND(SUMIF(AA184:AA187,"=52261502",O184:O187),2)</f>
        <v>49272.65</v>
      </c>
      <c r="AC189" s="44">
        <f>ROUND(SUMIF(AA184:AA187,"=52261502",P184:P187),2)</f>
        <v>28780.63</v>
      </c>
      <c r="AD189" s="44">
        <f>ROUND(SUMIF(AA184:AA187,"=52261502",Q184:Q187),2)</f>
        <v>145.49</v>
      </c>
      <c r="AE189" s="44">
        <f>ROUND(SUMIF(AA184:AA187,"=52261502",R184:R187),2)</f>
        <v>51.35</v>
      </c>
      <c r="AF189" s="44">
        <f>ROUND(SUMIF(AA184:AA187,"=52261502",S184:S187),2)</f>
        <v>20346.53</v>
      </c>
      <c r="AG189" s="44">
        <f>ROUND(SUMIF(AA184:AA187,"=52261502",T184:T187),2)</f>
        <v>0</v>
      </c>
      <c r="AH189" s="44">
        <f>SUMIF(AA184:AA187,"=52261502",U184:U187)</f>
        <v>103.05</v>
      </c>
      <c r="AI189" s="44">
        <f>SUMIF(AA184:AA187,"=52261502",V184:V187)</f>
        <v>0</v>
      </c>
      <c r="AJ189" s="44">
        <f>ROUND(SUMIF(AA184:AA187,"=52261502",W184:W187),2)</f>
        <v>0</v>
      </c>
      <c r="AK189" s="44">
        <f>ROUND(SUMIF(AA184:AA187,"=52261502",X184:X187),2)</f>
        <v>14242.57</v>
      </c>
      <c r="AL189" s="44">
        <f>ROUND(SUMIF(AA184:AA187,"=52261502",Y184:Y187),2)</f>
        <v>2034.65</v>
      </c>
      <c r="AM189" s="44"/>
      <c r="AN189" s="44"/>
      <c r="AO189" s="44">
        <f t="shared" ref="AO189:BD189" si="104">ROUND(BX189,2)</f>
        <v>0</v>
      </c>
      <c r="AP189" s="44">
        <f t="shared" si="104"/>
        <v>0</v>
      </c>
      <c r="AQ189" s="44">
        <f t="shared" si="104"/>
        <v>0</v>
      </c>
      <c r="AR189" s="44">
        <f t="shared" si="104"/>
        <v>65605.33</v>
      </c>
      <c r="AS189" s="44">
        <f t="shared" si="104"/>
        <v>0</v>
      </c>
      <c r="AT189" s="44">
        <f t="shared" si="104"/>
        <v>0</v>
      </c>
      <c r="AU189" s="44">
        <f t="shared" si="104"/>
        <v>65605.33</v>
      </c>
      <c r="AV189" s="44">
        <f t="shared" si="104"/>
        <v>28780.63</v>
      </c>
      <c r="AW189" s="44">
        <f t="shared" si="104"/>
        <v>28780.63</v>
      </c>
      <c r="AX189" s="44">
        <f t="shared" si="104"/>
        <v>0</v>
      </c>
      <c r="AY189" s="44">
        <f t="shared" si="104"/>
        <v>28780.63</v>
      </c>
      <c r="AZ189" s="44">
        <f t="shared" si="104"/>
        <v>0</v>
      </c>
      <c r="BA189" s="44">
        <f t="shared" si="104"/>
        <v>0</v>
      </c>
      <c r="BB189" s="44">
        <f t="shared" si="104"/>
        <v>0</v>
      </c>
      <c r="BC189" s="44">
        <f t="shared" si="104"/>
        <v>0</v>
      </c>
      <c r="BD189" s="44">
        <f t="shared" si="104"/>
        <v>0</v>
      </c>
      <c r="BE189" s="44"/>
      <c r="BF189" s="44"/>
      <c r="BG189" s="44"/>
      <c r="BH189" s="44"/>
      <c r="BI189" s="44"/>
      <c r="BJ189" s="44"/>
      <c r="BK189" s="44"/>
      <c r="BL189" s="44"/>
      <c r="BM189" s="44"/>
      <c r="BN189" s="44"/>
      <c r="BO189" s="44"/>
      <c r="BP189" s="44"/>
      <c r="BQ189" s="44"/>
      <c r="BR189" s="44"/>
      <c r="BS189" s="44"/>
      <c r="BT189" s="44"/>
      <c r="BU189" s="44"/>
      <c r="BV189" s="44"/>
      <c r="BW189" s="44"/>
      <c r="BX189" s="44">
        <f>ROUND(SUMIF(AA184:AA187,"=52261502",FQ184:FQ187),2)</f>
        <v>0</v>
      </c>
      <c r="BY189" s="44">
        <f>ROUND(SUMIF(AA184:AA187,"=52261502",FR184:FR187),2)</f>
        <v>0</v>
      </c>
      <c r="BZ189" s="44">
        <f>ROUND(SUMIF(AA184:AA187,"=52261502",GL184:GL187),2)</f>
        <v>0</v>
      </c>
      <c r="CA189" s="44">
        <f>ROUND(SUMIF(AA184:AA187,"=52261502",GM184:GM187),2)</f>
        <v>65605.33</v>
      </c>
      <c r="CB189" s="44">
        <f>ROUND(SUMIF(AA184:AA187,"=52261502",GN184:GN187),2)</f>
        <v>0</v>
      </c>
      <c r="CC189" s="44">
        <f>ROUND(SUMIF(AA184:AA187,"=52261502",GO184:GO187),2)</f>
        <v>0</v>
      </c>
      <c r="CD189" s="44">
        <f>ROUND(SUMIF(AA184:AA187,"=52261502",GP184:GP187),2)</f>
        <v>65605.33</v>
      </c>
      <c r="CE189" s="44">
        <f>AC189-BX189</f>
        <v>28780.63</v>
      </c>
      <c r="CF189" s="44">
        <f>AC189-BY189</f>
        <v>28780.63</v>
      </c>
      <c r="CG189" s="44">
        <f>BX189-BZ189</f>
        <v>0</v>
      </c>
      <c r="CH189" s="44">
        <f>AC189-BX189-BY189+BZ189</f>
        <v>28780.63</v>
      </c>
      <c r="CI189" s="44">
        <f>BY189-BZ189</f>
        <v>0</v>
      </c>
      <c r="CJ189" s="44">
        <f>ROUND(SUMIF(AA184:AA187,"=52261502",GX184:GX187),2)</f>
        <v>0</v>
      </c>
      <c r="CK189" s="44">
        <f>ROUND(SUMIF(AA184:AA187,"=52261502",GY184:GY187),2)</f>
        <v>0</v>
      </c>
      <c r="CL189" s="44">
        <f>ROUND(SUMIF(AA184:AA187,"=52261502",GZ184:GZ187),2)</f>
        <v>0</v>
      </c>
      <c r="CM189" s="44">
        <f>ROUND(SUMIF(AA184:AA187,"=52261502",HD184:HD187),2)</f>
        <v>0</v>
      </c>
      <c r="CN189" s="44"/>
      <c r="CO189" s="44"/>
      <c r="CP189" s="44"/>
      <c r="CQ189" s="44"/>
      <c r="CR189" s="44"/>
      <c r="CS189" s="44"/>
      <c r="CT189" s="44"/>
      <c r="CU189" s="44"/>
      <c r="CV189" s="44"/>
      <c r="CW189" s="44"/>
      <c r="CX189" s="44"/>
      <c r="CY189" s="44"/>
      <c r="CZ189" s="44"/>
      <c r="DA189" s="44"/>
      <c r="DB189" s="44"/>
      <c r="DC189" s="44"/>
      <c r="DD189" s="44"/>
      <c r="DE189" s="44"/>
      <c r="DF189" s="44"/>
      <c r="DG189" s="45"/>
      <c r="DH189" s="45"/>
      <c r="DI189" s="45"/>
      <c r="DJ189" s="45"/>
      <c r="DK189" s="45"/>
      <c r="DL189" s="45"/>
      <c r="DM189" s="45"/>
      <c r="DN189" s="45"/>
      <c r="DO189" s="45"/>
      <c r="DP189" s="45"/>
      <c r="DQ189" s="45"/>
      <c r="DR189" s="45"/>
      <c r="DS189" s="45"/>
      <c r="DT189" s="45"/>
      <c r="DU189" s="45"/>
      <c r="DV189" s="45"/>
      <c r="DW189" s="45"/>
      <c r="DX189" s="45"/>
      <c r="DY189" s="45"/>
      <c r="DZ189" s="45"/>
      <c r="EA189" s="45"/>
      <c r="EB189" s="45"/>
      <c r="EC189" s="45"/>
      <c r="ED189" s="45"/>
      <c r="EE189" s="45"/>
      <c r="EF189" s="45"/>
      <c r="EG189" s="45"/>
      <c r="EH189" s="45"/>
      <c r="EI189" s="45"/>
      <c r="EJ189" s="45"/>
      <c r="EK189" s="45"/>
      <c r="EL189" s="45"/>
      <c r="EM189" s="45"/>
      <c r="EN189" s="45"/>
      <c r="EO189" s="45"/>
      <c r="EP189" s="45"/>
      <c r="EQ189" s="45"/>
      <c r="ER189" s="45"/>
      <c r="ES189" s="45"/>
      <c r="ET189" s="45"/>
      <c r="EU189" s="45"/>
      <c r="EV189" s="45"/>
      <c r="EW189" s="45"/>
      <c r="EX189" s="45"/>
      <c r="EY189" s="45"/>
      <c r="EZ189" s="45"/>
      <c r="FA189" s="45"/>
      <c r="FB189" s="45"/>
      <c r="FC189" s="45"/>
      <c r="FD189" s="45"/>
      <c r="FE189" s="45"/>
      <c r="FF189" s="45"/>
      <c r="FG189" s="45"/>
      <c r="FH189" s="45"/>
      <c r="FI189" s="45"/>
      <c r="FJ189" s="45"/>
      <c r="FK189" s="45"/>
      <c r="FL189" s="45"/>
      <c r="FM189" s="45"/>
      <c r="FN189" s="45"/>
      <c r="FO189" s="45"/>
      <c r="FP189" s="45"/>
      <c r="FQ189" s="45"/>
      <c r="FR189" s="45"/>
      <c r="FS189" s="45"/>
      <c r="FT189" s="45"/>
      <c r="FU189" s="45"/>
      <c r="FV189" s="45"/>
      <c r="FW189" s="45"/>
      <c r="FX189" s="45"/>
      <c r="FY189" s="45"/>
      <c r="FZ189" s="45"/>
      <c r="GA189" s="45"/>
      <c r="GB189" s="45"/>
      <c r="GC189" s="45"/>
      <c r="GD189" s="45"/>
      <c r="GE189" s="45"/>
      <c r="GF189" s="45"/>
      <c r="GG189" s="45"/>
      <c r="GH189" s="45"/>
      <c r="GI189" s="45"/>
      <c r="GJ189" s="45"/>
      <c r="GK189" s="45"/>
      <c r="GL189" s="45"/>
      <c r="GM189" s="45"/>
      <c r="GN189" s="45"/>
      <c r="GO189" s="45"/>
      <c r="GP189" s="45"/>
      <c r="GQ189" s="45"/>
      <c r="GR189" s="45"/>
      <c r="GS189" s="45"/>
      <c r="GT189" s="45"/>
      <c r="GU189" s="45"/>
      <c r="GV189" s="45"/>
      <c r="GW189" s="45"/>
      <c r="GX189" s="45">
        <v>0</v>
      </c>
    </row>
    <row r="191" spans="1:245" ht="13" x14ac:dyDescent="0.3">
      <c r="A191" s="46">
        <v>50</v>
      </c>
      <c r="B191" s="46">
        <v>0</v>
      </c>
      <c r="C191" s="46">
        <v>0</v>
      </c>
      <c r="D191" s="46">
        <v>1</v>
      </c>
      <c r="E191" s="46">
        <v>201</v>
      </c>
      <c r="F191" s="46">
        <f>ROUND(Source!O189,O191)</f>
        <v>49272.65</v>
      </c>
      <c r="G191" s="46" t="s">
        <v>214</v>
      </c>
      <c r="H191" s="46" t="s">
        <v>215</v>
      </c>
      <c r="I191" s="46"/>
      <c r="J191" s="46"/>
      <c r="K191" s="46">
        <v>201</v>
      </c>
      <c r="L191" s="46">
        <v>1</v>
      </c>
      <c r="M191" s="46">
        <v>3</v>
      </c>
      <c r="N191" s="46" t="s">
        <v>30</v>
      </c>
      <c r="O191" s="46">
        <v>2</v>
      </c>
      <c r="P191" s="46"/>
      <c r="Q191" s="46"/>
      <c r="R191" s="46"/>
      <c r="S191" s="46"/>
      <c r="T191" s="46"/>
      <c r="U191" s="46"/>
      <c r="V191" s="46"/>
      <c r="W191" s="46">
        <v>49272.65</v>
      </c>
      <c r="X191" s="46">
        <v>1</v>
      </c>
      <c r="Y191" s="46">
        <v>49272.65</v>
      </c>
      <c r="Z191" s="46"/>
      <c r="AA191" s="46"/>
      <c r="AB191" s="46"/>
    </row>
    <row r="192" spans="1:245" ht="13" x14ac:dyDescent="0.3">
      <c r="A192" s="46">
        <v>50</v>
      </c>
      <c r="B192" s="46">
        <v>0</v>
      </c>
      <c r="C192" s="46">
        <v>0</v>
      </c>
      <c r="D192" s="46">
        <v>1</v>
      </c>
      <c r="E192" s="46">
        <v>202</v>
      </c>
      <c r="F192" s="46">
        <f>ROUND(Source!P189,O192)</f>
        <v>28780.63</v>
      </c>
      <c r="G192" s="46" t="s">
        <v>216</v>
      </c>
      <c r="H192" s="46" t="s">
        <v>217</v>
      </c>
      <c r="I192" s="46"/>
      <c r="J192" s="46"/>
      <c r="K192" s="46">
        <v>202</v>
      </c>
      <c r="L192" s="46">
        <v>2</v>
      </c>
      <c r="M192" s="46">
        <v>3</v>
      </c>
      <c r="N192" s="46" t="s">
        <v>30</v>
      </c>
      <c r="O192" s="46">
        <v>2</v>
      </c>
      <c r="P192" s="46"/>
      <c r="Q192" s="46"/>
      <c r="R192" s="46"/>
      <c r="S192" s="46"/>
      <c r="T192" s="46"/>
      <c r="U192" s="46"/>
      <c r="V192" s="46"/>
      <c r="W192" s="46">
        <v>28780.63</v>
      </c>
      <c r="X192" s="46">
        <v>1</v>
      </c>
      <c r="Y192" s="46">
        <v>28780.63</v>
      </c>
      <c r="Z192" s="46"/>
      <c r="AA192" s="46"/>
      <c r="AB192" s="46"/>
    </row>
    <row r="193" spans="1:28" ht="13" x14ac:dyDescent="0.3">
      <c r="A193" s="46">
        <v>50</v>
      </c>
      <c r="B193" s="46">
        <v>0</v>
      </c>
      <c r="C193" s="46">
        <v>0</v>
      </c>
      <c r="D193" s="46">
        <v>1</v>
      </c>
      <c r="E193" s="46">
        <v>222</v>
      </c>
      <c r="F193" s="46">
        <f>ROUND(Source!AO189,O193)</f>
        <v>0</v>
      </c>
      <c r="G193" s="46" t="s">
        <v>218</v>
      </c>
      <c r="H193" s="46" t="s">
        <v>219</v>
      </c>
      <c r="I193" s="46"/>
      <c r="J193" s="46"/>
      <c r="K193" s="46">
        <v>222</v>
      </c>
      <c r="L193" s="46">
        <v>3</v>
      </c>
      <c r="M193" s="46">
        <v>3</v>
      </c>
      <c r="N193" s="46" t="s">
        <v>30</v>
      </c>
      <c r="O193" s="46">
        <v>2</v>
      </c>
      <c r="P193" s="46"/>
      <c r="Q193" s="46"/>
      <c r="R193" s="46"/>
      <c r="S193" s="46"/>
      <c r="T193" s="46"/>
      <c r="U193" s="46"/>
      <c r="V193" s="46"/>
      <c r="W193" s="46">
        <v>0</v>
      </c>
      <c r="X193" s="46">
        <v>1</v>
      </c>
      <c r="Y193" s="46">
        <v>0</v>
      </c>
      <c r="Z193" s="46"/>
      <c r="AA193" s="46"/>
      <c r="AB193" s="46"/>
    </row>
    <row r="194" spans="1:28" ht="13" x14ac:dyDescent="0.3">
      <c r="A194" s="46">
        <v>50</v>
      </c>
      <c r="B194" s="46">
        <v>0</v>
      </c>
      <c r="C194" s="46">
        <v>0</v>
      </c>
      <c r="D194" s="46">
        <v>1</v>
      </c>
      <c r="E194" s="46">
        <v>225</v>
      </c>
      <c r="F194" s="46">
        <f>ROUND(Source!AV189,O194)</f>
        <v>28780.63</v>
      </c>
      <c r="G194" s="46" t="s">
        <v>220</v>
      </c>
      <c r="H194" s="46" t="s">
        <v>221</v>
      </c>
      <c r="I194" s="46"/>
      <c r="J194" s="46"/>
      <c r="K194" s="46">
        <v>225</v>
      </c>
      <c r="L194" s="46">
        <v>4</v>
      </c>
      <c r="M194" s="46">
        <v>3</v>
      </c>
      <c r="N194" s="46" t="s">
        <v>30</v>
      </c>
      <c r="O194" s="46">
        <v>2</v>
      </c>
      <c r="P194" s="46"/>
      <c r="Q194" s="46"/>
      <c r="R194" s="46"/>
      <c r="S194" s="46"/>
      <c r="T194" s="46"/>
      <c r="U194" s="46"/>
      <c r="V194" s="46"/>
      <c r="W194" s="46">
        <v>28780.63</v>
      </c>
      <c r="X194" s="46">
        <v>1</v>
      </c>
      <c r="Y194" s="46">
        <v>28780.63</v>
      </c>
      <c r="Z194" s="46"/>
      <c r="AA194" s="46"/>
      <c r="AB194" s="46"/>
    </row>
    <row r="195" spans="1:28" ht="13" x14ac:dyDescent="0.3">
      <c r="A195" s="46">
        <v>50</v>
      </c>
      <c r="B195" s="46">
        <v>0</v>
      </c>
      <c r="C195" s="46">
        <v>0</v>
      </c>
      <c r="D195" s="46">
        <v>1</v>
      </c>
      <c r="E195" s="46">
        <v>226</v>
      </c>
      <c r="F195" s="46">
        <f>ROUND(Source!AW189,O195)</f>
        <v>28780.63</v>
      </c>
      <c r="G195" s="46" t="s">
        <v>222</v>
      </c>
      <c r="H195" s="46" t="s">
        <v>223</v>
      </c>
      <c r="I195" s="46"/>
      <c r="J195" s="46"/>
      <c r="K195" s="46">
        <v>226</v>
      </c>
      <c r="L195" s="46">
        <v>5</v>
      </c>
      <c r="M195" s="46">
        <v>3</v>
      </c>
      <c r="N195" s="46" t="s">
        <v>30</v>
      </c>
      <c r="O195" s="46">
        <v>2</v>
      </c>
      <c r="P195" s="46"/>
      <c r="Q195" s="46"/>
      <c r="R195" s="46"/>
      <c r="S195" s="46"/>
      <c r="T195" s="46"/>
      <c r="U195" s="46"/>
      <c r="V195" s="46"/>
      <c r="W195" s="46">
        <v>28780.63</v>
      </c>
      <c r="X195" s="46">
        <v>1</v>
      </c>
      <c r="Y195" s="46">
        <v>28780.63</v>
      </c>
      <c r="Z195" s="46"/>
      <c r="AA195" s="46"/>
      <c r="AB195" s="46"/>
    </row>
    <row r="196" spans="1:28" ht="13" x14ac:dyDescent="0.3">
      <c r="A196" s="46">
        <v>50</v>
      </c>
      <c r="B196" s="46">
        <v>0</v>
      </c>
      <c r="C196" s="46">
        <v>0</v>
      </c>
      <c r="D196" s="46">
        <v>1</v>
      </c>
      <c r="E196" s="46">
        <v>227</v>
      </c>
      <c r="F196" s="46">
        <f>ROUND(Source!AX189,O196)</f>
        <v>0</v>
      </c>
      <c r="G196" s="46" t="s">
        <v>224</v>
      </c>
      <c r="H196" s="46" t="s">
        <v>225</v>
      </c>
      <c r="I196" s="46"/>
      <c r="J196" s="46"/>
      <c r="K196" s="46">
        <v>227</v>
      </c>
      <c r="L196" s="46">
        <v>6</v>
      </c>
      <c r="M196" s="46">
        <v>3</v>
      </c>
      <c r="N196" s="46" t="s">
        <v>30</v>
      </c>
      <c r="O196" s="46">
        <v>2</v>
      </c>
      <c r="P196" s="46"/>
      <c r="Q196" s="46"/>
      <c r="R196" s="46"/>
      <c r="S196" s="46"/>
      <c r="T196" s="46"/>
      <c r="U196" s="46"/>
      <c r="V196" s="46"/>
      <c r="W196" s="46">
        <v>0</v>
      </c>
      <c r="X196" s="46">
        <v>1</v>
      </c>
      <c r="Y196" s="46">
        <v>0</v>
      </c>
      <c r="Z196" s="46"/>
      <c r="AA196" s="46"/>
      <c r="AB196" s="46"/>
    </row>
    <row r="197" spans="1:28" ht="13" x14ac:dyDescent="0.3">
      <c r="A197" s="46">
        <v>50</v>
      </c>
      <c r="B197" s="46">
        <v>0</v>
      </c>
      <c r="C197" s="46">
        <v>0</v>
      </c>
      <c r="D197" s="46">
        <v>1</v>
      </c>
      <c r="E197" s="46">
        <v>228</v>
      </c>
      <c r="F197" s="46">
        <f>ROUND(Source!AY189,O197)</f>
        <v>28780.63</v>
      </c>
      <c r="G197" s="46" t="s">
        <v>226</v>
      </c>
      <c r="H197" s="46" t="s">
        <v>227</v>
      </c>
      <c r="I197" s="46"/>
      <c r="J197" s="46"/>
      <c r="K197" s="46">
        <v>228</v>
      </c>
      <c r="L197" s="46">
        <v>7</v>
      </c>
      <c r="M197" s="46">
        <v>3</v>
      </c>
      <c r="N197" s="46" t="s">
        <v>30</v>
      </c>
      <c r="O197" s="46">
        <v>2</v>
      </c>
      <c r="P197" s="46"/>
      <c r="Q197" s="46"/>
      <c r="R197" s="46"/>
      <c r="S197" s="46"/>
      <c r="T197" s="46"/>
      <c r="U197" s="46"/>
      <c r="V197" s="46"/>
      <c r="W197" s="46">
        <v>28780.63</v>
      </c>
      <c r="X197" s="46">
        <v>1</v>
      </c>
      <c r="Y197" s="46">
        <v>28780.63</v>
      </c>
      <c r="Z197" s="46"/>
      <c r="AA197" s="46"/>
      <c r="AB197" s="46"/>
    </row>
    <row r="198" spans="1:28" ht="13" x14ac:dyDescent="0.3">
      <c r="A198" s="46">
        <v>50</v>
      </c>
      <c r="B198" s="46">
        <v>0</v>
      </c>
      <c r="C198" s="46">
        <v>0</v>
      </c>
      <c r="D198" s="46">
        <v>1</v>
      </c>
      <c r="E198" s="46">
        <v>216</v>
      </c>
      <c r="F198" s="46">
        <f>ROUND(Source!AP189,O198)</f>
        <v>0</v>
      </c>
      <c r="G198" s="46" t="s">
        <v>228</v>
      </c>
      <c r="H198" s="46" t="s">
        <v>229</v>
      </c>
      <c r="I198" s="46"/>
      <c r="J198" s="46"/>
      <c r="K198" s="46">
        <v>216</v>
      </c>
      <c r="L198" s="46">
        <v>8</v>
      </c>
      <c r="M198" s="46">
        <v>3</v>
      </c>
      <c r="N198" s="46" t="s">
        <v>30</v>
      </c>
      <c r="O198" s="46">
        <v>2</v>
      </c>
      <c r="P198" s="46"/>
      <c r="Q198" s="46"/>
      <c r="R198" s="46"/>
      <c r="S198" s="46"/>
      <c r="T198" s="46"/>
      <c r="U198" s="46"/>
      <c r="V198" s="46"/>
      <c r="W198" s="46">
        <v>0</v>
      </c>
      <c r="X198" s="46">
        <v>1</v>
      </c>
      <c r="Y198" s="46">
        <v>0</v>
      </c>
      <c r="Z198" s="46"/>
      <c r="AA198" s="46"/>
      <c r="AB198" s="46"/>
    </row>
    <row r="199" spans="1:28" ht="13" x14ac:dyDescent="0.3">
      <c r="A199" s="46">
        <v>50</v>
      </c>
      <c r="B199" s="46">
        <v>0</v>
      </c>
      <c r="C199" s="46">
        <v>0</v>
      </c>
      <c r="D199" s="46">
        <v>1</v>
      </c>
      <c r="E199" s="46">
        <v>223</v>
      </c>
      <c r="F199" s="46">
        <f>ROUND(Source!AQ189,O199)</f>
        <v>0</v>
      </c>
      <c r="G199" s="46" t="s">
        <v>230</v>
      </c>
      <c r="H199" s="46" t="s">
        <v>231</v>
      </c>
      <c r="I199" s="46"/>
      <c r="J199" s="46"/>
      <c r="K199" s="46">
        <v>223</v>
      </c>
      <c r="L199" s="46">
        <v>9</v>
      </c>
      <c r="M199" s="46">
        <v>3</v>
      </c>
      <c r="N199" s="46" t="s">
        <v>30</v>
      </c>
      <c r="O199" s="46">
        <v>2</v>
      </c>
      <c r="P199" s="46"/>
      <c r="Q199" s="46"/>
      <c r="R199" s="46"/>
      <c r="S199" s="46"/>
      <c r="T199" s="46"/>
      <c r="U199" s="46"/>
      <c r="V199" s="46"/>
      <c r="W199" s="46">
        <v>0</v>
      </c>
      <c r="X199" s="46">
        <v>1</v>
      </c>
      <c r="Y199" s="46">
        <v>0</v>
      </c>
      <c r="Z199" s="46"/>
      <c r="AA199" s="46"/>
      <c r="AB199" s="46"/>
    </row>
    <row r="200" spans="1:28" ht="13" x14ac:dyDescent="0.3">
      <c r="A200" s="46">
        <v>50</v>
      </c>
      <c r="B200" s="46">
        <v>0</v>
      </c>
      <c r="C200" s="46">
        <v>0</v>
      </c>
      <c r="D200" s="46">
        <v>1</v>
      </c>
      <c r="E200" s="46">
        <v>229</v>
      </c>
      <c r="F200" s="46">
        <f>ROUND(Source!AZ189,O200)</f>
        <v>0</v>
      </c>
      <c r="G200" s="46" t="s">
        <v>232</v>
      </c>
      <c r="H200" s="46" t="s">
        <v>233</v>
      </c>
      <c r="I200" s="46"/>
      <c r="J200" s="46"/>
      <c r="K200" s="46">
        <v>229</v>
      </c>
      <c r="L200" s="46">
        <v>10</v>
      </c>
      <c r="M200" s="46">
        <v>3</v>
      </c>
      <c r="N200" s="46" t="s">
        <v>30</v>
      </c>
      <c r="O200" s="46">
        <v>2</v>
      </c>
      <c r="P200" s="46"/>
      <c r="Q200" s="46"/>
      <c r="R200" s="46"/>
      <c r="S200" s="46"/>
      <c r="T200" s="46"/>
      <c r="U200" s="46"/>
      <c r="V200" s="46"/>
      <c r="W200" s="46">
        <v>0</v>
      </c>
      <c r="X200" s="46">
        <v>1</v>
      </c>
      <c r="Y200" s="46">
        <v>0</v>
      </c>
      <c r="Z200" s="46"/>
      <c r="AA200" s="46"/>
      <c r="AB200" s="46"/>
    </row>
    <row r="201" spans="1:28" ht="13" x14ac:dyDescent="0.3">
      <c r="A201" s="46">
        <v>50</v>
      </c>
      <c r="B201" s="46">
        <v>0</v>
      </c>
      <c r="C201" s="46">
        <v>0</v>
      </c>
      <c r="D201" s="46">
        <v>1</v>
      </c>
      <c r="E201" s="46">
        <v>203</v>
      </c>
      <c r="F201" s="46">
        <f>ROUND(Source!Q189,O201)</f>
        <v>145.49</v>
      </c>
      <c r="G201" s="46" t="s">
        <v>234</v>
      </c>
      <c r="H201" s="46" t="s">
        <v>235</v>
      </c>
      <c r="I201" s="46"/>
      <c r="J201" s="46"/>
      <c r="K201" s="46">
        <v>203</v>
      </c>
      <c r="L201" s="46">
        <v>11</v>
      </c>
      <c r="M201" s="46">
        <v>3</v>
      </c>
      <c r="N201" s="46" t="s">
        <v>30</v>
      </c>
      <c r="O201" s="46">
        <v>2</v>
      </c>
      <c r="P201" s="46"/>
      <c r="Q201" s="46"/>
      <c r="R201" s="46"/>
      <c r="S201" s="46"/>
      <c r="T201" s="46"/>
      <c r="U201" s="46"/>
      <c r="V201" s="46"/>
      <c r="W201" s="46">
        <v>145.49</v>
      </c>
      <c r="X201" s="46">
        <v>1</v>
      </c>
      <c r="Y201" s="46">
        <v>145.49</v>
      </c>
      <c r="Z201" s="46"/>
      <c r="AA201" s="46"/>
      <c r="AB201" s="46"/>
    </row>
    <row r="202" spans="1:28" ht="13" x14ac:dyDescent="0.3">
      <c r="A202" s="46">
        <v>50</v>
      </c>
      <c r="B202" s="46">
        <v>0</v>
      </c>
      <c r="C202" s="46">
        <v>0</v>
      </c>
      <c r="D202" s="46">
        <v>1</v>
      </c>
      <c r="E202" s="46">
        <v>231</v>
      </c>
      <c r="F202" s="46">
        <f>ROUND(Source!BB189,O202)</f>
        <v>0</v>
      </c>
      <c r="G202" s="46" t="s">
        <v>236</v>
      </c>
      <c r="H202" s="46" t="s">
        <v>237</v>
      </c>
      <c r="I202" s="46"/>
      <c r="J202" s="46"/>
      <c r="K202" s="46">
        <v>231</v>
      </c>
      <c r="L202" s="46">
        <v>12</v>
      </c>
      <c r="M202" s="46">
        <v>3</v>
      </c>
      <c r="N202" s="46" t="s">
        <v>30</v>
      </c>
      <c r="O202" s="46">
        <v>2</v>
      </c>
      <c r="P202" s="46"/>
      <c r="Q202" s="46"/>
      <c r="R202" s="46"/>
      <c r="S202" s="46"/>
      <c r="T202" s="46"/>
      <c r="U202" s="46"/>
      <c r="V202" s="46"/>
      <c r="W202" s="46">
        <v>0</v>
      </c>
      <c r="X202" s="46">
        <v>1</v>
      </c>
      <c r="Y202" s="46">
        <v>0</v>
      </c>
      <c r="Z202" s="46"/>
      <c r="AA202" s="46"/>
      <c r="AB202" s="46"/>
    </row>
    <row r="203" spans="1:28" ht="13" x14ac:dyDescent="0.3">
      <c r="A203" s="46">
        <v>50</v>
      </c>
      <c r="B203" s="46">
        <v>0</v>
      </c>
      <c r="C203" s="46">
        <v>0</v>
      </c>
      <c r="D203" s="46">
        <v>1</v>
      </c>
      <c r="E203" s="46">
        <v>204</v>
      </c>
      <c r="F203" s="46">
        <f>ROUND(Source!R189,O203)</f>
        <v>51.35</v>
      </c>
      <c r="G203" s="46" t="s">
        <v>238</v>
      </c>
      <c r="H203" s="46" t="s">
        <v>239</v>
      </c>
      <c r="I203" s="46"/>
      <c r="J203" s="46"/>
      <c r="K203" s="46">
        <v>204</v>
      </c>
      <c r="L203" s="46">
        <v>13</v>
      </c>
      <c r="M203" s="46">
        <v>3</v>
      </c>
      <c r="N203" s="46" t="s">
        <v>30</v>
      </c>
      <c r="O203" s="46">
        <v>2</v>
      </c>
      <c r="P203" s="46"/>
      <c r="Q203" s="46"/>
      <c r="R203" s="46"/>
      <c r="S203" s="46"/>
      <c r="T203" s="46"/>
      <c r="U203" s="46"/>
      <c r="V203" s="46"/>
      <c r="W203" s="46">
        <v>51.35</v>
      </c>
      <c r="X203" s="46">
        <v>1</v>
      </c>
      <c r="Y203" s="46">
        <v>51.35</v>
      </c>
      <c r="Z203" s="46"/>
      <c r="AA203" s="46"/>
      <c r="AB203" s="46"/>
    </row>
    <row r="204" spans="1:28" ht="13" x14ac:dyDescent="0.3">
      <c r="A204" s="46">
        <v>50</v>
      </c>
      <c r="B204" s="46">
        <v>0</v>
      </c>
      <c r="C204" s="46">
        <v>0</v>
      </c>
      <c r="D204" s="46">
        <v>1</v>
      </c>
      <c r="E204" s="46">
        <v>205</v>
      </c>
      <c r="F204" s="46">
        <f>ROUND(Source!S189,O204)</f>
        <v>20346.53</v>
      </c>
      <c r="G204" s="46" t="s">
        <v>240</v>
      </c>
      <c r="H204" s="46" t="s">
        <v>241</v>
      </c>
      <c r="I204" s="46"/>
      <c r="J204" s="46"/>
      <c r="K204" s="46">
        <v>205</v>
      </c>
      <c r="L204" s="46">
        <v>14</v>
      </c>
      <c r="M204" s="46">
        <v>3</v>
      </c>
      <c r="N204" s="46" t="s">
        <v>30</v>
      </c>
      <c r="O204" s="46">
        <v>2</v>
      </c>
      <c r="P204" s="46"/>
      <c r="Q204" s="46"/>
      <c r="R204" s="46"/>
      <c r="S204" s="46"/>
      <c r="T204" s="46"/>
      <c r="U204" s="46"/>
      <c r="V204" s="46"/>
      <c r="W204" s="46">
        <v>20346.53</v>
      </c>
      <c r="X204" s="46">
        <v>1</v>
      </c>
      <c r="Y204" s="46">
        <v>20346.53</v>
      </c>
      <c r="Z204" s="46"/>
      <c r="AA204" s="46"/>
      <c r="AB204" s="46"/>
    </row>
    <row r="205" spans="1:28" ht="13" x14ac:dyDescent="0.3">
      <c r="A205" s="46">
        <v>50</v>
      </c>
      <c r="B205" s="46">
        <v>0</v>
      </c>
      <c r="C205" s="46">
        <v>0</v>
      </c>
      <c r="D205" s="46">
        <v>1</v>
      </c>
      <c r="E205" s="46">
        <v>232</v>
      </c>
      <c r="F205" s="46">
        <f>ROUND(Source!BC189,O205)</f>
        <v>0</v>
      </c>
      <c r="G205" s="46" t="s">
        <v>242</v>
      </c>
      <c r="H205" s="46" t="s">
        <v>243</v>
      </c>
      <c r="I205" s="46"/>
      <c r="J205" s="46"/>
      <c r="K205" s="46">
        <v>232</v>
      </c>
      <c r="L205" s="46">
        <v>15</v>
      </c>
      <c r="M205" s="46">
        <v>3</v>
      </c>
      <c r="N205" s="46" t="s">
        <v>30</v>
      </c>
      <c r="O205" s="46">
        <v>2</v>
      </c>
      <c r="P205" s="46"/>
      <c r="Q205" s="46"/>
      <c r="R205" s="46"/>
      <c r="S205" s="46"/>
      <c r="T205" s="46"/>
      <c r="U205" s="46"/>
      <c r="V205" s="46"/>
      <c r="W205" s="46">
        <v>0</v>
      </c>
      <c r="X205" s="46">
        <v>1</v>
      </c>
      <c r="Y205" s="46">
        <v>0</v>
      </c>
      <c r="Z205" s="46"/>
      <c r="AA205" s="46"/>
      <c r="AB205" s="46"/>
    </row>
    <row r="206" spans="1:28" ht="13" x14ac:dyDescent="0.3">
      <c r="A206" s="46">
        <v>50</v>
      </c>
      <c r="B206" s="46">
        <v>0</v>
      </c>
      <c r="C206" s="46">
        <v>0</v>
      </c>
      <c r="D206" s="46">
        <v>1</v>
      </c>
      <c r="E206" s="46">
        <v>214</v>
      </c>
      <c r="F206" s="46">
        <f>ROUND(Source!AS189,O206)</f>
        <v>0</v>
      </c>
      <c r="G206" s="46" t="s">
        <v>244</v>
      </c>
      <c r="H206" s="46" t="s">
        <v>245</v>
      </c>
      <c r="I206" s="46"/>
      <c r="J206" s="46"/>
      <c r="K206" s="46">
        <v>214</v>
      </c>
      <c r="L206" s="46">
        <v>16</v>
      </c>
      <c r="M206" s="46">
        <v>3</v>
      </c>
      <c r="N206" s="46" t="s">
        <v>30</v>
      </c>
      <c r="O206" s="46">
        <v>2</v>
      </c>
      <c r="P206" s="46"/>
      <c r="Q206" s="46"/>
      <c r="R206" s="46"/>
      <c r="S206" s="46"/>
      <c r="T206" s="46"/>
      <c r="U206" s="46"/>
      <c r="V206" s="46"/>
      <c r="W206" s="46">
        <v>0</v>
      </c>
      <c r="X206" s="46">
        <v>1</v>
      </c>
      <c r="Y206" s="46">
        <v>0</v>
      </c>
      <c r="Z206" s="46"/>
      <c r="AA206" s="46"/>
      <c r="AB206" s="46"/>
    </row>
    <row r="207" spans="1:28" ht="13" x14ac:dyDescent="0.3">
      <c r="A207" s="46">
        <v>50</v>
      </c>
      <c r="B207" s="46">
        <v>0</v>
      </c>
      <c r="C207" s="46">
        <v>0</v>
      </c>
      <c r="D207" s="46">
        <v>1</v>
      </c>
      <c r="E207" s="46">
        <v>215</v>
      </c>
      <c r="F207" s="46">
        <f>ROUND(Source!AT189,O207)</f>
        <v>0</v>
      </c>
      <c r="G207" s="46" t="s">
        <v>246</v>
      </c>
      <c r="H207" s="46" t="s">
        <v>247</v>
      </c>
      <c r="I207" s="46"/>
      <c r="J207" s="46"/>
      <c r="K207" s="46">
        <v>215</v>
      </c>
      <c r="L207" s="46">
        <v>17</v>
      </c>
      <c r="M207" s="46">
        <v>3</v>
      </c>
      <c r="N207" s="46" t="s">
        <v>30</v>
      </c>
      <c r="O207" s="46">
        <v>2</v>
      </c>
      <c r="P207" s="46"/>
      <c r="Q207" s="46"/>
      <c r="R207" s="46"/>
      <c r="S207" s="46"/>
      <c r="T207" s="46"/>
      <c r="U207" s="46"/>
      <c r="V207" s="46"/>
      <c r="W207" s="46">
        <v>0</v>
      </c>
      <c r="X207" s="46">
        <v>1</v>
      </c>
      <c r="Y207" s="46">
        <v>0</v>
      </c>
      <c r="Z207" s="46"/>
      <c r="AA207" s="46"/>
      <c r="AB207" s="46"/>
    </row>
    <row r="208" spans="1:28" ht="13" x14ac:dyDescent="0.3">
      <c r="A208" s="46">
        <v>50</v>
      </c>
      <c r="B208" s="46">
        <v>0</v>
      </c>
      <c r="C208" s="46">
        <v>0</v>
      </c>
      <c r="D208" s="46">
        <v>1</v>
      </c>
      <c r="E208" s="46">
        <v>217</v>
      </c>
      <c r="F208" s="46">
        <f>ROUND(Source!AU189,O208)</f>
        <v>65605.33</v>
      </c>
      <c r="G208" s="46" t="s">
        <v>248</v>
      </c>
      <c r="H208" s="46" t="s">
        <v>249</v>
      </c>
      <c r="I208" s="46"/>
      <c r="J208" s="46"/>
      <c r="K208" s="46">
        <v>217</v>
      </c>
      <c r="L208" s="46">
        <v>18</v>
      </c>
      <c r="M208" s="46">
        <v>3</v>
      </c>
      <c r="N208" s="46" t="s">
        <v>30</v>
      </c>
      <c r="O208" s="46">
        <v>2</v>
      </c>
      <c r="P208" s="46"/>
      <c r="Q208" s="46"/>
      <c r="R208" s="46"/>
      <c r="S208" s="46"/>
      <c r="T208" s="46"/>
      <c r="U208" s="46"/>
      <c r="V208" s="46"/>
      <c r="W208" s="46">
        <v>65605.33</v>
      </c>
      <c r="X208" s="46">
        <v>1</v>
      </c>
      <c r="Y208" s="46">
        <v>65605.33</v>
      </c>
      <c r="Z208" s="46"/>
      <c r="AA208" s="46"/>
      <c r="AB208" s="46"/>
    </row>
    <row r="209" spans="1:245" ht="13" x14ac:dyDescent="0.3">
      <c r="A209" s="46">
        <v>50</v>
      </c>
      <c r="B209" s="46">
        <v>0</v>
      </c>
      <c r="C209" s="46">
        <v>0</v>
      </c>
      <c r="D209" s="46">
        <v>1</v>
      </c>
      <c r="E209" s="46">
        <v>230</v>
      </c>
      <c r="F209" s="46">
        <f>ROUND(Source!BA189,O209)</f>
        <v>0</v>
      </c>
      <c r="G209" s="46" t="s">
        <v>250</v>
      </c>
      <c r="H209" s="46" t="s">
        <v>251</v>
      </c>
      <c r="I209" s="46"/>
      <c r="J209" s="46"/>
      <c r="K209" s="46">
        <v>230</v>
      </c>
      <c r="L209" s="46">
        <v>19</v>
      </c>
      <c r="M209" s="46">
        <v>3</v>
      </c>
      <c r="N209" s="46" t="s">
        <v>30</v>
      </c>
      <c r="O209" s="46">
        <v>2</v>
      </c>
      <c r="P209" s="46"/>
      <c r="Q209" s="46"/>
      <c r="R209" s="46"/>
      <c r="S209" s="46"/>
      <c r="T209" s="46"/>
      <c r="U209" s="46"/>
      <c r="V209" s="46"/>
      <c r="W209" s="46">
        <v>0</v>
      </c>
      <c r="X209" s="46">
        <v>1</v>
      </c>
      <c r="Y209" s="46">
        <v>0</v>
      </c>
      <c r="Z209" s="46"/>
      <c r="AA209" s="46"/>
      <c r="AB209" s="46"/>
    </row>
    <row r="210" spans="1:245" ht="13" x14ac:dyDescent="0.3">
      <c r="A210" s="46">
        <v>50</v>
      </c>
      <c r="B210" s="46">
        <v>0</v>
      </c>
      <c r="C210" s="46">
        <v>0</v>
      </c>
      <c r="D210" s="46">
        <v>1</v>
      </c>
      <c r="E210" s="46">
        <v>206</v>
      </c>
      <c r="F210" s="46">
        <f>ROUND(Source!T189,O210)</f>
        <v>0</v>
      </c>
      <c r="G210" s="46" t="s">
        <v>252</v>
      </c>
      <c r="H210" s="46" t="s">
        <v>253</v>
      </c>
      <c r="I210" s="46"/>
      <c r="J210" s="46"/>
      <c r="K210" s="46">
        <v>206</v>
      </c>
      <c r="L210" s="46">
        <v>20</v>
      </c>
      <c r="M210" s="46">
        <v>3</v>
      </c>
      <c r="N210" s="46" t="s">
        <v>30</v>
      </c>
      <c r="O210" s="46">
        <v>2</v>
      </c>
      <c r="P210" s="46"/>
      <c r="Q210" s="46"/>
      <c r="R210" s="46"/>
      <c r="S210" s="46"/>
      <c r="T210" s="46"/>
      <c r="U210" s="46"/>
      <c r="V210" s="46"/>
      <c r="W210" s="46">
        <v>0</v>
      </c>
      <c r="X210" s="46">
        <v>1</v>
      </c>
      <c r="Y210" s="46">
        <v>0</v>
      </c>
      <c r="Z210" s="46"/>
      <c r="AA210" s="46"/>
      <c r="AB210" s="46"/>
    </row>
    <row r="211" spans="1:245" ht="13" x14ac:dyDescent="0.3">
      <c r="A211" s="46">
        <v>50</v>
      </c>
      <c r="B211" s="46">
        <v>0</v>
      </c>
      <c r="C211" s="46">
        <v>0</v>
      </c>
      <c r="D211" s="46">
        <v>1</v>
      </c>
      <c r="E211" s="46">
        <v>207</v>
      </c>
      <c r="F211" s="46">
        <f>Source!U189</f>
        <v>103.05</v>
      </c>
      <c r="G211" s="46" t="s">
        <v>254</v>
      </c>
      <c r="H211" s="46" t="s">
        <v>255</v>
      </c>
      <c r="I211" s="46"/>
      <c r="J211" s="46"/>
      <c r="K211" s="46">
        <v>207</v>
      </c>
      <c r="L211" s="46">
        <v>21</v>
      </c>
      <c r="M211" s="46">
        <v>3</v>
      </c>
      <c r="N211" s="46" t="s">
        <v>30</v>
      </c>
      <c r="O211" s="46">
        <v>-1</v>
      </c>
      <c r="P211" s="46"/>
      <c r="Q211" s="46"/>
      <c r="R211" s="46"/>
      <c r="S211" s="46"/>
      <c r="T211" s="46"/>
      <c r="U211" s="46"/>
      <c r="V211" s="46"/>
      <c r="W211" s="46">
        <v>103.05</v>
      </c>
      <c r="X211" s="46">
        <v>1</v>
      </c>
      <c r="Y211" s="46">
        <v>103.05</v>
      </c>
      <c r="Z211" s="46"/>
      <c r="AA211" s="46"/>
      <c r="AB211" s="46"/>
    </row>
    <row r="212" spans="1:245" ht="13" x14ac:dyDescent="0.3">
      <c r="A212" s="46">
        <v>50</v>
      </c>
      <c r="B212" s="46">
        <v>0</v>
      </c>
      <c r="C212" s="46">
        <v>0</v>
      </c>
      <c r="D212" s="46">
        <v>1</v>
      </c>
      <c r="E212" s="46">
        <v>208</v>
      </c>
      <c r="F212" s="46">
        <f>Source!V189</f>
        <v>0</v>
      </c>
      <c r="G212" s="46" t="s">
        <v>256</v>
      </c>
      <c r="H212" s="46" t="s">
        <v>257</v>
      </c>
      <c r="I212" s="46"/>
      <c r="J212" s="46"/>
      <c r="K212" s="46">
        <v>208</v>
      </c>
      <c r="L212" s="46">
        <v>22</v>
      </c>
      <c r="M212" s="46">
        <v>3</v>
      </c>
      <c r="N212" s="46" t="s">
        <v>30</v>
      </c>
      <c r="O212" s="46">
        <v>-1</v>
      </c>
      <c r="P212" s="46"/>
      <c r="Q212" s="46"/>
      <c r="R212" s="46"/>
      <c r="S212" s="46"/>
      <c r="T212" s="46"/>
      <c r="U212" s="46"/>
      <c r="V212" s="46"/>
      <c r="W212" s="46">
        <v>0</v>
      </c>
      <c r="X212" s="46">
        <v>1</v>
      </c>
      <c r="Y212" s="46">
        <v>0</v>
      </c>
      <c r="Z212" s="46"/>
      <c r="AA212" s="46"/>
      <c r="AB212" s="46"/>
    </row>
    <row r="213" spans="1:245" ht="13" x14ac:dyDescent="0.3">
      <c r="A213" s="46">
        <v>50</v>
      </c>
      <c r="B213" s="46">
        <v>0</v>
      </c>
      <c r="C213" s="46">
        <v>0</v>
      </c>
      <c r="D213" s="46">
        <v>1</v>
      </c>
      <c r="E213" s="46">
        <v>209</v>
      </c>
      <c r="F213" s="46">
        <f>ROUND(Source!W189,O213)</f>
        <v>0</v>
      </c>
      <c r="G213" s="46" t="s">
        <v>258</v>
      </c>
      <c r="H213" s="46" t="s">
        <v>259</v>
      </c>
      <c r="I213" s="46"/>
      <c r="J213" s="46"/>
      <c r="K213" s="46">
        <v>209</v>
      </c>
      <c r="L213" s="46">
        <v>23</v>
      </c>
      <c r="M213" s="46">
        <v>3</v>
      </c>
      <c r="N213" s="46" t="s">
        <v>30</v>
      </c>
      <c r="O213" s="46">
        <v>2</v>
      </c>
      <c r="P213" s="46"/>
      <c r="Q213" s="46"/>
      <c r="R213" s="46"/>
      <c r="S213" s="46"/>
      <c r="T213" s="46"/>
      <c r="U213" s="46"/>
      <c r="V213" s="46"/>
      <c r="W213" s="46">
        <v>0</v>
      </c>
      <c r="X213" s="46">
        <v>1</v>
      </c>
      <c r="Y213" s="46">
        <v>0</v>
      </c>
      <c r="Z213" s="46"/>
      <c r="AA213" s="46"/>
      <c r="AB213" s="46"/>
    </row>
    <row r="214" spans="1:245" ht="13" x14ac:dyDescent="0.3">
      <c r="A214" s="46">
        <v>50</v>
      </c>
      <c r="B214" s="46">
        <v>0</v>
      </c>
      <c r="C214" s="46">
        <v>0</v>
      </c>
      <c r="D214" s="46">
        <v>1</v>
      </c>
      <c r="E214" s="46">
        <v>233</v>
      </c>
      <c r="F214" s="46">
        <f>ROUND(Source!BD189,O214)</f>
        <v>0</v>
      </c>
      <c r="G214" s="46" t="s">
        <v>260</v>
      </c>
      <c r="H214" s="46" t="s">
        <v>261</v>
      </c>
      <c r="I214" s="46"/>
      <c r="J214" s="46"/>
      <c r="K214" s="46">
        <v>233</v>
      </c>
      <c r="L214" s="46">
        <v>24</v>
      </c>
      <c r="M214" s="46">
        <v>3</v>
      </c>
      <c r="N214" s="46" t="s">
        <v>30</v>
      </c>
      <c r="O214" s="46">
        <v>2</v>
      </c>
      <c r="P214" s="46"/>
      <c r="Q214" s="46"/>
      <c r="R214" s="46"/>
      <c r="S214" s="46"/>
      <c r="T214" s="46"/>
      <c r="U214" s="46"/>
      <c r="V214" s="46"/>
      <c r="W214" s="46">
        <v>0</v>
      </c>
      <c r="X214" s="46">
        <v>1</v>
      </c>
      <c r="Y214" s="46">
        <v>0</v>
      </c>
      <c r="Z214" s="46"/>
      <c r="AA214" s="46"/>
      <c r="AB214" s="46"/>
    </row>
    <row r="215" spans="1:245" ht="13" x14ac:dyDescent="0.3">
      <c r="A215" s="46">
        <v>50</v>
      </c>
      <c r="B215" s="46">
        <v>0</v>
      </c>
      <c r="C215" s="46">
        <v>0</v>
      </c>
      <c r="D215" s="46">
        <v>1</v>
      </c>
      <c r="E215" s="46">
        <v>210</v>
      </c>
      <c r="F215" s="46">
        <f>ROUND(Source!X189,O215)</f>
        <v>14242.57</v>
      </c>
      <c r="G215" s="46" t="s">
        <v>262</v>
      </c>
      <c r="H215" s="46" t="s">
        <v>263</v>
      </c>
      <c r="I215" s="46"/>
      <c r="J215" s="46"/>
      <c r="K215" s="46">
        <v>210</v>
      </c>
      <c r="L215" s="46">
        <v>25</v>
      </c>
      <c r="M215" s="46">
        <v>3</v>
      </c>
      <c r="N215" s="46" t="s">
        <v>30</v>
      </c>
      <c r="O215" s="46">
        <v>2</v>
      </c>
      <c r="P215" s="46"/>
      <c r="Q215" s="46"/>
      <c r="R215" s="46"/>
      <c r="S215" s="46"/>
      <c r="T215" s="46"/>
      <c r="U215" s="46"/>
      <c r="V215" s="46"/>
      <c r="W215" s="46">
        <v>14242.57</v>
      </c>
      <c r="X215" s="46">
        <v>1</v>
      </c>
      <c r="Y215" s="46">
        <v>14242.57</v>
      </c>
      <c r="Z215" s="46"/>
      <c r="AA215" s="46"/>
      <c r="AB215" s="46"/>
    </row>
    <row r="216" spans="1:245" ht="13" x14ac:dyDescent="0.3">
      <c r="A216" s="46">
        <v>50</v>
      </c>
      <c r="B216" s="46">
        <v>0</v>
      </c>
      <c r="C216" s="46">
        <v>0</v>
      </c>
      <c r="D216" s="46">
        <v>1</v>
      </c>
      <c r="E216" s="46">
        <v>211</v>
      </c>
      <c r="F216" s="46">
        <f>ROUND(Source!Y189,O216)</f>
        <v>2034.65</v>
      </c>
      <c r="G216" s="46" t="s">
        <v>264</v>
      </c>
      <c r="H216" s="46" t="s">
        <v>265</v>
      </c>
      <c r="I216" s="46"/>
      <c r="J216" s="46"/>
      <c r="K216" s="46">
        <v>211</v>
      </c>
      <c r="L216" s="46">
        <v>26</v>
      </c>
      <c r="M216" s="46">
        <v>3</v>
      </c>
      <c r="N216" s="46" t="s">
        <v>30</v>
      </c>
      <c r="O216" s="46">
        <v>2</v>
      </c>
      <c r="P216" s="46"/>
      <c r="Q216" s="46"/>
      <c r="R216" s="46"/>
      <c r="S216" s="46"/>
      <c r="T216" s="46"/>
      <c r="U216" s="46"/>
      <c r="V216" s="46"/>
      <c r="W216" s="46">
        <v>2034.65</v>
      </c>
      <c r="X216" s="46">
        <v>1</v>
      </c>
      <c r="Y216" s="46">
        <v>2034.65</v>
      </c>
      <c r="Z216" s="46"/>
      <c r="AA216" s="46"/>
      <c r="AB216" s="46"/>
    </row>
    <row r="217" spans="1:245" ht="13" x14ac:dyDescent="0.3">
      <c r="A217" s="46">
        <v>50</v>
      </c>
      <c r="B217" s="46">
        <v>0</v>
      </c>
      <c r="C217" s="46">
        <v>0</v>
      </c>
      <c r="D217" s="46">
        <v>1</v>
      </c>
      <c r="E217" s="46">
        <v>224</v>
      </c>
      <c r="F217" s="46">
        <f>ROUND(Source!AR189,O217)</f>
        <v>65605.33</v>
      </c>
      <c r="G217" s="46" t="s">
        <v>266</v>
      </c>
      <c r="H217" s="46" t="s">
        <v>267</v>
      </c>
      <c r="I217" s="46"/>
      <c r="J217" s="46"/>
      <c r="K217" s="46">
        <v>224</v>
      </c>
      <c r="L217" s="46">
        <v>27</v>
      </c>
      <c r="M217" s="46">
        <v>3</v>
      </c>
      <c r="N217" s="46" t="s">
        <v>30</v>
      </c>
      <c r="O217" s="46">
        <v>2</v>
      </c>
      <c r="P217" s="46"/>
      <c r="Q217" s="46"/>
      <c r="R217" s="46"/>
      <c r="S217" s="46"/>
      <c r="T217" s="46"/>
      <c r="U217" s="46"/>
      <c r="V217" s="46"/>
      <c r="W217" s="46">
        <v>65605.33</v>
      </c>
      <c r="X217" s="46">
        <v>1</v>
      </c>
      <c r="Y217" s="46">
        <v>65605.33</v>
      </c>
      <c r="Z217" s="46"/>
      <c r="AA217" s="46"/>
      <c r="AB217" s="46"/>
    </row>
    <row r="219" spans="1:245" ht="13" x14ac:dyDescent="0.3">
      <c r="A219" s="43">
        <v>4</v>
      </c>
      <c r="B219" s="43">
        <v>1</v>
      </c>
      <c r="C219" s="43"/>
      <c r="D219" s="43">
        <f>ROW(A237)</f>
        <v>237</v>
      </c>
      <c r="E219" s="43"/>
      <c r="F219" s="43" t="s">
        <v>174</v>
      </c>
      <c r="G219" s="43" t="s">
        <v>324</v>
      </c>
      <c r="H219" s="43" t="s">
        <v>30</v>
      </c>
      <c r="I219" s="43">
        <v>0</v>
      </c>
      <c r="J219" s="43"/>
      <c r="K219" s="43">
        <v>-1</v>
      </c>
      <c r="L219" s="43"/>
      <c r="M219" s="43" t="s">
        <v>30</v>
      </c>
      <c r="N219" s="43"/>
      <c r="O219" s="43"/>
      <c r="P219" s="43"/>
      <c r="Q219" s="43"/>
      <c r="R219" s="43"/>
      <c r="S219" s="43">
        <v>0</v>
      </c>
      <c r="T219" s="43"/>
      <c r="U219" s="43" t="s">
        <v>30</v>
      </c>
      <c r="V219" s="43">
        <v>0</v>
      </c>
      <c r="W219" s="43"/>
      <c r="X219" s="43"/>
      <c r="Y219" s="43"/>
      <c r="Z219" s="43"/>
      <c r="AA219" s="43"/>
      <c r="AB219" s="43" t="s">
        <v>30</v>
      </c>
      <c r="AC219" s="43" t="s">
        <v>30</v>
      </c>
      <c r="AD219" s="43" t="s">
        <v>30</v>
      </c>
      <c r="AE219" s="43" t="s">
        <v>30</v>
      </c>
      <c r="AF219" s="43" t="s">
        <v>30</v>
      </c>
      <c r="AG219" s="43" t="s">
        <v>30</v>
      </c>
      <c r="AH219" s="43"/>
      <c r="AI219" s="43"/>
      <c r="AJ219" s="43"/>
      <c r="AK219" s="43"/>
      <c r="AL219" s="43"/>
      <c r="AM219" s="43"/>
      <c r="AN219" s="43"/>
      <c r="AO219" s="43"/>
      <c r="AP219" s="43" t="s">
        <v>30</v>
      </c>
      <c r="AQ219" s="43" t="s">
        <v>30</v>
      </c>
      <c r="AR219" s="43" t="s">
        <v>30</v>
      </c>
      <c r="AS219" s="43"/>
      <c r="AT219" s="43"/>
      <c r="AU219" s="43"/>
      <c r="AV219" s="43"/>
      <c r="AW219" s="43"/>
      <c r="AX219" s="43"/>
      <c r="AY219" s="43"/>
      <c r="AZ219" s="43" t="s">
        <v>30</v>
      </c>
      <c r="BA219" s="43"/>
      <c r="BB219" s="43" t="s">
        <v>30</v>
      </c>
      <c r="BC219" s="43" t="s">
        <v>30</v>
      </c>
      <c r="BD219" s="43" t="s">
        <v>30</v>
      </c>
      <c r="BE219" s="43" t="s">
        <v>30</v>
      </c>
      <c r="BF219" s="43" t="s">
        <v>30</v>
      </c>
      <c r="BG219" s="43" t="s">
        <v>30</v>
      </c>
      <c r="BH219" s="43" t="s">
        <v>30</v>
      </c>
      <c r="BI219" s="43" t="s">
        <v>30</v>
      </c>
      <c r="BJ219" s="43" t="s">
        <v>30</v>
      </c>
      <c r="BK219" s="43" t="s">
        <v>30</v>
      </c>
      <c r="BL219" s="43" t="s">
        <v>30</v>
      </c>
      <c r="BM219" s="43" t="s">
        <v>30</v>
      </c>
      <c r="BN219" s="43" t="s">
        <v>30</v>
      </c>
      <c r="BO219" s="43" t="s">
        <v>30</v>
      </c>
      <c r="BP219" s="43" t="s">
        <v>30</v>
      </c>
      <c r="BQ219" s="43"/>
      <c r="BR219" s="43"/>
      <c r="BS219" s="43"/>
      <c r="BT219" s="43"/>
      <c r="BU219" s="43"/>
      <c r="BV219" s="43"/>
      <c r="BW219" s="43"/>
      <c r="BX219" s="43">
        <v>0</v>
      </c>
      <c r="BY219" s="43"/>
      <c r="BZ219" s="43"/>
      <c r="CA219" s="43"/>
      <c r="CB219" s="43"/>
      <c r="CC219" s="43"/>
      <c r="CD219" s="43"/>
      <c r="CE219" s="43"/>
      <c r="CF219" s="43"/>
      <c r="CG219" s="43"/>
      <c r="CH219" s="43"/>
      <c r="CI219" s="43"/>
      <c r="CJ219" s="43">
        <v>0</v>
      </c>
    </row>
    <row r="221" spans="1:245" ht="13" x14ac:dyDescent="0.3">
      <c r="A221" s="44">
        <v>52</v>
      </c>
      <c r="B221" s="44">
        <f t="shared" ref="B221:G221" si="105">B237</f>
        <v>1</v>
      </c>
      <c r="C221" s="44">
        <f t="shared" si="105"/>
        <v>4</v>
      </c>
      <c r="D221" s="44">
        <f t="shared" si="105"/>
        <v>219</v>
      </c>
      <c r="E221" s="44">
        <f t="shared" si="105"/>
        <v>0</v>
      </c>
      <c r="F221" s="44" t="str">
        <f t="shared" si="105"/>
        <v>Новый раздел</v>
      </c>
      <c r="G221" s="44" t="str">
        <f t="shared" si="105"/>
        <v>Устройство дорожно-тропиночной сети с асфальтобетонным покрытием -42 м2</v>
      </c>
      <c r="H221" s="44"/>
      <c r="I221" s="44"/>
      <c r="J221" s="44"/>
      <c r="K221" s="44"/>
      <c r="L221" s="44"/>
      <c r="M221" s="44"/>
      <c r="N221" s="44"/>
      <c r="O221" s="44">
        <f t="shared" ref="O221:BZ221" si="106">O237</f>
        <v>39655.910000000003</v>
      </c>
      <c r="P221" s="44">
        <f t="shared" si="106"/>
        <v>24254.720000000001</v>
      </c>
      <c r="Q221" s="44">
        <f t="shared" si="106"/>
        <v>13515.02</v>
      </c>
      <c r="R221" s="44">
        <f t="shared" si="106"/>
        <v>6688.16</v>
      </c>
      <c r="S221" s="44">
        <f t="shared" si="106"/>
        <v>1886.17</v>
      </c>
      <c r="T221" s="44">
        <f t="shared" si="106"/>
        <v>0</v>
      </c>
      <c r="U221" s="44">
        <f t="shared" si="106"/>
        <v>8.6440304999999995</v>
      </c>
      <c r="V221" s="44">
        <f t="shared" si="106"/>
        <v>0</v>
      </c>
      <c r="W221" s="44">
        <f t="shared" si="106"/>
        <v>0</v>
      </c>
      <c r="X221" s="44">
        <f t="shared" si="106"/>
        <v>1320.32</v>
      </c>
      <c r="Y221" s="44">
        <f t="shared" si="106"/>
        <v>188.61</v>
      </c>
      <c r="Z221" s="44">
        <f t="shared" si="106"/>
        <v>0</v>
      </c>
      <c r="AA221" s="44">
        <f t="shared" si="106"/>
        <v>0</v>
      </c>
      <c r="AB221" s="44">
        <f t="shared" si="106"/>
        <v>39655.910000000003</v>
      </c>
      <c r="AC221" s="44">
        <f t="shared" si="106"/>
        <v>24254.720000000001</v>
      </c>
      <c r="AD221" s="44">
        <f t="shared" si="106"/>
        <v>13515.02</v>
      </c>
      <c r="AE221" s="44">
        <f t="shared" si="106"/>
        <v>6688.16</v>
      </c>
      <c r="AF221" s="44">
        <f t="shared" si="106"/>
        <v>1886.17</v>
      </c>
      <c r="AG221" s="44">
        <f t="shared" si="106"/>
        <v>0</v>
      </c>
      <c r="AH221" s="44">
        <f t="shared" si="106"/>
        <v>8.6440304999999995</v>
      </c>
      <c r="AI221" s="44">
        <f t="shared" si="106"/>
        <v>0</v>
      </c>
      <c r="AJ221" s="44">
        <f t="shared" si="106"/>
        <v>0</v>
      </c>
      <c r="AK221" s="44">
        <f t="shared" si="106"/>
        <v>1320.32</v>
      </c>
      <c r="AL221" s="44">
        <f t="shared" si="106"/>
        <v>188.61</v>
      </c>
      <c r="AM221" s="44">
        <f t="shared" si="106"/>
        <v>0</v>
      </c>
      <c r="AN221" s="44">
        <f t="shared" si="106"/>
        <v>0</v>
      </c>
      <c r="AO221" s="44">
        <f t="shared" si="106"/>
        <v>0</v>
      </c>
      <c r="AP221" s="44">
        <f t="shared" si="106"/>
        <v>0</v>
      </c>
      <c r="AQ221" s="44">
        <f t="shared" si="106"/>
        <v>0</v>
      </c>
      <c r="AR221" s="44">
        <f t="shared" si="106"/>
        <v>42958.239999999998</v>
      </c>
      <c r="AS221" s="44">
        <f t="shared" si="106"/>
        <v>0</v>
      </c>
      <c r="AT221" s="44">
        <f t="shared" si="106"/>
        <v>0</v>
      </c>
      <c r="AU221" s="44">
        <f t="shared" si="106"/>
        <v>42958.239999999998</v>
      </c>
      <c r="AV221" s="44">
        <f t="shared" si="106"/>
        <v>24254.720000000001</v>
      </c>
      <c r="AW221" s="44">
        <f t="shared" si="106"/>
        <v>24254.720000000001</v>
      </c>
      <c r="AX221" s="44">
        <f t="shared" si="106"/>
        <v>0</v>
      </c>
      <c r="AY221" s="44">
        <f t="shared" si="106"/>
        <v>24254.720000000001</v>
      </c>
      <c r="AZ221" s="44">
        <f t="shared" si="106"/>
        <v>0</v>
      </c>
      <c r="BA221" s="44">
        <f t="shared" si="106"/>
        <v>0</v>
      </c>
      <c r="BB221" s="44">
        <f t="shared" si="106"/>
        <v>0</v>
      </c>
      <c r="BC221" s="44">
        <f t="shared" si="106"/>
        <v>0</v>
      </c>
      <c r="BD221" s="44">
        <f t="shared" si="106"/>
        <v>0</v>
      </c>
      <c r="BE221" s="44">
        <f t="shared" si="106"/>
        <v>0</v>
      </c>
      <c r="BF221" s="44">
        <f t="shared" si="106"/>
        <v>0</v>
      </c>
      <c r="BG221" s="44">
        <f t="shared" si="106"/>
        <v>0</v>
      </c>
      <c r="BH221" s="44">
        <f t="shared" si="106"/>
        <v>0</v>
      </c>
      <c r="BI221" s="44">
        <f t="shared" si="106"/>
        <v>0</v>
      </c>
      <c r="BJ221" s="44">
        <f t="shared" si="106"/>
        <v>0</v>
      </c>
      <c r="BK221" s="44">
        <f t="shared" si="106"/>
        <v>0</v>
      </c>
      <c r="BL221" s="44">
        <f t="shared" si="106"/>
        <v>0</v>
      </c>
      <c r="BM221" s="44">
        <f t="shared" si="106"/>
        <v>0</v>
      </c>
      <c r="BN221" s="44">
        <f t="shared" si="106"/>
        <v>0</v>
      </c>
      <c r="BO221" s="44">
        <f t="shared" si="106"/>
        <v>0</v>
      </c>
      <c r="BP221" s="44">
        <f t="shared" si="106"/>
        <v>0</v>
      </c>
      <c r="BQ221" s="44">
        <f t="shared" si="106"/>
        <v>0</v>
      </c>
      <c r="BR221" s="44">
        <f t="shared" si="106"/>
        <v>0</v>
      </c>
      <c r="BS221" s="44">
        <f t="shared" si="106"/>
        <v>0</v>
      </c>
      <c r="BT221" s="44">
        <f t="shared" si="106"/>
        <v>0</v>
      </c>
      <c r="BU221" s="44">
        <f t="shared" si="106"/>
        <v>0</v>
      </c>
      <c r="BV221" s="44">
        <f t="shared" si="106"/>
        <v>0</v>
      </c>
      <c r="BW221" s="44">
        <f t="shared" si="106"/>
        <v>0</v>
      </c>
      <c r="BX221" s="44">
        <f t="shared" si="106"/>
        <v>0</v>
      </c>
      <c r="BY221" s="44">
        <f t="shared" si="106"/>
        <v>0</v>
      </c>
      <c r="BZ221" s="44">
        <f t="shared" si="106"/>
        <v>0</v>
      </c>
      <c r="CA221" s="44">
        <f t="shared" ref="CA221:EL221" si="107">CA237</f>
        <v>42958.239999999998</v>
      </c>
      <c r="CB221" s="44">
        <f t="shared" si="107"/>
        <v>0</v>
      </c>
      <c r="CC221" s="44">
        <f t="shared" si="107"/>
        <v>0</v>
      </c>
      <c r="CD221" s="44">
        <f t="shared" si="107"/>
        <v>42958.239999999998</v>
      </c>
      <c r="CE221" s="44">
        <f t="shared" si="107"/>
        <v>24254.720000000001</v>
      </c>
      <c r="CF221" s="44">
        <f t="shared" si="107"/>
        <v>24254.720000000001</v>
      </c>
      <c r="CG221" s="44">
        <f t="shared" si="107"/>
        <v>0</v>
      </c>
      <c r="CH221" s="44">
        <f t="shared" si="107"/>
        <v>24254.720000000001</v>
      </c>
      <c r="CI221" s="44">
        <f t="shared" si="107"/>
        <v>0</v>
      </c>
      <c r="CJ221" s="44">
        <f t="shared" si="107"/>
        <v>0</v>
      </c>
      <c r="CK221" s="44">
        <f t="shared" si="107"/>
        <v>0</v>
      </c>
      <c r="CL221" s="44">
        <f t="shared" si="107"/>
        <v>0</v>
      </c>
      <c r="CM221" s="44">
        <f t="shared" si="107"/>
        <v>0</v>
      </c>
      <c r="CN221" s="44">
        <f t="shared" si="107"/>
        <v>0</v>
      </c>
      <c r="CO221" s="44">
        <f t="shared" si="107"/>
        <v>0</v>
      </c>
      <c r="CP221" s="44">
        <f t="shared" si="107"/>
        <v>0</v>
      </c>
      <c r="CQ221" s="44">
        <f t="shared" si="107"/>
        <v>0</v>
      </c>
      <c r="CR221" s="44">
        <f t="shared" si="107"/>
        <v>0</v>
      </c>
      <c r="CS221" s="44">
        <f t="shared" si="107"/>
        <v>0</v>
      </c>
      <c r="CT221" s="44">
        <f t="shared" si="107"/>
        <v>0</v>
      </c>
      <c r="CU221" s="44">
        <f t="shared" si="107"/>
        <v>0</v>
      </c>
      <c r="CV221" s="44">
        <f t="shared" si="107"/>
        <v>0</v>
      </c>
      <c r="CW221" s="44">
        <f t="shared" si="107"/>
        <v>0</v>
      </c>
      <c r="CX221" s="44">
        <f t="shared" si="107"/>
        <v>0</v>
      </c>
      <c r="CY221" s="44">
        <f t="shared" si="107"/>
        <v>0</v>
      </c>
      <c r="CZ221" s="44">
        <f t="shared" si="107"/>
        <v>0</v>
      </c>
      <c r="DA221" s="44">
        <f t="shared" si="107"/>
        <v>0</v>
      </c>
      <c r="DB221" s="44">
        <f t="shared" si="107"/>
        <v>0</v>
      </c>
      <c r="DC221" s="44">
        <f t="shared" si="107"/>
        <v>0</v>
      </c>
      <c r="DD221" s="44">
        <f t="shared" si="107"/>
        <v>0</v>
      </c>
      <c r="DE221" s="44">
        <f t="shared" si="107"/>
        <v>0</v>
      </c>
      <c r="DF221" s="44">
        <f t="shared" si="107"/>
        <v>0</v>
      </c>
      <c r="DG221" s="45">
        <f t="shared" si="107"/>
        <v>0</v>
      </c>
      <c r="DH221" s="45">
        <f t="shared" si="107"/>
        <v>0</v>
      </c>
      <c r="DI221" s="45">
        <f t="shared" si="107"/>
        <v>0</v>
      </c>
      <c r="DJ221" s="45">
        <f t="shared" si="107"/>
        <v>0</v>
      </c>
      <c r="DK221" s="45">
        <f t="shared" si="107"/>
        <v>0</v>
      </c>
      <c r="DL221" s="45">
        <f t="shared" si="107"/>
        <v>0</v>
      </c>
      <c r="DM221" s="45">
        <f t="shared" si="107"/>
        <v>0</v>
      </c>
      <c r="DN221" s="45">
        <f t="shared" si="107"/>
        <v>0</v>
      </c>
      <c r="DO221" s="45">
        <f t="shared" si="107"/>
        <v>0</v>
      </c>
      <c r="DP221" s="45">
        <f t="shared" si="107"/>
        <v>0</v>
      </c>
      <c r="DQ221" s="45">
        <f t="shared" si="107"/>
        <v>0</v>
      </c>
      <c r="DR221" s="45">
        <f t="shared" si="107"/>
        <v>0</v>
      </c>
      <c r="DS221" s="45">
        <f t="shared" si="107"/>
        <v>0</v>
      </c>
      <c r="DT221" s="45">
        <f t="shared" si="107"/>
        <v>0</v>
      </c>
      <c r="DU221" s="45">
        <f t="shared" si="107"/>
        <v>0</v>
      </c>
      <c r="DV221" s="45">
        <f t="shared" si="107"/>
        <v>0</v>
      </c>
      <c r="DW221" s="45">
        <f t="shared" si="107"/>
        <v>0</v>
      </c>
      <c r="DX221" s="45">
        <f t="shared" si="107"/>
        <v>0</v>
      </c>
      <c r="DY221" s="45">
        <f t="shared" si="107"/>
        <v>0</v>
      </c>
      <c r="DZ221" s="45">
        <f t="shared" si="107"/>
        <v>0</v>
      </c>
      <c r="EA221" s="45">
        <f t="shared" si="107"/>
        <v>0</v>
      </c>
      <c r="EB221" s="45">
        <f t="shared" si="107"/>
        <v>0</v>
      </c>
      <c r="EC221" s="45">
        <f t="shared" si="107"/>
        <v>0</v>
      </c>
      <c r="ED221" s="45">
        <f t="shared" si="107"/>
        <v>0</v>
      </c>
      <c r="EE221" s="45">
        <f t="shared" si="107"/>
        <v>0</v>
      </c>
      <c r="EF221" s="45">
        <f t="shared" si="107"/>
        <v>0</v>
      </c>
      <c r="EG221" s="45">
        <f t="shared" si="107"/>
        <v>0</v>
      </c>
      <c r="EH221" s="45">
        <f t="shared" si="107"/>
        <v>0</v>
      </c>
      <c r="EI221" s="45">
        <f t="shared" si="107"/>
        <v>0</v>
      </c>
      <c r="EJ221" s="45">
        <f t="shared" si="107"/>
        <v>0</v>
      </c>
      <c r="EK221" s="45">
        <f t="shared" si="107"/>
        <v>0</v>
      </c>
      <c r="EL221" s="45">
        <f t="shared" si="107"/>
        <v>0</v>
      </c>
      <c r="EM221" s="45">
        <f t="shared" ref="EM221:GX221" si="108">EM237</f>
        <v>0</v>
      </c>
      <c r="EN221" s="45">
        <f t="shared" si="108"/>
        <v>0</v>
      </c>
      <c r="EO221" s="45">
        <f t="shared" si="108"/>
        <v>0</v>
      </c>
      <c r="EP221" s="45">
        <f t="shared" si="108"/>
        <v>0</v>
      </c>
      <c r="EQ221" s="45">
        <f t="shared" si="108"/>
        <v>0</v>
      </c>
      <c r="ER221" s="45">
        <f t="shared" si="108"/>
        <v>0</v>
      </c>
      <c r="ES221" s="45">
        <f t="shared" si="108"/>
        <v>0</v>
      </c>
      <c r="ET221" s="45">
        <f t="shared" si="108"/>
        <v>0</v>
      </c>
      <c r="EU221" s="45">
        <f t="shared" si="108"/>
        <v>0</v>
      </c>
      <c r="EV221" s="45">
        <f t="shared" si="108"/>
        <v>0</v>
      </c>
      <c r="EW221" s="45">
        <f t="shared" si="108"/>
        <v>0</v>
      </c>
      <c r="EX221" s="45">
        <f t="shared" si="108"/>
        <v>0</v>
      </c>
      <c r="EY221" s="45">
        <f t="shared" si="108"/>
        <v>0</v>
      </c>
      <c r="EZ221" s="45">
        <f t="shared" si="108"/>
        <v>0</v>
      </c>
      <c r="FA221" s="45">
        <f t="shared" si="108"/>
        <v>0</v>
      </c>
      <c r="FB221" s="45">
        <f t="shared" si="108"/>
        <v>0</v>
      </c>
      <c r="FC221" s="45">
        <f t="shared" si="108"/>
        <v>0</v>
      </c>
      <c r="FD221" s="45">
        <f t="shared" si="108"/>
        <v>0</v>
      </c>
      <c r="FE221" s="45">
        <f t="shared" si="108"/>
        <v>0</v>
      </c>
      <c r="FF221" s="45">
        <f t="shared" si="108"/>
        <v>0</v>
      </c>
      <c r="FG221" s="45">
        <f t="shared" si="108"/>
        <v>0</v>
      </c>
      <c r="FH221" s="45">
        <f t="shared" si="108"/>
        <v>0</v>
      </c>
      <c r="FI221" s="45">
        <f t="shared" si="108"/>
        <v>0</v>
      </c>
      <c r="FJ221" s="45">
        <f t="shared" si="108"/>
        <v>0</v>
      </c>
      <c r="FK221" s="45">
        <f t="shared" si="108"/>
        <v>0</v>
      </c>
      <c r="FL221" s="45">
        <f t="shared" si="108"/>
        <v>0</v>
      </c>
      <c r="FM221" s="45">
        <f t="shared" si="108"/>
        <v>0</v>
      </c>
      <c r="FN221" s="45">
        <f t="shared" si="108"/>
        <v>0</v>
      </c>
      <c r="FO221" s="45">
        <f t="shared" si="108"/>
        <v>0</v>
      </c>
      <c r="FP221" s="45">
        <f t="shared" si="108"/>
        <v>0</v>
      </c>
      <c r="FQ221" s="45">
        <f t="shared" si="108"/>
        <v>0</v>
      </c>
      <c r="FR221" s="45">
        <f t="shared" si="108"/>
        <v>0</v>
      </c>
      <c r="FS221" s="45">
        <f t="shared" si="108"/>
        <v>0</v>
      </c>
      <c r="FT221" s="45">
        <f t="shared" si="108"/>
        <v>0</v>
      </c>
      <c r="FU221" s="45">
        <f t="shared" si="108"/>
        <v>0</v>
      </c>
      <c r="FV221" s="45">
        <f t="shared" si="108"/>
        <v>0</v>
      </c>
      <c r="FW221" s="45">
        <f t="shared" si="108"/>
        <v>0</v>
      </c>
      <c r="FX221" s="45">
        <f t="shared" si="108"/>
        <v>0</v>
      </c>
      <c r="FY221" s="45">
        <f t="shared" si="108"/>
        <v>0</v>
      </c>
      <c r="FZ221" s="45">
        <f t="shared" si="108"/>
        <v>0</v>
      </c>
      <c r="GA221" s="45">
        <f t="shared" si="108"/>
        <v>0</v>
      </c>
      <c r="GB221" s="45">
        <f t="shared" si="108"/>
        <v>0</v>
      </c>
      <c r="GC221" s="45">
        <f t="shared" si="108"/>
        <v>0</v>
      </c>
      <c r="GD221" s="45">
        <f t="shared" si="108"/>
        <v>0</v>
      </c>
      <c r="GE221" s="45">
        <f t="shared" si="108"/>
        <v>0</v>
      </c>
      <c r="GF221" s="45">
        <f t="shared" si="108"/>
        <v>0</v>
      </c>
      <c r="GG221" s="45">
        <f t="shared" si="108"/>
        <v>0</v>
      </c>
      <c r="GH221" s="45">
        <f t="shared" si="108"/>
        <v>0</v>
      </c>
      <c r="GI221" s="45">
        <f t="shared" si="108"/>
        <v>0</v>
      </c>
      <c r="GJ221" s="45">
        <f t="shared" si="108"/>
        <v>0</v>
      </c>
      <c r="GK221" s="45">
        <f t="shared" si="108"/>
        <v>0</v>
      </c>
      <c r="GL221" s="45">
        <f t="shared" si="108"/>
        <v>0</v>
      </c>
      <c r="GM221" s="45">
        <f t="shared" si="108"/>
        <v>0</v>
      </c>
      <c r="GN221" s="45">
        <f t="shared" si="108"/>
        <v>0</v>
      </c>
      <c r="GO221" s="45">
        <f t="shared" si="108"/>
        <v>0</v>
      </c>
      <c r="GP221" s="45">
        <f t="shared" si="108"/>
        <v>0</v>
      </c>
      <c r="GQ221" s="45">
        <f t="shared" si="108"/>
        <v>0</v>
      </c>
      <c r="GR221" s="45">
        <f t="shared" si="108"/>
        <v>0</v>
      </c>
      <c r="GS221" s="45">
        <f t="shared" si="108"/>
        <v>0</v>
      </c>
      <c r="GT221" s="45">
        <f t="shared" si="108"/>
        <v>0</v>
      </c>
      <c r="GU221" s="45">
        <f t="shared" si="108"/>
        <v>0</v>
      </c>
      <c r="GV221" s="45">
        <f t="shared" si="108"/>
        <v>0</v>
      </c>
      <c r="GW221" s="45">
        <f t="shared" si="108"/>
        <v>0</v>
      </c>
      <c r="GX221" s="45">
        <f t="shared" si="108"/>
        <v>0</v>
      </c>
    </row>
    <row r="223" spans="1:245" x14ac:dyDescent="0.25">
      <c r="A223" s="2">
        <v>17</v>
      </c>
      <c r="B223" s="2">
        <v>1</v>
      </c>
      <c r="C223" s="2">
        <f>ROW(SmtRes!A65)</f>
        <v>65</v>
      </c>
      <c r="D223" s="2">
        <f>ROW(EtalonRes!A63)</f>
        <v>63</v>
      </c>
      <c r="E223" s="2" t="s">
        <v>325</v>
      </c>
      <c r="F223" s="2" t="s">
        <v>326</v>
      </c>
      <c r="G223" s="2" t="s">
        <v>327</v>
      </c>
      <c r="H223" s="2" t="s">
        <v>68</v>
      </c>
      <c r="I223" s="2">
        <f>ROUND(9.45/100,9)</f>
        <v>9.4500000000000001E-2</v>
      </c>
      <c r="J223" s="2">
        <v>0</v>
      </c>
      <c r="K223" s="2">
        <f>ROUND(9.45/100,9)</f>
        <v>9.4500000000000001E-2</v>
      </c>
      <c r="O223" s="2">
        <f t="shared" ref="O223:O235" si="109">ROUND(CP223,2)</f>
        <v>901.78</v>
      </c>
      <c r="P223" s="2">
        <f t="shared" ref="P223:P235" si="110">ROUND(CQ223*I223,2)</f>
        <v>0</v>
      </c>
      <c r="Q223" s="2">
        <f t="shared" ref="Q223:Q235" si="111">ROUND(CR223*I223,2)</f>
        <v>873.26</v>
      </c>
      <c r="R223" s="2">
        <f t="shared" ref="R223:R235" si="112">ROUND(CS223*I223,2)</f>
        <v>340.73</v>
      </c>
      <c r="S223" s="2">
        <f t="shared" ref="S223:S235" si="113">ROUND(CT223*I223,2)</f>
        <v>28.52</v>
      </c>
      <c r="T223" s="2">
        <f t="shared" ref="T223:T235" si="114">ROUND(CU223*I223,2)</f>
        <v>0</v>
      </c>
      <c r="U223" s="2">
        <f t="shared" ref="U223:U235" si="115">CV223*I223</f>
        <v>0.150255</v>
      </c>
      <c r="V223" s="2">
        <f t="shared" ref="V223:V235" si="116">CW223*I223</f>
        <v>0</v>
      </c>
      <c r="W223" s="2">
        <f t="shared" ref="W223:W235" si="117">ROUND(CX223*I223,2)</f>
        <v>0</v>
      </c>
      <c r="X223" s="2">
        <f t="shared" ref="X223:Y235" si="118">ROUND(CY223,2)</f>
        <v>19.96</v>
      </c>
      <c r="Y223" s="2">
        <f t="shared" si="118"/>
        <v>2.85</v>
      </c>
      <c r="AA223" s="2">
        <v>52261502</v>
      </c>
      <c r="AB223" s="2">
        <f t="shared" ref="AB223:AB235" si="119">ROUND((AC223+AD223+AF223),6)</f>
        <v>9542.6200000000008</v>
      </c>
      <c r="AC223" s="2">
        <f>ROUND((ES223),6)</f>
        <v>0</v>
      </c>
      <c r="AD223" s="2">
        <f>ROUND((((ET223)-(EU223))+AE223),6)</f>
        <v>9240.8700000000008</v>
      </c>
      <c r="AE223" s="2">
        <f t="shared" ref="AE223:AF227" si="120">ROUND((EU223),6)</f>
        <v>3605.56</v>
      </c>
      <c r="AF223" s="2">
        <f t="shared" si="120"/>
        <v>301.75</v>
      </c>
      <c r="AG223" s="2">
        <f t="shared" ref="AG223:AG235" si="121">ROUND((AP223),6)</f>
        <v>0</v>
      </c>
      <c r="AH223" s="2">
        <f t="shared" ref="AH223:AI227" si="122">(EW223)</f>
        <v>1.59</v>
      </c>
      <c r="AI223" s="2">
        <f t="shared" si="122"/>
        <v>0</v>
      </c>
      <c r="AJ223" s="2">
        <f t="shared" ref="AJ223:AJ235" si="123">(AS223)</f>
        <v>0</v>
      </c>
      <c r="AK223" s="2">
        <v>9542.6200000000008</v>
      </c>
      <c r="AL223" s="2">
        <v>0</v>
      </c>
      <c r="AM223" s="2">
        <v>9240.8700000000008</v>
      </c>
      <c r="AN223" s="2">
        <v>3605.56</v>
      </c>
      <c r="AO223" s="2">
        <v>301.75</v>
      </c>
      <c r="AP223" s="2">
        <v>0</v>
      </c>
      <c r="AQ223" s="2">
        <v>1.59</v>
      </c>
      <c r="AR223" s="2">
        <v>0</v>
      </c>
      <c r="AS223" s="2">
        <v>0</v>
      </c>
      <c r="AT223" s="2">
        <v>70</v>
      </c>
      <c r="AU223" s="2">
        <v>10</v>
      </c>
      <c r="AV223" s="2">
        <v>1</v>
      </c>
      <c r="AW223" s="2">
        <v>1</v>
      </c>
      <c r="AZ223" s="2">
        <v>1</v>
      </c>
      <c r="BA223" s="2">
        <v>1</v>
      </c>
      <c r="BB223" s="2">
        <v>1</v>
      </c>
      <c r="BC223" s="2">
        <v>1</v>
      </c>
      <c r="BD223" s="2" t="s">
        <v>30</v>
      </c>
      <c r="BE223" s="2" t="s">
        <v>30</v>
      </c>
      <c r="BF223" s="2" t="s">
        <v>30</v>
      </c>
      <c r="BG223" s="2" t="s">
        <v>30</v>
      </c>
      <c r="BH223" s="2">
        <v>0</v>
      </c>
      <c r="BI223" s="2">
        <v>4</v>
      </c>
      <c r="BJ223" s="2" t="s">
        <v>328</v>
      </c>
      <c r="BM223" s="2">
        <v>0</v>
      </c>
      <c r="BN223" s="2">
        <v>0</v>
      </c>
      <c r="BO223" s="2" t="s">
        <v>30</v>
      </c>
      <c r="BP223" s="2">
        <v>0</v>
      </c>
      <c r="BQ223" s="2">
        <v>1</v>
      </c>
      <c r="BR223" s="2">
        <v>0</v>
      </c>
      <c r="BS223" s="2">
        <v>1</v>
      </c>
      <c r="BT223" s="2">
        <v>1</v>
      </c>
      <c r="BU223" s="2">
        <v>1</v>
      </c>
      <c r="BV223" s="2">
        <v>1</v>
      </c>
      <c r="BW223" s="2">
        <v>1</v>
      </c>
      <c r="BX223" s="2">
        <v>1</v>
      </c>
      <c r="BY223" s="2" t="s">
        <v>30</v>
      </c>
      <c r="BZ223" s="2">
        <v>70</v>
      </c>
      <c r="CA223" s="2">
        <v>10</v>
      </c>
      <c r="CB223" s="2" t="s">
        <v>30</v>
      </c>
      <c r="CE223" s="2">
        <v>0</v>
      </c>
      <c r="CF223" s="2">
        <v>0</v>
      </c>
      <c r="CG223" s="2">
        <v>0</v>
      </c>
      <c r="CM223" s="2">
        <v>0</v>
      </c>
      <c r="CN223" s="2" t="s">
        <v>30</v>
      </c>
      <c r="CO223" s="2">
        <v>0</v>
      </c>
      <c r="CP223" s="2">
        <f t="shared" ref="CP223:CP235" si="124">(P223+Q223+S223)</f>
        <v>901.78</v>
      </c>
      <c r="CQ223" s="2">
        <f t="shared" ref="CQ223:CQ235" si="125">(AC223*BC223*AW223)</f>
        <v>0</v>
      </c>
      <c r="CR223" s="2">
        <f>((((ET223)*BB223-(EU223)*BS223)+AE223*BS223)*AV223)</f>
        <v>9240.8700000000008</v>
      </c>
      <c r="CS223" s="2">
        <f t="shared" ref="CS223:CS235" si="126">(AE223*BS223*AV223)</f>
        <v>3605.56</v>
      </c>
      <c r="CT223" s="2">
        <f t="shared" ref="CT223:CT235" si="127">(AF223*BA223*AV223)</f>
        <v>301.75</v>
      </c>
      <c r="CU223" s="2">
        <f t="shared" ref="CU223:CU235" si="128">AG223</f>
        <v>0</v>
      </c>
      <c r="CV223" s="2">
        <f t="shared" ref="CV223:CV235" si="129">(AH223*AV223)</f>
        <v>1.59</v>
      </c>
      <c r="CW223" s="2">
        <f t="shared" ref="CW223:CX235" si="130">AI223</f>
        <v>0</v>
      </c>
      <c r="CX223" s="2">
        <f t="shared" si="130"/>
        <v>0</v>
      </c>
      <c r="CY223" s="2">
        <f t="shared" ref="CY223:CY235" si="131">((S223*BZ223)/100)</f>
        <v>19.963999999999999</v>
      </c>
      <c r="CZ223" s="2">
        <f t="shared" ref="CZ223:CZ235" si="132">((S223*CA223)/100)</f>
        <v>2.8519999999999999</v>
      </c>
      <c r="DC223" s="2" t="s">
        <v>30</v>
      </c>
      <c r="DD223" s="2" t="s">
        <v>30</v>
      </c>
      <c r="DE223" s="2" t="s">
        <v>30</v>
      </c>
      <c r="DF223" s="2" t="s">
        <v>30</v>
      </c>
      <c r="DG223" s="2" t="s">
        <v>30</v>
      </c>
      <c r="DH223" s="2" t="s">
        <v>30</v>
      </c>
      <c r="DI223" s="2" t="s">
        <v>30</v>
      </c>
      <c r="DJ223" s="2" t="s">
        <v>30</v>
      </c>
      <c r="DK223" s="2" t="s">
        <v>30</v>
      </c>
      <c r="DL223" s="2" t="s">
        <v>30</v>
      </c>
      <c r="DM223" s="2" t="s">
        <v>30</v>
      </c>
      <c r="DN223" s="2">
        <v>0</v>
      </c>
      <c r="DO223" s="2">
        <v>0</v>
      </c>
      <c r="DP223" s="2">
        <v>1</v>
      </c>
      <c r="DQ223" s="2">
        <v>1</v>
      </c>
      <c r="DU223" s="2">
        <v>1007</v>
      </c>
      <c r="DV223" s="2" t="s">
        <v>68</v>
      </c>
      <c r="DW223" s="2" t="s">
        <v>68</v>
      </c>
      <c r="DX223" s="2">
        <v>100</v>
      </c>
      <c r="DZ223" s="2" t="s">
        <v>30</v>
      </c>
      <c r="EA223" s="2" t="s">
        <v>30</v>
      </c>
      <c r="EB223" s="2" t="s">
        <v>30</v>
      </c>
      <c r="EC223" s="2" t="s">
        <v>30</v>
      </c>
      <c r="EE223" s="2">
        <v>49661954</v>
      </c>
      <c r="EF223" s="2">
        <v>1</v>
      </c>
      <c r="EG223" s="2" t="s">
        <v>180</v>
      </c>
      <c r="EH223" s="2">
        <v>0</v>
      </c>
      <c r="EI223" s="2" t="s">
        <v>30</v>
      </c>
      <c r="EJ223" s="2">
        <v>4</v>
      </c>
      <c r="EK223" s="2">
        <v>0</v>
      </c>
      <c r="EL223" s="2" t="s">
        <v>181</v>
      </c>
      <c r="EM223" s="2" t="s">
        <v>182</v>
      </c>
      <c r="EO223" s="2" t="s">
        <v>30</v>
      </c>
      <c r="EQ223" s="2">
        <v>0</v>
      </c>
      <c r="ER223" s="2">
        <v>9542.6200000000008</v>
      </c>
      <c r="ES223" s="2">
        <v>0</v>
      </c>
      <c r="ET223" s="2">
        <v>9240.8700000000008</v>
      </c>
      <c r="EU223" s="2">
        <v>3605.56</v>
      </c>
      <c r="EV223" s="2">
        <v>301.75</v>
      </c>
      <c r="EW223" s="2">
        <v>1.59</v>
      </c>
      <c r="EX223" s="2">
        <v>0</v>
      </c>
      <c r="EY223" s="2">
        <v>0</v>
      </c>
      <c r="FQ223" s="2">
        <v>0</v>
      </c>
      <c r="FR223" s="2">
        <f t="shared" ref="FR223:FR235" si="133">ROUND(IF(AND(BH223=3,BI223=3),P223,0),2)</f>
        <v>0</v>
      </c>
      <c r="FS223" s="2">
        <v>0</v>
      </c>
      <c r="FX223" s="2">
        <v>70</v>
      </c>
      <c r="FY223" s="2">
        <v>10</v>
      </c>
      <c r="GA223" s="2" t="s">
        <v>30</v>
      </c>
      <c r="GD223" s="2">
        <v>0</v>
      </c>
      <c r="GF223" s="2">
        <v>-928020753</v>
      </c>
      <c r="GG223" s="2">
        <v>2</v>
      </c>
      <c r="GH223" s="2">
        <v>1</v>
      </c>
      <c r="GI223" s="2">
        <v>-2</v>
      </c>
      <c r="GJ223" s="2">
        <v>0</v>
      </c>
      <c r="GK223" s="2">
        <f>ROUND(R223*(R12)/100,2)</f>
        <v>367.99</v>
      </c>
      <c r="GL223" s="2">
        <f t="shared" ref="GL223:GL235" si="134">ROUND(IF(AND(BH223=3,BI223=3,FS223&lt;&gt;0),P223,0),2)</f>
        <v>0</v>
      </c>
      <c r="GM223" s="2">
        <f>ROUND(O223+X223+Y223+GK223,2)+GX223</f>
        <v>1292.58</v>
      </c>
      <c r="GN223" s="2">
        <f>IF(OR(BI223=0,BI223=1),ROUND(O223+X223+Y223+GK223,2),0)</f>
        <v>0</v>
      </c>
      <c r="GO223" s="2">
        <f>IF(BI223=2,ROUND(O223+X223+Y223+GK223,2),0)</f>
        <v>0</v>
      </c>
      <c r="GP223" s="2">
        <f>IF(BI223=4,ROUND(O223+X223+Y223+GK223,2)+GX223,0)</f>
        <v>1292.58</v>
      </c>
      <c r="GR223" s="2">
        <v>0</v>
      </c>
      <c r="GS223" s="2">
        <v>0</v>
      </c>
      <c r="GT223" s="2">
        <v>0</v>
      </c>
      <c r="GU223" s="2" t="s">
        <v>30</v>
      </c>
      <c r="GV223" s="2">
        <f t="shared" ref="GV223:GV235" si="135">ROUND((GT223),6)</f>
        <v>0</v>
      </c>
      <c r="GW223" s="2">
        <v>1</v>
      </c>
      <c r="GX223" s="2">
        <f t="shared" ref="GX223:GX235" si="136">ROUND(HC223*I223,2)</f>
        <v>0</v>
      </c>
      <c r="HA223" s="2">
        <v>0</v>
      </c>
      <c r="HB223" s="2">
        <v>0</v>
      </c>
      <c r="HC223" s="2">
        <f t="shared" ref="HC223:HC235" si="137">GV223*GW223</f>
        <v>0</v>
      </c>
      <c r="HE223" s="2" t="s">
        <v>30</v>
      </c>
      <c r="HF223" s="2" t="s">
        <v>30</v>
      </c>
      <c r="HM223" s="2" t="s">
        <v>30</v>
      </c>
      <c r="HN223" s="2" t="s">
        <v>30</v>
      </c>
      <c r="HO223" s="2" t="s">
        <v>30</v>
      </c>
      <c r="HP223" s="2" t="s">
        <v>30</v>
      </c>
      <c r="HQ223" s="2" t="s">
        <v>30</v>
      </c>
      <c r="IK223" s="2">
        <v>0</v>
      </c>
    </row>
    <row r="224" spans="1:245" x14ac:dyDescent="0.25">
      <c r="A224" s="2">
        <v>17</v>
      </c>
      <c r="B224" s="2">
        <v>1</v>
      </c>
      <c r="C224" s="2">
        <f>ROW(SmtRes!A66)</f>
        <v>66</v>
      </c>
      <c r="D224" s="2">
        <f>ROW(EtalonRes!A64)</f>
        <v>64</v>
      </c>
      <c r="E224" s="2" t="s">
        <v>329</v>
      </c>
      <c r="F224" s="2" t="s">
        <v>330</v>
      </c>
      <c r="G224" s="2" t="s">
        <v>331</v>
      </c>
      <c r="H224" s="2" t="s">
        <v>68</v>
      </c>
      <c r="I224" s="2">
        <f>ROUND(1.05/100,9)</f>
        <v>1.0500000000000001E-2</v>
      </c>
      <c r="J224" s="2">
        <v>0</v>
      </c>
      <c r="K224" s="2">
        <f>ROUND(1.05/100,9)</f>
        <v>1.0500000000000001E-2</v>
      </c>
      <c r="O224" s="2">
        <f t="shared" si="109"/>
        <v>462.52</v>
      </c>
      <c r="P224" s="2">
        <f t="shared" si="110"/>
        <v>0</v>
      </c>
      <c r="Q224" s="2">
        <f t="shared" si="111"/>
        <v>0</v>
      </c>
      <c r="R224" s="2">
        <f t="shared" si="112"/>
        <v>0</v>
      </c>
      <c r="S224" s="2">
        <f t="shared" si="113"/>
        <v>462.52</v>
      </c>
      <c r="T224" s="2">
        <f t="shared" si="114"/>
        <v>0</v>
      </c>
      <c r="U224" s="2">
        <f t="shared" si="115"/>
        <v>2.3268</v>
      </c>
      <c r="V224" s="2">
        <f t="shared" si="116"/>
        <v>0</v>
      </c>
      <c r="W224" s="2">
        <f t="shared" si="117"/>
        <v>0</v>
      </c>
      <c r="X224" s="2">
        <f t="shared" si="118"/>
        <v>323.76</v>
      </c>
      <c r="Y224" s="2">
        <f t="shared" si="118"/>
        <v>46.25</v>
      </c>
      <c r="AA224" s="2">
        <v>52261502</v>
      </c>
      <c r="AB224" s="2">
        <f t="shared" si="119"/>
        <v>44049.65</v>
      </c>
      <c r="AC224" s="2">
        <f>ROUND((ES224),6)</f>
        <v>0</v>
      </c>
      <c r="AD224" s="2">
        <f>ROUND((((ET224)-(EU224))+AE224),6)</f>
        <v>0</v>
      </c>
      <c r="AE224" s="2">
        <f t="shared" si="120"/>
        <v>0</v>
      </c>
      <c r="AF224" s="2">
        <f t="shared" si="120"/>
        <v>44049.65</v>
      </c>
      <c r="AG224" s="2">
        <f t="shared" si="121"/>
        <v>0</v>
      </c>
      <c r="AH224" s="2">
        <f t="shared" si="122"/>
        <v>221.6</v>
      </c>
      <c r="AI224" s="2">
        <f t="shared" si="122"/>
        <v>0</v>
      </c>
      <c r="AJ224" s="2">
        <f t="shared" si="123"/>
        <v>0</v>
      </c>
      <c r="AK224" s="2">
        <v>44049.65</v>
      </c>
      <c r="AL224" s="2">
        <v>0</v>
      </c>
      <c r="AM224" s="2">
        <v>0</v>
      </c>
      <c r="AN224" s="2">
        <v>0</v>
      </c>
      <c r="AO224" s="2">
        <v>44049.65</v>
      </c>
      <c r="AP224" s="2">
        <v>0</v>
      </c>
      <c r="AQ224" s="2">
        <v>221.6</v>
      </c>
      <c r="AR224" s="2">
        <v>0</v>
      </c>
      <c r="AS224" s="2">
        <v>0</v>
      </c>
      <c r="AT224" s="2">
        <v>70</v>
      </c>
      <c r="AU224" s="2">
        <v>10</v>
      </c>
      <c r="AV224" s="2">
        <v>1</v>
      </c>
      <c r="AW224" s="2">
        <v>1</v>
      </c>
      <c r="AZ224" s="2">
        <v>1</v>
      </c>
      <c r="BA224" s="2">
        <v>1</v>
      </c>
      <c r="BB224" s="2">
        <v>1</v>
      </c>
      <c r="BC224" s="2">
        <v>1</v>
      </c>
      <c r="BD224" s="2" t="s">
        <v>30</v>
      </c>
      <c r="BE224" s="2" t="s">
        <v>30</v>
      </c>
      <c r="BF224" s="2" t="s">
        <v>30</v>
      </c>
      <c r="BG224" s="2" t="s">
        <v>30</v>
      </c>
      <c r="BH224" s="2">
        <v>0</v>
      </c>
      <c r="BI224" s="2">
        <v>4</v>
      </c>
      <c r="BJ224" s="2" t="s">
        <v>332</v>
      </c>
      <c r="BM224" s="2">
        <v>0</v>
      </c>
      <c r="BN224" s="2">
        <v>0</v>
      </c>
      <c r="BO224" s="2" t="s">
        <v>30</v>
      </c>
      <c r="BP224" s="2">
        <v>0</v>
      </c>
      <c r="BQ224" s="2">
        <v>1</v>
      </c>
      <c r="BR224" s="2">
        <v>0</v>
      </c>
      <c r="BS224" s="2">
        <v>1</v>
      </c>
      <c r="BT224" s="2">
        <v>1</v>
      </c>
      <c r="BU224" s="2">
        <v>1</v>
      </c>
      <c r="BV224" s="2">
        <v>1</v>
      </c>
      <c r="BW224" s="2">
        <v>1</v>
      </c>
      <c r="BX224" s="2">
        <v>1</v>
      </c>
      <c r="BY224" s="2" t="s">
        <v>30</v>
      </c>
      <c r="BZ224" s="2">
        <v>70</v>
      </c>
      <c r="CA224" s="2">
        <v>10</v>
      </c>
      <c r="CB224" s="2" t="s">
        <v>30</v>
      </c>
      <c r="CE224" s="2">
        <v>0</v>
      </c>
      <c r="CF224" s="2">
        <v>0</v>
      </c>
      <c r="CG224" s="2">
        <v>0</v>
      </c>
      <c r="CM224" s="2">
        <v>0</v>
      </c>
      <c r="CN224" s="2" t="s">
        <v>30</v>
      </c>
      <c r="CO224" s="2">
        <v>0</v>
      </c>
      <c r="CP224" s="2">
        <f t="shared" si="124"/>
        <v>462.52</v>
      </c>
      <c r="CQ224" s="2">
        <f t="shared" si="125"/>
        <v>0</v>
      </c>
      <c r="CR224" s="2">
        <f>((((ET224)*BB224-(EU224)*BS224)+AE224*BS224)*AV224)</f>
        <v>0</v>
      </c>
      <c r="CS224" s="2">
        <f t="shared" si="126"/>
        <v>0</v>
      </c>
      <c r="CT224" s="2">
        <f t="shared" si="127"/>
        <v>44049.65</v>
      </c>
      <c r="CU224" s="2">
        <f t="shared" si="128"/>
        <v>0</v>
      </c>
      <c r="CV224" s="2">
        <f t="shared" si="129"/>
        <v>221.6</v>
      </c>
      <c r="CW224" s="2">
        <f t="shared" si="130"/>
        <v>0</v>
      </c>
      <c r="CX224" s="2">
        <f t="shared" si="130"/>
        <v>0</v>
      </c>
      <c r="CY224" s="2">
        <f t="shared" si="131"/>
        <v>323.76400000000001</v>
      </c>
      <c r="CZ224" s="2">
        <f t="shared" si="132"/>
        <v>46.252000000000002</v>
      </c>
      <c r="DC224" s="2" t="s">
        <v>30</v>
      </c>
      <c r="DD224" s="2" t="s">
        <v>30</v>
      </c>
      <c r="DE224" s="2" t="s">
        <v>30</v>
      </c>
      <c r="DF224" s="2" t="s">
        <v>30</v>
      </c>
      <c r="DG224" s="2" t="s">
        <v>30</v>
      </c>
      <c r="DH224" s="2" t="s">
        <v>30</v>
      </c>
      <c r="DI224" s="2" t="s">
        <v>30</v>
      </c>
      <c r="DJ224" s="2" t="s">
        <v>30</v>
      </c>
      <c r="DK224" s="2" t="s">
        <v>30</v>
      </c>
      <c r="DL224" s="2" t="s">
        <v>30</v>
      </c>
      <c r="DM224" s="2" t="s">
        <v>30</v>
      </c>
      <c r="DN224" s="2">
        <v>0</v>
      </c>
      <c r="DO224" s="2">
        <v>0</v>
      </c>
      <c r="DP224" s="2">
        <v>1</v>
      </c>
      <c r="DQ224" s="2">
        <v>1</v>
      </c>
      <c r="DU224" s="2">
        <v>1007</v>
      </c>
      <c r="DV224" s="2" t="s">
        <v>68</v>
      </c>
      <c r="DW224" s="2" t="s">
        <v>68</v>
      </c>
      <c r="DX224" s="2">
        <v>100</v>
      </c>
      <c r="DZ224" s="2" t="s">
        <v>30</v>
      </c>
      <c r="EA224" s="2" t="s">
        <v>30</v>
      </c>
      <c r="EB224" s="2" t="s">
        <v>30</v>
      </c>
      <c r="EC224" s="2" t="s">
        <v>30</v>
      </c>
      <c r="EE224" s="2">
        <v>49661954</v>
      </c>
      <c r="EF224" s="2">
        <v>1</v>
      </c>
      <c r="EG224" s="2" t="s">
        <v>180</v>
      </c>
      <c r="EH224" s="2">
        <v>0</v>
      </c>
      <c r="EI224" s="2" t="s">
        <v>30</v>
      </c>
      <c r="EJ224" s="2">
        <v>4</v>
      </c>
      <c r="EK224" s="2">
        <v>0</v>
      </c>
      <c r="EL224" s="2" t="s">
        <v>181</v>
      </c>
      <c r="EM224" s="2" t="s">
        <v>182</v>
      </c>
      <c r="EO224" s="2" t="s">
        <v>30</v>
      </c>
      <c r="EQ224" s="2">
        <v>0</v>
      </c>
      <c r="ER224" s="2">
        <v>44049.65</v>
      </c>
      <c r="ES224" s="2">
        <v>0</v>
      </c>
      <c r="ET224" s="2">
        <v>0</v>
      </c>
      <c r="EU224" s="2">
        <v>0</v>
      </c>
      <c r="EV224" s="2">
        <v>44049.65</v>
      </c>
      <c r="EW224" s="2">
        <v>221.6</v>
      </c>
      <c r="EX224" s="2">
        <v>0</v>
      </c>
      <c r="EY224" s="2">
        <v>0</v>
      </c>
      <c r="FQ224" s="2">
        <v>0</v>
      </c>
      <c r="FR224" s="2">
        <f t="shared" si="133"/>
        <v>0</v>
      </c>
      <c r="FS224" s="2">
        <v>0</v>
      </c>
      <c r="FX224" s="2">
        <v>70</v>
      </c>
      <c r="FY224" s="2">
        <v>10</v>
      </c>
      <c r="GA224" s="2" t="s">
        <v>30</v>
      </c>
      <c r="GD224" s="2">
        <v>0</v>
      </c>
      <c r="GF224" s="2">
        <v>1135754399</v>
      </c>
      <c r="GG224" s="2">
        <v>2</v>
      </c>
      <c r="GH224" s="2">
        <v>1</v>
      </c>
      <c r="GI224" s="2">
        <v>-2</v>
      </c>
      <c r="GJ224" s="2">
        <v>0</v>
      </c>
      <c r="GK224" s="2">
        <f>ROUND(R224*(R12)/100,2)</f>
        <v>0</v>
      </c>
      <c r="GL224" s="2">
        <f t="shared" si="134"/>
        <v>0</v>
      </c>
      <c r="GM224" s="2">
        <f>ROUND(O224+X224+Y224+GK224,2)+GX224</f>
        <v>832.53</v>
      </c>
      <c r="GN224" s="2">
        <f>IF(OR(BI224=0,BI224=1),ROUND(O224+X224+Y224+GK224,2),0)</f>
        <v>0</v>
      </c>
      <c r="GO224" s="2">
        <f>IF(BI224=2,ROUND(O224+X224+Y224+GK224,2),0)</f>
        <v>0</v>
      </c>
      <c r="GP224" s="2">
        <f>IF(BI224=4,ROUND(O224+X224+Y224+GK224,2)+GX224,0)</f>
        <v>832.53</v>
      </c>
      <c r="GR224" s="2">
        <v>0</v>
      </c>
      <c r="GS224" s="2">
        <v>0</v>
      </c>
      <c r="GT224" s="2">
        <v>0</v>
      </c>
      <c r="GU224" s="2" t="s">
        <v>30</v>
      </c>
      <c r="GV224" s="2">
        <f t="shared" si="135"/>
        <v>0</v>
      </c>
      <c r="GW224" s="2">
        <v>1</v>
      </c>
      <c r="GX224" s="2">
        <f t="shared" si="136"/>
        <v>0</v>
      </c>
      <c r="HA224" s="2">
        <v>0</v>
      </c>
      <c r="HB224" s="2">
        <v>0</v>
      </c>
      <c r="HC224" s="2">
        <f t="shared" si="137"/>
        <v>0</v>
      </c>
      <c r="HE224" s="2" t="s">
        <v>30</v>
      </c>
      <c r="HF224" s="2" t="s">
        <v>30</v>
      </c>
      <c r="HM224" s="2" t="s">
        <v>30</v>
      </c>
      <c r="HN224" s="2" t="s">
        <v>30</v>
      </c>
      <c r="HO224" s="2" t="s">
        <v>30</v>
      </c>
      <c r="HP224" s="2" t="s">
        <v>30</v>
      </c>
      <c r="HQ224" s="2" t="s">
        <v>30</v>
      </c>
      <c r="IK224" s="2">
        <v>0</v>
      </c>
    </row>
    <row r="225" spans="1:245" x14ac:dyDescent="0.25">
      <c r="A225" s="2">
        <v>17</v>
      </c>
      <c r="B225" s="2">
        <v>1</v>
      </c>
      <c r="C225" s="2">
        <f>ROW(SmtRes!A69)</f>
        <v>69</v>
      </c>
      <c r="D225" s="2">
        <f>ROW(EtalonRes!A67)</f>
        <v>67</v>
      </c>
      <c r="E225" s="2" t="s">
        <v>333</v>
      </c>
      <c r="F225" s="2" t="s">
        <v>326</v>
      </c>
      <c r="G225" s="2" t="s">
        <v>334</v>
      </c>
      <c r="H225" s="2" t="s">
        <v>68</v>
      </c>
      <c r="I225" s="2">
        <f>ROUND(0.945/100,9)</f>
        <v>9.4500000000000001E-3</v>
      </c>
      <c r="J225" s="2">
        <v>0</v>
      </c>
      <c r="K225" s="2">
        <f>ROUND(0.945/100,9)</f>
        <v>9.4500000000000001E-3</v>
      </c>
      <c r="O225" s="2">
        <f t="shared" si="109"/>
        <v>90.18</v>
      </c>
      <c r="P225" s="2">
        <f t="shared" si="110"/>
        <v>0</v>
      </c>
      <c r="Q225" s="2">
        <f t="shared" si="111"/>
        <v>87.33</v>
      </c>
      <c r="R225" s="2">
        <f t="shared" si="112"/>
        <v>34.07</v>
      </c>
      <c r="S225" s="2">
        <f t="shared" si="113"/>
        <v>2.85</v>
      </c>
      <c r="T225" s="2">
        <f t="shared" si="114"/>
        <v>0</v>
      </c>
      <c r="U225" s="2">
        <f t="shared" si="115"/>
        <v>1.5025500000000001E-2</v>
      </c>
      <c r="V225" s="2">
        <f t="shared" si="116"/>
        <v>0</v>
      </c>
      <c r="W225" s="2">
        <f t="shared" si="117"/>
        <v>0</v>
      </c>
      <c r="X225" s="2">
        <f t="shared" si="118"/>
        <v>2</v>
      </c>
      <c r="Y225" s="2">
        <f t="shared" si="118"/>
        <v>0.28999999999999998</v>
      </c>
      <c r="AA225" s="2">
        <v>52261502</v>
      </c>
      <c r="AB225" s="2">
        <f t="shared" si="119"/>
        <v>9542.6200000000008</v>
      </c>
      <c r="AC225" s="2">
        <f>ROUND((ES225),6)</f>
        <v>0</v>
      </c>
      <c r="AD225" s="2">
        <f>ROUND((((ET225)-(EU225))+AE225),6)</f>
        <v>9240.8700000000008</v>
      </c>
      <c r="AE225" s="2">
        <f t="shared" si="120"/>
        <v>3605.56</v>
      </c>
      <c r="AF225" s="2">
        <f t="shared" si="120"/>
        <v>301.75</v>
      </c>
      <c r="AG225" s="2">
        <f t="shared" si="121"/>
        <v>0</v>
      </c>
      <c r="AH225" s="2">
        <f t="shared" si="122"/>
        <v>1.59</v>
      </c>
      <c r="AI225" s="2">
        <f t="shared" si="122"/>
        <v>0</v>
      </c>
      <c r="AJ225" s="2">
        <f t="shared" si="123"/>
        <v>0</v>
      </c>
      <c r="AK225" s="2">
        <v>9542.6200000000008</v>
      </c>
      <c r="AL225" s="2">
        <v>0</v>
      </c>
      <c r="AM225" s="2">
        <v>9240.8700000000008</v>
      </c>
      <c r="AN225" s="2">
        <v>3605.56</v>
      </c>
      <c r="AO225" s="2">
        <v>301.75</v>
      </c>
      <c r="AP225" s="2">
        <v>0</v>
      </c>
      <c r="AQ225" s="2">
        <v>1.59</v>
      </c>
      <c r="AR225" s="2">
        <v>0</v>
      </c>
      <c r="AS225" s="2">
        <v>0</v>
      </c>
      <c r="AT225" s="2">
        <v>70</v>
      </c>
      <c r="AU225" s="2">
        <v>10</v>
      </c>
      <c r="AV225" s="2">
        <v>1</v>
      </c>
      <c r="AW225" s="2">
        <v>1</v>
      </c>
      <c r="AZ225" s="2">
        <v>1</v>
      </c>
      <c r="BA225" s="2">
        <v>1</v>
      </c>
      <c r="BB225" s="2">
        <v>1</v>
      </c>
      <c r="BC225" s="2">
        <v>1</v>
      </c>
      <c r="BD225" s="2" t="s">
        <v>30</v>
      </c>
      <c r="BE225" s="2" t="s">
        <v>30</v>
      </c>
      <c r="BF225" s="2" t="s">
        <v>30</v>
      </c>
      <c r="BG225" s="2" t="s">
        <v>30</v>
      </c>
      <c r="BH225" s="2">
        <v>0</v>
      </c>
      <c r="BI225" s="2">
        <v>4</v>
      </c>
      <c r="BJ225" s="2" t="s">
        <v>328</v>
      </c>
      <c r="BM225" s="2">
        <v>0</v>
      </c>
      <c r="BN225" s="2">
        <v>0</v>
      </c>
      <c r="BO225" s="2" t="s">
        <v>30</v>
      </c>
      <c r="BP225" s="2">
        <v>0</v>
      </c>
      <c r="BQ225" s="2">
        <v>1</v>
      </c>
      <c r="BR225" s="2">
        <v>0</v>
      </c>
      <c r="BS225" s="2">
        <v>1</v>
      </c>
      <c r="BT225" s="2">
        <v>1</v>
      </c>
      <c r="BU225" s="2">
        <v>1</v>
      </c>
      <c r="BV225" s="2">
        <v>1</v>
      </c>
      <c r="BW225" s="2">
        <v>1</v>
      </c>
      <c r="BX225" s="2">
        <v>1</v>
      </c>
      <c r="BY225" s="2" t="s">
        <v>30</v>
      </c>
      <c r="BZ225" s="2">
        <v>70</v>
      </c>
      <c r="CA225" s="2">
        <v>10</v>
      </c>
      <c r="CB225" s="2" t="s">
        <v>30</v>
      </c>
      <c r="CE225" s="2">
        <v>0</v>
      </c>
      <c r="CF225" s="2">
        <v>0</v>
      </c>
      <c r="CG225" s="2">
        <v>0</v>
      </c>
      <c r="CM225" s="2">
        <v>0</v>
      </c>
      <c r="CN225" s="2" t="s">
        <v>30</v>
      </c>
      <c r="CO225" s="2">
        <v>0</v>
      </c>
      <c r="CP225" s="2">
        <f t="shared" si="124"/>
        <v>90.18</v>
      </c>
      <c r="CQ225" s="2">
        <f t="shared" si="125"/>
        <v>0</v>
      </c>
      <c r="CR225" s="2">
        <f>((((ET225)*BB225-(EU225)*BS225)+AE225*BS225)*AV225)</f>
        <v>9240.8700000000008</v>
      </c>
      <c r="CS225" s="2">
        <f t="shared" si="126"/>
        <v>3605.56</v>
      </c>
      <c r="CT225" s="2">
        <f t="shared" si="127"/>
        <v>301.75</v>
      </c>
      <c r="CU225" s="2">
        <f t="shared" si="128"/>
        <v>0</v>
      </c>
      <c r="CV225" s="2">
        <f t="shared" si="129"/>
        <v>1.59</v>
      </c>
      <c r="CW225" s="2">
        <f t="shared" si="130"/>
        <v>0</v>
      </c>
      <c r="CX225" s="2">
        <f t="shared" si="130"/>
        <v>0</v>
      </c>
      <c r="CY225" s="2">
        <f t="shared" si="131"/>
        <v>1.9950000000000001</v>
      </c>
      <c r="CZ225" s="2">
        <f t="shared" si="132"/>
        <v>0.28499999999999998</v>
      </c>
      <c r="DC225" s="2" t="s">
        <v>30</v>
      </c>
      <c r="DD225" s="2" t="s">
        <v>30</v>
      </c>
      <c r="DE225" s="2" t="s">
        <v>30</v>
      </c>
      <c r="DF225" s="2" t="s">
        <v>30</v>
      </c>
      <c r="DG225" s="2" t="s">
        <v>30</v>
      </c>
      <c r="DH225" s="2" t="s">
        <v>30</v>
      </c>
      <c r="DI225" s="2" t="s">
        <v>30</v>
      </c>
      <c r="DJ225" s="2" t="s">
        <v>30</v>
      </c>
      <c r="DK225" s="2" t="s">
        <v>30</v>
      </c>
      <c r="DL225" s="2" t="s">
        <v>30</v>
      </c>
      <c r="DM225" s="2" t="s">
        <v>30</v>
      </c>
      <c r="DN225" s="2">
        <v>0</v>
      </c>
      <c r="DO225" s="2">
        <v>0</v>
      </c>
      <c r="DP225" s="2">
        <v>1</v>
      </c>
      <c r="DQ225" s="2">
        <v>1</v>
      </c>
      <c r="DU225" s="2">
        <v>1007</v>
      </c>
      <c r="DV225" s="2" t="s">
        <v>68</v>
      </c>
      <c r="DW225" s="2" t="s">
        <v>68</v>
      </c>
      <c r="DX225" s="2">
        <v>100</v>
      </c>
      <c r="DZ225" s="2" t="s">
        <v>30</v>
      </c>
      <c r="EA225" s="2" t="s">
        <v>30</v>
      </c>
      <c r="EB225" s="2" t="s">
        <v>30</v>
      </c>
      <c r="EC225" s="2" t="s">
        <v>30</v>
      </c>
      <c r="EE225" s="2">
        <v>49661954</v>
      </c>
      <c r="EF225" s="2">
        <v>1</v>
      </c>
      <c r="EG225" s="2" t="s">
        <v>180</v>
      </c>
      <c r="EH225" s="2">
        <v>0</v>
      </c>
      <c r="EI225" s="2" t="s">
        <v>30</v>
      </c>
      <c r="EJ225" s="2">
        <v>4</v>
      </c>
      <c r="EK225" s="2">
        <v>0</v>
      </c>
      <c r="EL225" s="2" t="s">
        <v>181</v>
      </c>
      <c r="EM225" s="2" t="s">
        <v>182</v>
      </c>
      <c r="EO225" s="2" t="s">
        <v>30</v>
      </c>
      <c r="EQ225" s="2">
        <v>0</v>
      </c>
      <c r="ER225" s="2">
        <v>9542.6200000000008</v>
      </c>
      <c r="ES225" s="2">
        <v>0</v>
      </c>
      <c r="ET225" s="2">
        <v>9240.8700000000008</v>
      </c>
      <c r="EU225" s="2">
        <v>3605.56</v>
      </c>
      <c r="EV225" s="2">
        <v>301.75</v>
      </c>
      <c r="EW225" s="2">
        <v>1.59</v>
      </c>
      <c r="EX225" s="2">
        <v>0</v>
      </c>
      <c r="EY225" s="2">
        <v>0</v>
      </c>
      <c r="FQ225" s="2">
        <v>0</v>
      </c>
      <c r="FR225" s="2">
        <f t="shared" si="133"/>
        <v>0</v>
      </c>
      <c r="FS225" s="2">
        <v>0</v>
      </c>
      <c r="FX225" s="2">
        <v>70</v>
      </c>
      <c r="FY225" s="2">
        <v>10</v>
      </c>
      <c r="GA225" s="2" t="s">
        <v>30</v>
      </c>
      <c r="GD225" s="2">
        <v>0</v>
      </c>
      <c r="GF225" s="2">
        <v>1319156878</v>
      </c>
      <c r="GG225" s="2">
        <v>2</v>
      </c>
      <c r="GH225" s="2">
        <v>1</v>
      </c>
      <c r="GI225" s="2">
        <v>-2</v>
      </c>
      <c r="GJ225" s="2">
        <v>0</v>
      </c>
      <c r="GK225" s="2">
        <f>ROUND(R225*(R12)/100,2)</f>
        <v>36.799999999999997</v>
      </c>
      <c r="GL225" s="2">
        <f t="shared" si="134"/>
        <v>0</v>
      </c>
      <c r="GM225" s="2">
        <f>ROUND(O225+X225+Y225+GK225,2)+GX225</f>
        <v>129.27000000000001</v>
      </c>
      <c r="GN225" s="2">
        <f>IF(OR(BI225=0,BI225=1),ROUND(O225+X225+Y225+GK225,2),0)</f>
        <v>0</v>
      </c>
      <c r="GO225" s="2">
        <f>IF(BI225=2,ROUND(O225+X225+Y225+GK225,2),0)</f>
        <v>0</v>
      </c>
      <c r="GP225" s="2">
        <f>IF(BI225=4,ROUND(O225+X225+Y225+GK225,2)+GX225,0)</f>
        <v>129.27000000000001</v>
      </c>
      <c r="GR225" s="2">
        <v>0</v>
      </c>
      <c r="GS225" s="2">
        <v>0</v>
      </c>
      <c r="GT225" s="2">
        <v>0</v>
      </c>
      <c r="GU225" s="2" t="s">
        <v>30</v>
      </c>
      <c r="GV225" s="2">
        <f t="shared" si="135"/>
        <v>0</v>
      </c>
      <c r="GW225" s="2">
        <v>1</v>
      </c>
      <c r="GX225" s="2">
        <f t="shared" si="136"/>
        <v>0</v>
      </c>
      <c r="HA225" s="2">
        <v>0</v>
      </c>
      <c r="HB225" s="2">
        <v>0</v>
      </c>
      <c r="HC225" s="2">
        <f t="shared" si="137"/>
        <v>0</v>
      </c>
      <c r="HE225" s="2" t="s">
        <v>30</v>
      </c>
      <c r="HF225" s="2" t="s">
        <v>30</v>
      </c>
      <c r="HM225" s="2" t="s">
        <v>30</v>
      </c>
      <c r="HN225" s="2" t="s">
        <v>30</v>
      </c>
      <c r="HO225" s="2" t="s">
        <v>30</v>
      </c>
      <c r="HP225" s="2" t="s">
        <v>30</v>
      </c>
      <c r="HQ225" s="2" t="s">
        <v>30</v>
      </c>
      <c r="IK225" s="2">
        <v>0</v>
      </c>
    </row>
    <row r="226" spans="1:245" x14ac:dyDescent="0.25">
      <c r="A226" s="2">
        <v>17</v>
      </c>
      <c r="B226" s="2">
        <v>1</v>
      </c>
      <c r="C226" s="2">
        <f>ROW(SmtRes!A70)</f>
        <v>70</v>
      </c>
      <c r="D226" s="2">
        <f>ROW(EtalonRes!A68)</f>
        <v>68</v>
      </c>
      <c r="E226" s="2" t="s">
        <v>335</v>
      </c>
      <c r="F226" s="2" t="s">
        <v>336</v>
      </c>
      <c r="G226" s="2" t="s">
        <v>337</v>
      </c>
      <c r="H226" s="2" t="s">
        <v>68</v>
      </c>
      <c r="I226" s="2">
        <f>ROUND(0.105/100,9)</f>
        <v>1.0499999999999999E-3</v>
      </c>
      <c r="J226" s="2">
        <v>0</v>
      </c>
      <c r="K226" s="2">
        <f>ROUND(0.105/100,9)</f>
        <v>1.0499999999999999E-3</v>
      </c>
      <c r="O226" s="2">
        <f t="shared" si="109"/>
        <v>12.01</v>
      </c>
      <c r="P226" s="2">
        <f t="shared" si="110"/>
        <v>0</v>
      </c>
      <c r="Q226" s="2">
        <f t="shared" si="111"/>
        <v>0</v>
      </c>
      <c r="R226" s="2">
        <f t="shared" si="112"/>
        <v>0</v>
      </c>
      <c r="S226" s="2">
        <f t="shared" si="113"/>
        <v>12.01</v>
      </c>
      <c r="T226" s="2">
        <f t="shared" si="114"/>
        <v>0</v>
      </c>
      <c r="U226" s="2">
        <f t="shared" si="115"/>
        <v>8.7150000000000005E-2</v>
      </c>
      <c r="V226" s="2">
        <f t="shared" si="116"/>
        <v>0</v>
      </c>
      <c r="W226" s="2">
        <f t="shared" si="117"/>
        <v>0</v>
      </c>
      <c r="X226" s="2">
        <f t="shared" si="118"/>
        <v>8.41</v>
      </c>
      <c r="Y226" s="2">
        <f t="shared" si="118"/>
        <v>1.2</v>
      </c>
      <c r="AA226" s="2">
        <v>52261502</v>
      </c>
      <c r="AB226" s="2">
        <f t="shared" si="119"/>
        <v>11436.57</v>
      </c>
      <c r="AC226" s="2">
        <f>ROUND((ES226),6)</f>
        <v>0</v>
      </c>
      <c r="AD226" s="2">
        <f>ROUND((((ET226)-(EU226))+AE226),6)</f>
        <v>0</v>
      </c>
      <c r="AE226" s="2">
        <f t="shared" si="120"/>
        <v>0</v>
      </c>
      <c r="AF226" s="2">
        <f t="shared" si="120"/>
        <v>11436.57</v>
      </c>
      <c r="AG226" s="2">
        <f t="shared" si="121"/>
        <v>0</v>
      </c>
      <c r="AH226" s="2">
        <f t="shared" si="122"/>
        <v>83</v>
      </c>
      <c r="AI226" s="2">
        <f t="shared" si="122"/>
        <v>0</v>
      </c>
      <c r="AJ226" s="2">
        <f t="shared" si="123"/>
        <v>0</v>
      </c>
      <c r="AK226" s="2">
        <v>11436.57</v>
      </c>
      <c r="AL226" s="2">
        <v>0</v>
      </c>
      <c r="AM226" s="2">
        <v>0</v>
      </c>
      <c r="AN226" s="2">
        <v>0</v>
      </c>
      <c r="AO226" s="2">
        <v>11436.57</v>
      </c>
      <c r="AP226" s="2">
        <v>0</v>
      </c>
      <c r="AQ226" s="2">
        <v>83</v>
      </c>
      <c r="AR226" s="2">
        <v>0</v>
      </c>
      <c r="AS226" s="2">
        <v>0</v>
      </c>
      <c r="AT226" s="2">
        <v>70</v>
      </c>
      <c r="AU226" s="2">
        <v>10</v>
      </c>
      <c r="AV226" s="2">
        <v>1</v>
      </c>
      <c r="AW226" s="2">
        <v>1</v>
      </c>
      <c r="AZ226" s="2">
        <v>1</v>
      </c>
      <c r="BA226" s="2">
        <v>1</v>
      </c>
      <c r="BB226" s="2">
        <v>1</v>
      </c>
      <c r="BC226" s="2">
        <v>1</v>
      </c>
      <c r="BD226" s="2" t="s">
        <v>30</v>
      </c>
      <c r="BE226" s="2" t="s">
        <v>30</v>
      </c>
      <c r="BF226" s="2" t="s">
        <v>30</v>
      </c>
      <c r="BG226" s="2" t="s">
        <v>30</v>
      </c>
      <c r="BH226" s="2">
        <v>0</v>
      </c>
      <c r="BI226" s="2">
        <v>4</v>
      </c>
      <c r="BJ226" s="2" t="s">
        <v>338</v>
      </c>
      <c r="BM226" s="2">
        <v>0</v>
      </c>
      <c r="BN226" s="2">
        <v>0</v>
      </c>
      <c r="BO226" s="2" t="s">
        <v>30</v>
      </c>
      <c r="BP226" s="2">
        <v>0</v>
      </c>
      <c r="BQ226" s="2">
        <v>1</v>
      </c>
      <c r="BR226" s="2">
        <v>0</v>
      </c>
      <c r="BS226" s="2">
        <v>1</v>
      </c>
      <c r="BT226" s="2">
        <v>1</v>
      </c>
      <c r="BU226" s="2">
        <v>1</v>
      </c>
      <c r="BV226" s="2">
        <v>1</v>
      </c>
      <c r="BW226" s="2">
        <v>1</v>
      </c>
      <c r="BX226" s="2">
        <v>1</v>
      </c>
      <c r="BY226" s="2" t="s">
        <v>30</v>
      </c>
      <c r="BZ226" s="2">
        <v>70</v>
      </c>
      <c r="CA226" s="2">
        <v>10</v>
      </c>
      <c r="CB226" s="2" t="s">
        <v>30</v>
      </c>
      <c r="CE226" s="2">
        <v>0</v>
      </c>
      <c r="CF226" s="2">
        <v>0</v>
      </c>
      <c r="CG226" s="2">
        <v>0</v>
      </c>
      <c r="CM226" s="2">
        <v>0</v>
      </c>
      <c r="CN226" s="2" t="s">
        <v>30</v>
      </c>
      <c r="CO226" s="2">
        <v>0</v>
      </c>
      <c r="CP226" s="2">
        <f t="shared" si="124"/>
        <v>12.01</v>
      </c>
      <c r="CQ226" s="2">
        <f t="shared" si="125"/>
        <v>0</v>
      </c>
      <c r="CR226" s="2">
        <f>((((ET226)*BB226-(EU226)*BS226)+AE226*BS226)*AV226)</f>
        <v>0</v>
      </c>
      <c r="CS226" s="2">
        <f t="shared" si="126"/>
        <v>0</v>
      </c>
      <c r="CT226" s="2">
        <f t="shared" si="127"/>
        <v>11436.57</v>
      </c>
      <c r="CU226" s="2">
        <f t="shared" si="128"/>
        <v>0</v>
      </c>
      <c r="CV226" s="2">
        <f t="shared" si="129"/>
        <v>83</v>
      </c>
      <c r="CW226" s="2">
        <f t="shared" si="130"/>
        <v>0</v>
      </c>
      <c r="CX226" s="2">
        <f t="shared" si="130"/>
        <v>0</v>
      </c>
      <c r="CY226" s="2">
        <f t="shared" si="131"/>
        <v>8.407</v>
      </c>
      <c r="CZ226" s="2">
        <f t="shared" si="132"/>
        <v>1.2010000000000001</v>
      </c>
      <c r="DC226" s="2" t="s">
        <v>30</v>
      </c>
      <c r="DD226" s="2" t="s">
        <v>30</v>
      </c>
      <c r="DE226" s="2" t="s">
        <v>30</v>
      </c>
      <c r="DF226" s="2" t="s">
        <v>30</v>
      </c>
      <c r="DG226" s="2" t="s">
        <v>30</v>
      </c>
      <c r="DH226" s="2" t="s">
        <v>30</v>
      </c>
      <c r="DI226" s="2" t="s">
        <v>30</v>
      </c>
      <c r="DJ226" s="2" t="s">
        <v>30</v>
      </c>
      <c r="DK226" s="2" t="s">
        <v>30</v>
      </c>
      <c r="DL226" s="2" t="s">
        <v>30</v>
      </c>
      <c r="DM226" s="2" t="s">
        <v>30</v>
      </c>
      <c r="DN226" s="2">
        <v>0</v>
      </c>
      <c r="DO226" s="2">
        <v>0</v>
      </c>
      <c r="DP226" s="2">
        <v>1</v>
      </c>
      <c r="DQ226" s="2">
        <v>1</v>
      </c>
      <c r="DU226" s="2">
        <v>1007</v>
      </c>
      <c r="DV226" s="2" t="s">
        <v>68</v>
      </c>
      <c r="DW226" s="2" t="s">
        <v>68</v>
      </c>
      <c r="DX226" s="2">
        <v>100</v>
      </c>
      <c r="DZ226" s="2" t="s">
        <v>30</v>
      </c>
      <c r="EA226" s="2" t="s">
        <v>30</v>
      </c>
      <c r="EB226" s="2" t="s">
        <v>30</v>
      </c>
      <c r="EC226" s="2" t="s">
        <v>30</v>
      </c>
      <c r="EE226" s="2">
        <v>49661954</v>
      </c>
      <c r="EF226" s="2">
        <v>1</v>
      </c>
      <c r="EG226" s="2" t="s">
        <v>180</v>
      </c>
      <c r="EH226" s="2">
        <v>0</v>
      </c>
      <c r="EI226" s="2" t="s">
        <v>30</v>
      </c>
      <c r="EJ226" s="2">
        <v>4</v>
      </c>
      <c r="EK226" s="2">
        <v>0</v>
      </c>
      <c r="EL226" s="2" t="s">
        <v>181</v>
      </c>
      <c r="EM226" s="2" t="s">
        <v>182</v>
      </c>
      <c r="EO226" s="2" t="s">
        <v>30</v>
      </c>
      <c r="EQ226" s="2">
        <v>0</v>
      </c>
      <c r="ER226" s="2">
        <v>11436.57</v>
      </c>
      <c r="ES226" s="2">
        <v>0</v>
      </c>
      <c r="ET226" s="2">
        <v>0</v>
      </c>
      <c r="EU226" s="2">
        <v>0</v>
      </c>
      <c r="EV226" s="2">
        <v>11436.57</v>
      </c>
      <c r="EW226" s="2">
        <v>83</v>
      </c>
      <c r="EX226" s="2">
        <v>0</v>
      </c>
      <c r="EY226" s="2">
        <v>0</v>
      </c>
      <c r="FQ226" s="2">
        <v>0</v>
      </c>
      <c r="FR226" s="2">
        <f t="shared" si="133"/>
        <v>0</v>
      </c>
      <c r="FS226" s="2">
        <v>0</v>
      </c>
      <c r="FX226" s="2">
        <v>70</v>
      </c>
      <c r="FY226" s="2">
        <v>10</v>
      </c>
      <c r="GA226" s="2" t="s">
        <v>30</v>
      </c>
      <c r="GD226" s="2">
        <v>0</v>
      </c>
      <c r="GF226" s="2">
        <v>-956538372</v>
      </c>
      <c r="GG226" s="2">
        <v>2</v>
      </c>
      <c r="GH226" s="2">
        <v>1</v>
      </c>
      <c r="GI226" s="2">
        <v>-2</v>
      </c>
      <c r="GJ226" s="2">
        <v>0</v>
      </c>
      <c r="GK226" s="2">
        <f>ROUND(R226*(R12)/100,2)</f>
        <v>0</v>
      </c>
      <c r="GL226" s="2">
        <f t="shared" si="134"/>
        <v>0</v>
      </c>
      <c r="GM226" s="2">
        <f>ROUND(O226+X226+Y226+GK226,2)+GX226</f>
        <v>21.62</v>
      </c>
      <c r="GN226" s="2">
        <f>IF(OR(BI226=0,BI226=1),ROUND(O226+X226+Y226+GK226,2),0)</f>
        <v>0</v>
      </c>
      <c r="GO226" s="2">
        <f>IF(BI226=2,ROUND(O226+X226+Y226+GK226,2),0)</f>
        <v>0</v>
      </c>
      <c r="GP226" s="2">
        <f>IF(BI226=4,ROUND(O226+X226+Y226+GK226,2)+GX226,0)</f>
        <v>21.62</v>
      </c>
      <c r="GR226" s="2">
        <v>0</v>
      </c>
      <c r="GS226" s="2">
        <v>0</v>
      </c>
      <c r="GT226" s="2">
        <v>0</v>
      </c>
      <c r="GU226" s="2" t="s">
        <v>30</v>
      </c>
      <c r="GV226" s="2">
        <f t="shared" si="135"/>
        <v>0</v>
      </c>
      <c r="GW226" s="2">
        <v>1</v>
      </c>
      <c r="GX226" s="2">
        <f t="shared" si="136"/>
        <v>0</v>
      </c>
      <c r="HA226" s="2">
        <v>0</v>
      </c>
      <c r="HB226" s="2">
        <v>0</v>
      </c>
      <c r="HC226" s="2">
        <f t="shared" si="137"/>
        <v>0</v>
      </c>
      <c r="HE226" s="2" t="s">
        <v>30</v>
      </c>
      <c r="HF226" s="2" t="s">
        <v>30</v>
      </c>
      <c r="HM226" s="2" t="s">
        <v>30</v>
      </c>
      <c r="HN226" s="2" t="s">
        <v>30</v>
      </c>
      <c r="HO226" s="2" t="s">
        <v>30</v>
      </c>
      <c r="HP226" s="2" t="s">
        <v>30</v>
      </c>
      <c r="HQ226" s="2" t="s">
        <v>30</v>
      </c>
      <c r="IK226" s="2">
        <v>0</v>
      </c>
    </row>
    <row r="227" spans="1:245" x14ac:dyDescent="0.25">
      <c r="A227" s="2">
        <v>17</v>
      </c>
      <c r="B227" s="2">
        <v>1</v>
      </c>
      <c r="C227" s="2">
        <f>ROW(SmtRes!A71)</f>
        <v>71</v>
      </c>
      <c r="D227" s="2">
        <f>ROW(EtalonRes!A69)</f>
        <v>69</v>
      </c>
      <c r="E227" s="2" t="s">
        <v>339</v>
      </c>
      <c r="F227" s="2" t="s">
        <v>340</v>
      </c>
      <c r="G227" s="2" t="s">
        <v>341</v>
      </c>
      <c r="H227" s="2" t="s">
        <v>62</v>
      </c>
      <c r="I227" s="2">
        <v>10.5</v>
      </c>
      <c r="J227" s="2">
        <v>0</v>
      </c>
      <c r="K227" s="2">
        <v>10.5</v>
      </c>
      <c r="O227" s="2">
        <f t="shared" si="109"/>
        <v>526.26</v>
      </c>
      <c r="P227" s="2">
        <f t="shared" si="110"/>
        <v>0</v>
      </c>
      <c r="Q227" s="2">
        <f t="shared" si="111"/>
        <v>526.26</v>
      </c>
      <c r="R227" s="2">
        <f t="shared" si="112"/>
        <v>282.87</v>
      </c>
      <c r="S227" s="2">
        <f t="shared" si="113"/>
        <v>0</v>
      </c>
      <c r="T227" s="2">
        <f t="shared" si="114"/>
        <v>0</v>
      </c>
      <c r="U227" s="2">
        <f t="shared" si="115"/>
        <v>0</v>
      </c>
      <c r="V227" s="2">
        <f t="shared" si="116"/>
        <v>0</v>
      </c>
      <c r="W227" s="2">
        <f t="shared" si="117"/>
        <v>0</v>
      </c>
      <c r="X227" s="2">
        <f t="shared" si="118"/>
        <v>0</v>
      </c>
      <c r="Y227" s="2">
        <f t="shared" si="118"/>
        <v>0</v>
      </c>
      <c r="AA227" s="2">
        <v>52261502</v>
      </c>
      <c r="AB227" s="2">
        <f t="shared" si="119"/>
        <v>50.12</v>
      </c>
      <c r="AC227" s="2">
        <f>ROUND((ES227),6)</f>
        <v>0</v>
      </c>
      <c r="AD227" s="2">
        <f>ROUND((((ET227)-(EU227))+AE227),6)</f>
        <v>50.12</v>
      </c>
      <c r="AE227" s="2">
        <f t="shared" si="120"/>
        <v>26.94</v>
      </c>
      <c r="AF227" s="2">
        <f t="shared" si="120"/>
        <v>0</v>
      </c>
      <c r="AG227" s="2">
        <f t="shared" si="121"/>
        <v>0</v>
      </c>
      <c r="AH227" s="2">
        <f t="shared" si="122"/>
        <v>0</v>
      </c>
      <c r="AI227" s="2">
        <f t="shared" si="122"/>
        <v>0</v>
      </c>
      <c r="AJ227" s="2">
        <f t="shared" si="123"/>
        <v>0</v>
      </c>
      <c r="AK227" s="2">
        <v>50.12</v>
      </c>
      <c r="AL227" s="2">
        <v>0</v>
      </c>
      <c r="AM227" s="2">
        <v>50.12</v>
      </c>
      <c r="AN227" s="2">
        <v>26.94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1</v>
      </c>
      <c r="AW227" s="2">
        <v>1</v>
      </c>
      <c r="AZ227" s="2">
        <v>1</v>
      </c>
      <c r="BA227" s="2">
        <v>1</v>
      </c>
      <c r="BB227" s="2">
        <v>1</v>
      </c>
      <c r="BC227" s="2">
        <v>1</v>
      </c>
      <c r="BD227" s="2" t="s">
        <v>30</v>
      </c>
      <c r="BE227" s="2" t="s">
        <v>30</v>
      </c>
      <c r="BF227" s="2" t="s">
        <v>30</v>
      </c>
      <c r="BG227" s="2" t="s">
        <v>30</v>
      </c>
      <c r="BH227" s="2">
        <v>0</v>
      </c>
      <c r="BI227" s="2">
        <v>4</v>
      </c>
      <c r="BJ227" s="2" t="s">
        <v>342</v>
      </c>
      <c r="BM227" s="2">
        <v>1</v>
      </c>
      <c r="BN227" s="2">
        <v>0</v>
      </c>
      <c r="BO227" s="2" t="s">
        <v>30</v>
      </c>
      <c r="BP227" s="2">
        <v>0</v>
      </c>
      <c r="BQ227" s="2">
        <v>1</v>
      </c>
      <c r="BR227" s="2">
        <v>0</v>
      </c>
      <c r="BS227" s="2">
        <v>1</v>
      </c>
      <c r="BT227" s="2">
        <v>1</v>
      </c>
      <c r="BU227" s="2">
        <v>1</v>
      </c>
      <c r="BV227" s="2">
        <v>1</v>
      </c>
      <c r="BW227" s="2">
        <v>1</v>
      </c>
      <c r="BX227" s="2">
        <v>1</v>
      </c>
      <c r="BY227" s="2" t="s">
        <v>30</v>
      </c>
      <c r="BZ227" s="2">
        <v>0</v>
      </c>
      <c r="CA227" s="2">
        <v>0</v>
      </c>
      <c r="CB227" s="2" t="s">
        <v>30</v>
      </c>
      <c r="CE227" s="2">
        <v>0</v>
      </c>
      <c r="CF227" s="2">
        <v>0</v>
      </c>
      <c r="CG227" s="2">
        <v>0</v>
      </c>
      <c r="CM227" s="2">
        <v>0</v>
      </c>
      <c r="CN227" s="2" t="s">
        <v>30</v>
      </c>
      <c r="CO227" s="2">
        <v>0</v>
      </c>
      <c r="CP227" s="2">
        <f t="shared" si="124"/>
        <v>526.26</v>
      </c>
      <c r="CQ227" s="2">
        <f t="shared" si="125"/>
        <v>0</v>
      </c>
      <c r="CR227" s="2">
        <f>((((ET227)*BB227-(EU227)*BS227)+AE227*BS227)*AV227)</f>
        <v>50.12</v>
      </c>
      <c r="CS227" s="2">
        <f t="shared" si="126"/>
        <v>26.94</v>
      </c>
      <c r="CT227" s="2">
        <f t="shared" si="127"/>
        <v>0</v>
      </c>
      <c r="CU227" s="2">
        <f t="shared" si="128"/>
        <v>0</v>
      </c>
      <c r="CV227" s="2">
        <f t="shared" si="129"/>
        <v>0</v>
      </c>
      <c r="CW227" s="2">
        <f t="shared" si="130"/>
        <v>0</v>
      </c>
      <c r="CX227" s="2">
        <f t="shared" si="130"/>
        <v>0</v>
      </c>
      <c r="CY227" s="2">
        <f t="shared" si="131"/>
        <v>0</v>
      </c>
      <c r="CZ227" s="2">
        <f t="shared" si="132"/>
        <v>0</v>
      </c>
      <c r="DC227" s="2" t="s">
        <v>30</v>
      </c>
      <c r="DD227" s="2" t="s">
        <v>30</v>
      </c>
      <c r="DE227" s="2" t="s">
        <v>30</v>
      </c>
      <c r="DF227" s="2" t="s">
        <v>30</v>
      </c>
      <c r="DG227" s="2" t="s">
        <v>30</v>
      </c>
      <c r="DH227" s="2" t="s">
        <v>30</v>
      </c>
      <c r="DI227" s="2" t="s">
        <v>30</v>
      </c>
      <c r="DJ227" s="2" t="s">
        <v>30</v>
      </c>
      <c r="DK227" s="2" t="s">
        <v>30</v>
      </c>
      <c r="DL227" s="2" t="s">
        <v>30</v>
      </c>
      <c r="DM227" s="2" t="s">
        <v>30</v>
      </c>
      <c r="DN227" s="2">
        <v>0</v>
      </c>
      <c r="DO227" s="2">
        <v>0</v>
      </c>
      <c r="DP227" s="2">
        <v>1</v>
      </c>
      <c r="DQ227" s="2">
        <v>1</v>
      </c>
      <c r="DU227" s="2">
        <v>1007</v>
      </c>
      <c r="DV227" s="2" t="s">
        <v>62</v>
      </c>
      <c r="DW227" s="2" t="s">
        <v>62</v>
      </c>
      <c r="DX227" s="2">
        <v>1</v>
      </c>
      <c r="DZ227" s="2" t="s">
        <v>30</v>
      </c>
      <c r="EA227" s="2" t="s">
        <v>30</v>
      </c>
      <c r="EB227" s="2" t="s">
        <v>30</v>
      </c>
      <c r="EC227" s="2" t="s">
        <v>30</v>
      </c>
      <c r="EE227" s="2">
        <v>49661956</v>
      </c>
      <c r="EF227" s="2">
        <v>1</v>
      </c>
      <c r="EG227" s="2" t="s">
        <v>180</v>
      </c>
      <c r="EH227" s="2">
        <v>0</v>
      </c>
      <c r="EI227" s="2" t="s">
        <v>30</v>
      </c>
      <c r="EJ227" s="2">
        <v>4</v>
      </c>
      <c r="EK227" s="2">
        <v>1</v>
      </c>
      <c r="EL227" s="2" t="s">
        <v>202</v>
      </c>
      <c r="EM227" s="2" t="s">
        <v>182</v>
      </c>
      <c r="EO227" s="2" t="s">
        <v>30</v>
      </c>
      <c r="EQ227" s="2">
        <v>0</v>
      </c>
      <c r="ER227" s="2">
        <v>50.12</v>
      </c>
      <c r="ES227" s="2">
        <v>0</v>
      </c>
      <c r="ET227" s="2">
        <v>50.12</v>
      </c>
      <c r="EU227" s="2">
        <v>26.94</v>
      </c>
      <c r="EV227" s="2">
        <v>0</v>
      </c>
      <c r="EW227" s="2">
        <v>0</v>
      </c>
      <c r="EX227" s="2">
        <v>0</v>
      </c>
      <c r="EY227" s="2">
        <v>0</v>
      </c>
      <c r="FQ227" s="2">
        <v>0</v>
      </c>
      <c r="FR227" s="2">
        <f t="shared" si="133"/>
        <v>0</v>
      </c>
      <c r="FS227" s="2">
        <v>0</v>
      </c>
      <c r="FX227" s="2">
        <v>0</v>
      </c>
      <c r="FY227" s="2">
        <v>0</v>
      </c>
      <c r="GA227" s="2" t="s">
        <v>30</v>
      </c>
      <c r="GD227" s="2">
        <v>1</v>
      </c>
      <c r="GF227" s="2">
        <v>-1370593741</v>
      </c>
      <c r="GG227" s="2">
        <v>2</v>
      </c>
      <c r="GH227" s="2">
        <v>1</v>
      </c>
      <c r="GI227" s="2">
        <v>-2</v>
      </c>
      <c r="GJ227" s="2">
        <v>0</v>
      </c>
      <c r="GK227" s="2">
        <v>0</v>
      </c>
      <c r="GL227" s="2">
        <f t="shared" si="134"/>
        <v>0</v>
      </c>
      <c r="GM227" s="2">
        <f>ROUND(O227+X227+Y227,2)+GX227</f>
        <v>526.26</v>
      </c>
      <c r="GN227" s="2">
        <f>IF(OR(BI227=0,BI227=1),ROUND(O227+X227+Y227,2),0)</f>
        <v>0</v>
      </c>
      <c r="GO227" s="2">
        <f>IF(BI227=2,ROUND(O227+X227+Y227,2),0)</f>
        <v>0</v>
      </c>
      <c r="GP227" s="2">
        <f>IF(BI227=4,ROUND(O227+X227+Y227,2)+GX227,0)</f>
        <v>526.26</v>
      </c>
      <c r="GR227" s="2">
        <v>0</v>
      </c>
      <c r="GS227" s="2">
        <v>0</v>
      </c>
      <c r="GT227" s="2">
        <v>0</v>
      </c>
      <c r="GU227" s="2" t="s">
        <v>30</v>
      </c>
      <c r="GV227" s="2">
        <f t="shared" si="135"/>
        <v>0</v>
      </c>
      <c r="GW227" s="2">
        <v>1</v>
      </c>
      <c r="GX227" s="2">
        <f t="shared" si="136"/>
        <v>0</v>
      </c>
      <c r="HA227" s="2">
        <v>0</v>
      </c>
      <c r="HB227" s="2">
        <v>0</v>
      </c>
      <c r="HC227" s="2">
        <f t="shared" si="137"/>
        <v>0</v>
      </c>
      <c r="HE227" s="2" t="s">
        <v>30</v>
      </c>
      <c r="HF227" s="2" t="s">
        <v>30</v>
      </c>
      <c r="HM227" s="2" t="s">
        <v>30</v>
      </c>
      <c r="HN227" s="2" t="s">
        <v>30</v>
      </c>
      <c r="HO227" s="2" t="s">
        <v>30</v>
      </c>
      <c r="HP227" s="2" t="s">
        <v>30</v>
      </c>
      <c r="HQ227" s="2" t="s">
        <v>30</v>
      </c>
      <c r="IK227" s="2">
        <v>0</v>
      </c>
    </row>
    <row r="228" spans="1:245" x14ac:dyDescent="0.25">
      <c r="A228" s="2">
        <v>17</v>
      </c>
      <c r="B228" s="2">
        <v>1</v>
      </c>
      <c r="C228" s="2">
        <f>ROW(SmtRes!A72)</f>
        <v>72</v>
      </c>
      <c r="D228" s="2">
        <f>ROW(EtalonRes!A70)</f>
        <v>70</v>
      </c>
      <c r="E228" s="2" t="s">
        <v>343</v>
      </c>
      <c r="F228" s="2" t="s">
        <v>344</v>
      </c>
      <c r="G228" s="2" t="s">
        <v>345</v>
      </c>
      <c r="H228" s="2" t="s">
        <v>62</v>
      </c>
      <c r="I228" s="2">
        <v>10.5</v>
      </c>
      <c r="J228" s="2">
        <v>0</v>
      </c>
      <c r="K228" s="2">
        <v>10.5</v>
      </c>
      <c r="O228" s="2">
        <f t="shared" si="109"/>
        <v>8828.82</v>
      </c>
      <c r="P228" s="2">
        <f t="shared" si="110"/>
        <v>0</v>
      </c>
      <c r="Q228" s="2">
        <f t="shared" si="111"/>
        <v>8828.82</v>
      </c>
      <c r="R228" s="2">
        <f t="shared" si="112"/>
        <v>4744.74</v>
      </c>
      <c r="S228" s="2">
        <f t="shared" si="113"/>
        <v>0</v>
      </c>
      <c r="T228" s="2">
        <f t="shared" si="114"/>
        <v>0</v>
      </c>
      <c r="U228" s="2">
        <f t="shared" si="115"/>
        <v>0</v>
      </c>
      <c r="V228" s="2">
        <f t="shared" si="116"/>
        <v>0</v>
      </c>
      <c r="W228" s="2">
        <f t="shared" si="117"/>
        <v>0</v>
      </c>
      <c r="X228" s="2">
        <f t="shared" si="118"/>
        <v>0</v>
      </c>
      <c r="Y228" s="2">
        <f t="shared" si="118"/>
        <v>0</v>
      </c>
      <c r="AA228" s="2">
        <v>52261502</v>
      </c>
      <c r="AB228" s="2">
        <f t="shared" si="119"/>
        <v>840.84</v>
      </c>
      <c r="AC228" s="2">
        <f>ROUND(((ES228*52)),6)</f>
        <v>0</v>
      </c>
      <c r="AD228" s="2">
        <f>ROUND(((((ET228*52))-((EU228*52)))+AE228),6)</f>
        <v>840.84</v>
      </c>
      <c r="AE228" s="2">
        <f>ROUND(((EU228*52)),6)</f>
        <v>451.88</v>
      </c>
      <c r="AF228" s="2">
        <f>ROUND(((EV228*52)),6)</f>
        <v>0</v>
      </c>
      <c r="AG228" s="2">
        <f t="shared" si="121"/>
        <v>0</v>
      </c>
      <c r="AH228" s="2">
        <f>((EW228*52))</f>
        <v>0</v>
      </c>
      <c r="AI228" s="2">
        <f>((EX228*52))</f>
        <v>0</v>
      </c>
      <c r="AJ228" s="2">
        <f t="shared" si="123"/>
        <v>0</v>
      </c>
      <c r="AK228" s="2">
        <v>16.170000000000002</v>
      </c>
      <c r="AL228" s="2">
        <v>0</v>
      </c>
      <c r="AM228" s="2">
        <v>16.170000000000002</v>
      </c>
      <c r="AN228" s="2">
        <v>8.69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1</v>
      </c>
      <c r="AW228" s="2">
        <v>1</v>
      </c>
      <c r="AZ228" s="2">
        <v>1</v>
      </c>
      <c r="BA228" s="2">
        <v>1</v>
      </c>
      <c r="BB228" s="2">
        <v>1</v>
      </c>
      <c r="BC228" s="2">
        <v>1</v>
      </c>
      <c r="BD228" s="2" t="s">
        <v>30</v>
      </c>
      <c r="BE228" s="2" t="s">
        <v>30</v>
      </c>
      <c r="BF228" s="2" t="s">
        <v>30</v>
      </c>
      <c r="BG228" s="2" t="s">
        <v>30</v>
      </c>
      <c r="BH228" s="2">
        <v>0</v>
      </c>
      <c r="BI228" s="2">
        <v>4</v>
      </c>
      <c r="BJ228" s="2" t="s">
        <v>346</v>
      </c>
      <c r="BM228" s="2">
        <v>1</v>
      </c>
      <c r="BN228" s="2">
        <v>0</v>
      </c>
      <c r="BO228" s="2" t="s">
        <v>30</v>
      </c>
      <c r="BP228" s="2">
        <v>0</v>
      </c>
      <c r="BQ228" s="2">
        <v>1</v>
      </c>
      <c r="BR228" s="2">
        <v>0</v>
      </c>
      <c r="BS228" s="2">
        <v>1</v>
      </c>
      <c r="BT228" s="2">
        <v>1</v>
      </c>
      <c r="BU228" s="2">
        <v>1</v>
      </c>
      <c r="BV228" s="2">
        <v>1</v>
      </c>
      <c r="BW228" s="2">
        <v>1</v>
      </c>
      <c r="BX228" s="2">
        <v>1</v>
      </c>
      <c r="BY228" s="2" t="s">
        <v>30</v>
      </c>
      <c r="BZ228" s="2">
        <v>0</v>
      </c>
      <c r="CA228" s="2">
        <v>0</v>
      </c>
      <c r="CB228" s="2" t="s">
        <v>30</v>
      </c>
      <c r="CE228" s="2">
        <v>0</v>
      </c>
      <c r="CF228" s="2">
        <v>0</v>
      </c>
      <c r="CG228" s="2">
        <v>0</v>
      </c>
      <c r="CM228" s="2">
        <v>0</v>
      </c>
      <c r="CN228" s="2" t="s">
        <v>30</v>
      </c>
      <c r="CO228" s="2">
        <v>0</v>
      </c>
      <c r="CP228" s="2">
        <f t="shared" si="124"/>
        <v>8828.82</v>
      </c>
      <c r="CQ228" s="2">
        <f t="shared" si="125"/>
        <v>0</v>
      </c>
      <c r="CR228" s="2">
        <f>(((((ET228*52))*BB228-((EU228*52))*BS228)+AE228*BS228)*AV228)</f>
        <v>840.84</v>
      </c>
      <c r="CS228" s="2">
        <f t="shared" si="126"/>
        <v>451.88</v>
      </c>
      <c r="CT228" s="2">
        <f t="shared" si="127"/>
        <v>0</v>
      </c>
      <c r="CU228" s="2">
        <f t="shared" si="128"/>
        <v>0</v>
      </c>
      <c r="CV228" s="2">
        <f t="shared" si="129"/>
        <v>0</v>
      </c>
      <c r="CW228" s="2">
        <f t="shared" si="130"/>
        <v>0</v>
      </c>
      <c r="CX228" s="2">
        <f t="shared" si="130"/>
        <v>0</v>
      </c>
      <c r="CY228" s="2">
        <f t="shared" si="131"/>
        <v>0</v>
      </c>
      <c r="CZ228" s="2">
        <f t="shared" si="132"/>
        <v>0</v>
      </c>
      <c r="DC228" s="2" t="s">
        <v>30</v>
      </c>
      <c r="DD228" s="2" t="s">
        <v>207</v>
      </c>
      <c r="DE228" s="2" t="s">
        <v>207</v>
      </c>
      <c r="DF228" s="2" t="s">
        <v>207</v>
      </c>
      <c r="DG228" s="2" t="s">
        <v>207</v>
      </c>
      <c r="DH228" s="2" t="s">
        <v>30</v>
      </c>
      <c r="DI228" s="2" t="s">
        <v>207</v>
      </c>
      <c r="DJ228" s="2" t="s">
        <v>207</v>
      </c>
      <c r="DK228" s="2" t="s">
        <v>30</v>
      </c>
      <c r="DL228" s="2" t="s">
        <v>30</v>
      </c>
      <c r="DM228" s="2" t="s">
        <v>30</v>
      </c>
      <c r="DN228" s="2">
        <v>0</v>
      </c>
      <c r="DO228" s="2">
        <v>0</v>
      </c>
      <c r="DP228" s="2">
        <v>1</v>
      </c>
      <c r="DQ228" s="2">
        <v>1</v>
      </c>
      <c r="DU228" s="2">
        <v>1007</v>
      </c>
      <c r="DV228" s="2" t="s">
        <v>62</v>
      </c>
      <c r="DW228" s="2" t="s">
        <v>62</v>
      </c>
      <c r="DX228" s="2">
        <v>1</v>
      </c>
      <c r="DZ228" s="2" t="s">
        <v>30</v>
      </c>
      <c r="EA228" s="2" t="s">
        <v>30</v>
      </c>
      <c r="EB228" s="2" t="s">
        <v>30</v>
      </c>
      <c r="EC228" s="2" t="s">
        <v>30</v>
      </c>
      <c r="EE228" s="2">
        <v>49661956</v>
      </c>
      <c r="EF228" s="2">
        <v>1</v>
      </c>
      <c r="EG228" s="2" t="s">
        <v>180</v>
      </c>
      <c r="EH228" s="2">
        <v>0</v>
      </c>
      <c r="EI228" s="2" t="s">
        <v>30</v>
      </c>
      <c r="EJ228" s="2">
        <v>4</v>
      </c>
      <c r="EK228" s="2">
        <v>1</v>
      </c>
      <c r="EL228" s="2" t="s">
        <v>202</v>
      </c>
      <c r="EM228" s="2" t="s">
        <v>182</v>
      </c>
      <c r="EO228" s="2" t="s">
        <v>30</v>
      </c>
      <c r="EQ228" s="2">
        <v>0</v>
      </c>
      <c r="ER228" s="2">
        <v>16.170000000000002</v>
      </c>
      <c r="ES228" s="2">
        <v>0</v>
      </c>
      <c r="ET228" s="2">
        <v>16.170000000000002</v>
      </c>
      <c r="EU228" s="2">
        <v>8.69</v>
      </c>
      <c r="EV228" s="2">
        <v>0</v>
      </c>
      <c r="EW228" s="2">
        <v>0</v>
      </c>
      <c r="EX228" s="2">
        <v>0</v>
      </c>
      <c r="EY228" s="2">
        <v>0</v>
      </c>
      <c r="FQ228" s="2">
        <v>0</v>
      </c>
      <c r="FR228" s="2">
        <f t="shared" si="133"/>
        <v>0</v>
      </c>
      <c r="FS228" s="2">
        <v>0</v>
      </c>
      <c r="FX228" s="2">
        <v>0</v>
      </c>
      <c r="FY228" s="2">
        <v>0</v>
      </c>
      <c r="GA228" s="2" t="s">
        <v>30</v>
      </c>
      <c r="GD228" s="2">
        <v>1</v>
      </c>
      <c r="GF228" s="2">
        <v>-1652846551</v>
      </c>
      <c r="GG228" s="2">
        <v>2</v>
      </c>
      <c r="GH228" s="2">
        <v>1</v>
      </c>
      <c r="GI228" s="2">
        <v>-2</v>
      </c>
      <c r="GJ228" s="2">
        <v>0</v>
      </c>
      <c r="GK228" s="2">
        <v>0</v>
      </c>
      <c r="GL228" s="2">
        <f t="shared" si="134"/>
        <v>0</v>
      </c>
      <c r="GM228" s="2">
        <f>ROUND(O228+X228+Y228,2)+GX228</f>
        <v>8828.82</v>
      </c>
      <c r="GN228" s="2">
        <f>IF(OR(BI228=0,BI228=1),ROUND(O228+X228+Y228,2),0)</f>
        <v>0</v>
      </c>
      <c r="GO228" s="2">
        <f>IF(BI228=2,ROUND(O228+X228+Y228,2),0)</f>
        <v>0</v>
      </c>
      <c r="GP228" s="2">
        <f>IF(BI228=4,ROUND(O228+X228+Y228,2)+GX228,0)</f>
        <v>8828.82</v>
      </c>
      <c r="GR228" s="2">
        <v>0</v>
      </c>
      <c r="GS228" s="2">
        <v>0</v>
      </c>
      <c r="GT228" s="2">
        <v>0</v>
      </c>
      <c r="GU228" s="2" t="s">
        <v>30</v>
      </c>
      <c r="GV228" s="2">
        <f t="shared" si="135"/>
        <v>0</v>
      </c>
      <c r="GW228" s="2">
        <v>1</v>
      </c>
      <c r="GX228" s="2">
        <f t="shared" si="136"/>
        <v>0</v>
      </c>
      <c r="HA228" s="2">
        <v>0</v>
      </c>
      <c r="HB228" s="2">
        <v>0</v>
      </c>
      <c r="HC228" s="2">
        <f t="shared" si="137"/>
        <v>0</v>
      </c>
      <c r="HE228" s="2" t="s">
        <v>30</v>
      </c>
      <c r="HF228" s="2" t="s">
        <v>30</v>
      </c>
      <c r="HM228" s="2" t="s">
        <v>30</v>
      </c>
      <c r="HN228" s="2" t="s">
        <v>30</v>
      </c>
      <c r="HO228" s="2" t="s">
        <v>30</v>
      </c>
      <c r="HP228" s="2" t="s">
        <v>30</v>
      </c>
      <c r="HQ228" s="2" t="s">
        <v>30</v>
      </c>
      <c r="IK228" s="2">
        <v>0</v>
      </c>
    </row>
    <row r="229" spans="1:245" x14ac:dyDescent="0.25">
      <c r="A229" s="2">
        <v>17</v>
      </c>
      <c r="B229" s="2">
        <v>1</v>
      </c>
      <c r="C229" s="2">
        <f>ROW(SmtRes!A80)</f>
        <v>80</v>
      </c>
      <c r="D229" s="2">
        <f>ROW(EtalonRes!A78)</f>
        <v>78</v>
      </c>
      <c r="E229" s="2" t="s">
        <v>347</v>
      </c>
      <c r="F229" s="2" t="s">
        <v>348</v>
      </c>
      <c r="G229" s="2" t="s">
        <v>349</v>
      </c>
      <c r="H229" s="2" t="s">
        <v>68</v>
      </c>
      <c r="I229" s="2">
        <f>ROUND(4.2/100,9)</f>
        <v>4.2000000000000003E-2</v>
      </c>
      <c r="J229" s="2">
        <v>0</v>
      </c>
      <c r="K229" s="2">
        <f>ROUND(4.2/100,9)</f>
        <v>4.2000000000000003E-2</v>
      </c>
      <c r="O229" s="2">
        <f t="shared" si="109"/>
        <v>2832.39</v>
      </c>
      <c r="P229" s="2">
        <f t="shared" si="110"/>
        <v>2363.92</v>
      </c>
      <c r="Q229" s="2">
        <f t="shared" si="111"/>
        <v>331.78</v>
      </c>
      <c r="R229" s="2">
        <f t="shared" si="112"/>
        <v>142.13</v>
      </c>
      <c r="S229" s="2">
        <f t="shared" si="113"/>
        <v>136.69</v>
      </c>
      <c r="T229" s="2">
        <f t="shared" si="114"/>
        <v>0</v>
      </c>
      <c r="U229" s="2">
        <f t="shared" si="115"/>
        <v>0.69552000000000003</v>
      </c>
      <c r="V229" s="2">
        <f t="shared" si="116"/>
        <v>0</v>
      </c>
      <c r="W229" s="2">
        <f t="shared" si="117"/>
        <v>0</v>
      </c>
      <c r="X229" s="2">
        <f t="shared" si="118"/>
        <v>95.68</v>
      </c>
      <c r="Y229" s="2">
        <f t="shared" si="118"/>
        <v>13.67</v>
      </c>
      <c r="AA229" s="2">
        <v>52261502</v>
      </c>
      <c r="AB229" s="2">
        <f t="shared" si="119"/>
        <v>67437.73</v>
      </c>
      <c r="AC229" s="2">
        <f t="shared" ref="AC229:AC235" si="138">ROUND((ES229),6)</f>
        <v>56283.75</v>
      </c>
      <c r="AD229" s="2">
        <f t="shared" ref="AD229:AD235" si="139">ROUND((((ET229)-(EU229))+AE229),6)</f>
        <v>7899.44</v>
      </c>
      <c r="AE229" s="2">
        <f t="shared" ref="AE229:AF235" si="140">ROUND((EU229),6)</f>
        <v>3384.14</v>
      </c>
      <c r="AF229" s="2">
        <f t="shared" si="140"/>
        <v>3254.54</v>
      </c>
      <c r="AG229" s="2">
        <f t="shared" si="121"/>
        <v>0</v>
      </c>
      <c r="AH229" s="2">
        <f t="shared" ref="AH229:AI235" si="141">(EW229)</f>
        <v>16.559999999999999</v>
      </c>
      <c r="AI229" s="2">
        <f t="shared" si="141"/>
        <v>0</v>
      </c>
      <c r="AJ229" s="2">
        <f t="shared" si="123"/>
        <v>0</v>
      </c>
      <c r="AK229" s="2">
        <v>67437.73</v>
      </c>
      <c r="AL229" s="2">
        <v>56283.75</v>
      </c>
      <c r="AM229" s="2">
        <v>7899.44</v>
      </c>
      <c r="AN229" s="2">
        <v>3384.14</v>
      </c>
      <c r="AO229" s="2">
        <v>3254.54</v>
      </c>
      <c r="AP229" s="2">
        <v>0</v>
      </c>
      <c r="AQ229" s="2">
        <v>16.559999999999999</v>
      </c>
      <c r="AR229" s="2">
        <v>0</v>
      </c>
      <c r="AS229" s="2">
        <v>0</v>
      </c>
      <c r="AT229" s="2">
        <v>70</v>
      </c>
      <c r="AU229" s="2">
        <v>10</v>
      </c>
      <c r="AV229" s="2">
        <v>1</v>
      </c>
      <c r="AW229" s="2">
        <v>1</v>
      </c>
      <c r="AZ229" s="2">
        <v>1</v>
      </c>
      <c r="BA229" s="2">
        <v>1</v>
      </c>
      <c r="BB229" s="2">
        <v>1</v>
      </c>
      <c r="BC229" s="2">
        <v>1</v>
      </c>
      <c r="BD229" s="2" t="s">
        <v>30</v>
      </c>
      <c r="BE229" s="2" t="s">
        <v>30</v>
      </c>
      <c r="BF229" s="2" t="s">
        <v>30</v>
      </c>
      <c r="BG229" s="2" t="s">
        <v>30</v>
      </c>
      <c r="BH229" s="2">
        <v>0</v>
      </c>
      <c r="BI229" s="2">
        <v>4</v>
      </c>
      <c r="BJ229" s="2" t="s">
        <v>350</v>
      </c>
      <c r="BM229" s="2">
        <v>0</v>
      </c>
      <c r="BN229" s="2">
        <v>0</v>
      </c>
      <c r="BO229" s="2" t="s">
        <v>30</v>
      </c>
      <c r="BP229" s="2">
        <v>0</v>
      </c>
      <c r="BQ229" s="2">
        <v>1</v>
      </c>
      <c r="BR229" s="2">
        <v>0</v>
      </c>
      <c r="BS229" s="2">
        <v>1</v>
      </c>
      <c r="BT229" s="2">
        <v>1</v>
      </c>
      <c r="BU229" s="2">
        <v>1</v>
      </c>
      <c r="BV229" s="2">
        <v>1</v>
      </c>
      <c r="BW229" s="2">
        <v>1</v>
      </c>
      <c r="BX229" s="2">
        <v>1</v>
      </c>
      <c r="BY229" s="2" t="s">
        <v>30</v>
      </c>
      <c r="BZ229" s="2">
        <v>70</v>
      </c>
      <c r="CA229" s="2">
        <v>10</v>
      </c>
      <c r="CB229" s="2" t="s">
        <v>30</v>
      </c>
      <c r="CE229" s="2">
        <v>0</v>
      </c>
      <c r="CF229" s="2">
        <v>0</v>
      </c>
      <c r="CG229" s="2">
        <v>0</v>
      </c>
      <c r="CM229" s="2">
        <v>0</v>
      </c>
      <c r="CN229" s="2" t="s">
        <v>30</v>
      </c>
      <c r="CO229" s="2">
        <v>0</v>
      </c>
      <c r="CP229" s="2">
        <f t="shared" si="124"/>
        <v>2832.39</v>
      </c>
      <c r="CQ229" s="2">
        <f t="shared" si="125"/>
        <v>56283.75</v>
      </c>
      <c r="CR229" s="2">
        <f t="shared" ref="CR229:CR235" si="142">((((ET229)*BB229-(EU229)*BS229)+AE229*BS229)*AV229)</f>
        <v>7899.44</v>
      </c>
      <c r="CS229" s="2">
        <f t="shared" si="126"/>
        <v>3384.14</v>
      </c>
      <c r="CT229" s="2">
        <f t="shared" si="127"/>
        <v>3254.54</v>
      </c>
      <c r="CU229" s="2">
        <f t="shared" si="128"/>
        <v>0</v>
      </c>
      <c r="CV229" s="2">
        <f t="shared" si="129"/>
        <v>16.559999999999999</v>
      </c>
      <c r="CW229" s="2">
        <f t="shared" si="130"/>
        <v>0</v>
      </c>
      <c r="CX229" s="2">
        <f t="shared" si="130"/>
        <v>0</v>
      </c>
      <c r="CY229" s="2">
        <f t="shared" si="131"/>
        <v>95.683000000000007</v>
      </c>
      <c r="CZ229" s="2">
        <f t="shared" si="132"/>
        <v>13.669</v>
      </c>
      <c r="DC229" s="2" t="s">
        <v>30</v>
      </c>
      <c r="DD229" s="2" t="s">
        <v>30</v>
      </c>
      <c r="DE229" s="2" t="s">
        <v>30</v>
      </c>
      <c r="DF229" s="2" t="s">
        <v>30</v>
      </c>
      <c r="DG229" s="2" t="s">
        <v>30</v>
      </c>
      <c r="DH229" s="2" t="s">
        <v>30</v>
      </c>
      <c r="DI229" s="2" t="s">
        <v>30</v>
      </c>
      <c r="DJ229" s="2" t="s">
        <v>30</v>
      </c>
      <c r="DK229" s="2" t="s">
        <v>30</v>
      </c>
      <c r="DL229" s="2" t="s">
        <v>30</v>
      </c>
      <c r="DM229" s="2" t="s">
        <v>30</v>
      </c>
      <c r="DN229" s="2">
        <v>0</v>
      </c>
      <c r="DO229" s="2">
        <v>0</v>
      </c>
      <c r="DP229" s="2">
        <v>1</v>
      </c>
      <c r="DQ229" s="2">
        <v>1</v>
      </c>
      <c r="DU229" s="2">
        <v>1007</v>
      </c>
      <c r="DV229" s="2" t="s">
        <v>68</v>
      </c>
      <c r="DW229" s="2" t="s">
        <v>68</v>
      </c>
      <c r="DX229" s="2">
        <v>100</v>
      </c>
      <c r="DZ229" s="2" t="s">
        <v>30</v>
      </c>
      <c r="EA229" s="2" t="s">
        <v>30</v>
      </c>
      <c r="EB229" s="2" t="s">
        <v>30</v>
      </c>
      <c r="EC229" s="2" t="s">
        <v>30</v>
      </c>
      <c r="EE229" s="2">
        <v>49661954</v>
      </c>
      <c r="EF229" s="2">
        <v>1</v>
      </c>
      <c r="EG229" s="2" t="s">
        <v>180</v>
      </c>
      <c r="EH229" s="2">
        <v>0</v>
      </c>
      <c r="EI229" s="2" t="s">
        <v>30</v>
      </c>
      <c r="EJ229" s="2">
        <v>4</v>
      </c>
      <c r="EK229" s="2">
        <v>0</v>
      </c>
      <c r="EL229" s="2" t="s">
        <v>181</v>
      </c>
      <c r="EM229" s="2" t="s">
        <v>182</v>
      </c>
      <c r="EO229" s="2" t="s">
        <v>30</v>
      </c>
      <c r="EQ229" s="2">
        <v>0</v>
      </c>
      <c r="ER229" s="2">
        <v>67437.73</v>
      </c>
      <c r="ES229" s="2">
        <v>56283.75</v>
      </c>
      <c r="ET229" s="2">
        <v>7899.44</v>
      </c>
      <c r="EU229" s="2">
        <v>3384.14</v>
      </c>
      <c r="EV229" s="2">
        <v>3254.54</v>
      </c>
      <c r="EW229" s="2">
        <v>16.559999999999999</v>
      </c>
      <c r="EX229" s="2">
        <v>0</v>
      </c>
      <c r="EY229" s="2">
        <v>0</v>
      </c>
      <c r="FQ229" s="2">
        <v>0</v>
      </c>
      <c r="FR229" s="2">
        <f t="shared" si="133"/>
        <v>0</v>
      </c>
      <c r="FS229" s="2">
        <v>0</v>
      </c>
      <c r="FX229" s="2">
        <v>70</v>
      </c>
      <c r="FY229" s="2">
        <v>10</v>
      </c>
      <c r="GA229" s="2" t="s">
        <v>30</v>
      </c>
      <c r="GD229" s="2">
        <v>0</v>
      </c>
      <c r="GF229" s="2">
        <v>-30817540</v>
      </c>
      <c r="GG229" s="2">
        <v>2</v>
      </c>
      <c r="GH229" s="2">
        <v>1</v>
      </c>
      <c r="GI229" s="2">
        <v>-2</v>
      </c>
      <c r="GJ229" s="2">
        <v>0</v>
      </c>
      <c r="GK229" s="2">
        <f>ROUND(R229*(R12)/100,2)</f>
        <v>153.5</v>
      </c>
      <c r="GL229" s="2">
        <f t="shared" si="134"/>
        <v>0</v>
      </c>
      <c r="GM229" s="2">
        <f t="shared" ref="GM229:GM235" si="143">ROUND(O229+X229+Y229+GK229,2)+GX229</f>
        <v>3095.24</v>
      </c>
      <c r="GN229" s="2">
        <f t="shared" ref="GN229:GN235" si="144">IF(OR(BI229=0,BI229=1),ROUND(O229+X229+Y229+GK229,2),0)</f>
        <v>0</v>
      </c>
      <c r="GO229" s="2">
        <f t="shared" ref="GO229:GO235" si="145">IF(BI229=2,ROUND(O229+X229+Y229+GK229,2),0)</f>
        <v>0</v>
      </c>
      <c r="GP229" s="2">
        <f t="shared" ref="GP229:GP235" si="146">IF(BI229=4,ROUND(O229+X229+Y229+GK229,2)+GX229,0)</f>
        <v>3095.24</v>
      </c>
      <c r="GR229" s="2">
        <v>0</v>
      </c>
      <c r="GS229" s="2">
        <v>0</v>
      </c>
      <c r="GT229" s="2">
        <v>0</v>
      </c>
      <c r="GU229" s="2" t="s">
        <v>30</v>
      </c>
      <c r="GV229" s="2">
        <f t="shared" si="135"/>
        <v>0</v>
      </c>
      <c r="GW229" s="2">
        <v>1</v>
      </c>
      <c r="GX229" s="2">
        <f t="shared" si="136"/>
        <v>0</v>
      </c>
      <c r="HA229" s="2">
        <v>0</v>
      </c>
      <c r="HB229" s="2">
        <v>0</v>
      </c>
      <c r="HC229" s="2">
        <f t="shared" si="137"/>
        <v>0</v>
      </c>
      <c r="HE229" s="2" t="s">
        <v>30</v>
      </c>
      <c r="HF229" s="2" t="s">
        <v>30</v>
      </c>
      <c r="HM229" s="2" t="s">
        <v>30</v>
      </c>
      <c r="HN229" s="2" t="s">
        <v>30</v>
      </c>
      <c r="HO229" s="2" t="s">
        <v>30</v>
      </c>
      <c r="HP229" s="2" t="s">
        <v>30</v>
      </c>
      <c r="HQ229" s="2" t="s">
        <v>30</v>
      </c>
      <c r="IK229" s="2">
        <v>0</v>
      </c>
    </row>
    <row r="230" spans="1:245" x14ac:dyDescent="0.25">
      <c r="A230" s="2">
        <v>17</v>
      </c>
      <c r="B230" s="2">
        <v>1</v>
      </c>
      <c r="C230" s="2">
        <f>ROW(SmtRes!A90)</f>
        <v>90</v>
      </c>
      <c r="D230" s="2">
        <f>ROW(EtalonRes!A87)</f>
        <v>87</v>
      </c>
      <c r="E230" s="2" t="s">
        <v>351</v>
      </c>
      <c r="F230" s="2" t="s">
        <v>352</v>
      </c>
      <c r="G230" s="2" t="s">
        <v>353</v>
      </c>
      <c r="H230" s="2" t="s">
        <v>68</v>
      </c>
      <c r="I230" s="2">
        <f>ROUND(4.2/100,9)</f>
        <v>4.2000000000000003E-2</v>
      </c>
      <c r="J230" s="2">
        <v>0</v>
      </c>
      <c r="K230" s="2">
        <f>ROUND(4.2/100,9)</f>
        <v>4.2000000000000003E-2</v>
      </c>
      <c r="O230" s="2">
        <f t="shared" si="109"/>
        <v>10737.4</v>
      </c>
      <c r="P230" s="2">
        <f t="shared" si="110"/>
        <v>8174.91</v>
      </c>
      <c r="Q230" s="2">
        <f t="shared" si="111"/>
        <v>2357.4499999999998</v>
      </c>
      <c r="R230" s="2">
        <f t="shared" si="112"/>
        <v>935.59</v>
      </c>
      <c r="S230" s="2">
        <f t="shared" si="113"/>
        <v>205.04</v>
      </c>
      <c r="T230" s="2">
        <f t="shared" si="114"/>
        <v>0</v>
      </c>
      <c r="U230" s="2">
        <f t="shared" si="115"/>
        <v>1.04328</v>
      </c>
      <c r="V230" s="2">
        <f t="shared" si="116"/>
        <v>0</v>
      </c>
      <c r="W230" s="2">
        <f t="shared" si="117"/>
        <v>0</v>
      </c>
      <c r="X230" s="2">
        <f t="shared" si="118"/>
        <v>143.53</v>
      </c>
      <c r="Y230" s="2">
        <f t="shared" si="118"/>
        <v>20.5</v>
      </c>
      <c r="AA230" s="2">
        <v>52261502</v>
      </c>
      <c r="AB230" s="2">
        <f t="shared" si="119"/>
        <v>255652.19</v>
      </c>
      <c r="AC230" s="2">
        <f t="shared" si="138"/>
        <v>194640.67</v>
      </c>
      <c r="AD230" s="2">
        <f t="shared" si="139"/>
        <v>56129.71</v>
      </c>
      <c r="AE230" s="2">
        <f t="shared" si="140"/>
        <v>22275.919999999998</v>
      </c>
      <c r="AF230" s="2">
        <f t="shared" si="140"/>
        <v>4881.8100000000004</v>
      </c>
      <c r="AG230" s="2">
        <f t="shared" si="121"/>
        <v>0</v>
      </c>
      <c r="AH230" s="2">
        <f t="shared" si="141"/>
        <v>24.84</v>
      </c>
      <c r="AI230" s="2">
        <f t="shared" si="141"/>
        <v>0</v>
      </c>
      <c r="AJ230" s="2">
        <f t="shared" si="123"/>
        <v>0</v>
      </c>
      <c r="AK230" s="2">
        <v>255652.19</v>
      </c>
      <c r="AL230" s="2">
        <v>194640.67</v>
      </c>
      <c r="AM230" s="2">
        <v>56129.71</v>
      </c>
      <c r="AN230" s="2">
        <v>22275.919999999998</v>
      </c>
      <c r="AO230" s="2">
        <v>4881.8100000000004</v>
      </c>
      <c r="AP230" s="2">
        <v>0</v>
      </c>
      <c r="AQ230" s="2">
        <v>24.84</v>
      </c>
      <c r="AR230" s="2">
        <v>0</v>
      </c>
      <c r="AS230" s="2">
        <v>0</v>
      </c>
      <c r="AT230" s="2">
        <v>70</v>
      </c>
      <c r="AU230" s="2">
        <v>10</v>
      </c>
      <c r="AV230" s="2">
        <v>1</v>
      </c>
      <c r="AW230" s="2">
        <v>1</v>
      </c>
      <c r="AZ230" s="2">
        <v>1</v>
      </c>
      <c r="BA230" s="2">
        <v>1</v>
      </c>
      <c r="BB230" s="2">
        <v>1</v>
      </c>
      <c r="BC230" s="2">
        <v>1</v>
      </c>
      <c r="BD230" s="2" t="s">
        <v>30</v>
      </c>
      <c r="BE230" s="2" t="s">
        <v>30</v>
      </c>
      <c r="BF230" s="2" t="s">
        <v>30</v>
      </c>
      <c r="BG230" s="2" t="s">
        <v>30</v>
      </c>
      <c r="BH230" s="2">
        <v>0</v>
      </c>
      <c r="BI230" s="2">
        <v>4</v>
      </c>
      <c r="BJ230" s="2" t="s">
        <v>354</v>
      </c>
      <c r="BM230" s="2">
        <v>0</v>
      </c>
      <c r="BN230" s="2">
        <v>0</v>
      </c>
      <c r="BO230" s="2" t="s">
        <v>30</v>
      </c>
      <c r="BP230" s="2">
        <v>0</v>
      </c>
      <c r="BQ230" s="2">
        <v>1</v>
      </c>
      <c r="BR230" s="2">
        <v>0</v>
      </c>
      <c r="BS230" s="2">
        <v>1</v>
      </c>
      <c r="BT230" s="2">
        <v>1</v>
      </c>
      <c r="BU230" s="2">
        <v>1</v>
      </c>
      <c r="BV230" s="2">
        <v>1</v>
      </c>
      <c r="BW230" s="2">
        <v>1</v>
      </c>
      <c r="BX230" s="2">
        <v>1</v>
      </c>
      <c r="BY230" s="2" t="s">
        <v>30</v>
      </c>
      <c r="BZ230" s="2">
        <v>70</v>
      </c>
      <c r="CA230" s="2">
        <v>10</v>
      </c>
      <c r="CB230" s="2" t="s">
        <v>30</v>
      </c>
      <c r="CE230" s="2">
        <v>0</v>
      </c>
      <c r="CF230" s="2">
        <v>0</v>
      </c>
      <c r="CG230" s="2">
        <v>0</v>
      </c>
      <c r="CM230" s="2">
        <v>0</v>
      </c>
      <c r="CN230" s="2" t="s">
        <v>30</v>
      </c>
      <c r="CO230" s="2">
        <v>0</v>
      </c>
      <c r="CP230" s="2">
        <f t="shared" si="124"/>
        <v>10737.4</v>
      </c>
      <c r="CQ230" s="2">
        <f t="shared" si="125"/>
        <v>194640.67</v>
      </c>
      <c r="CR230" s="2">
        <f t="shared" si="142"/>
        <v>56129.71</v>
      </c>
      <c r="CS230" s="2">
        <f t="shared" si="126"/>
        <v>22275.919999999998</v>
      </c>
      <c r="CT230" s="2">
        <f t="shared" si="127"/>
        <v>4881.8100000000004</v>
      </c>
      <c r="CU230" s="2">
        <f t="shared" si="128"/>
        <v>0</v>
      </c>
      <c r="CV230" s="2">
        <f t="shared" si="129"/>
        <v>24.84</v>
      </c>
      <c r="CW230" s="2">
        <f t="shared" si="130"/>
        <v>0</v>
      </c>
      <c r="CX230" s="2">
        <f t="shared" si="130"/>
        <v>0</v>
      </c>
      <c r="CY230" s="2">
        <f t="shared" si="131"/>
        <v>143.52799999999999</v>
      </c>
      <c r="CZ230" s="2">
        <f t="shared" si="132"/>
        <v>20.504000000000001</v>
      </c>
      <c r="DC230" s="2" t="s">
        <v>30</v>
      </c>
      <c r="DD230" s="2" t="s">
        <v>30</v>
      </c>
      <c r="DE230" s="2" t="s">
        <v>30</v>
      </c>
      <c r="DF230" s="2" t="s">
        <v>30</v>
      </c>
      <c r="DG230" s="2" t="s">
        <v>30</v>
      </c>
      <c r="DH230" s="2" t="s">
        <v>30</v>
      </c>
      <c r="DI230" s="2" t="s">
        <v>30</v>
      </c>
      <c r="DJ230" s="2" t="s">
        <v>30</v>
      </c>
      <c r="DK230" s="2" t="s">
        <v>30</v>
      </c>
      <c r="DL230" s="2" t="s">
        <v>30</v>
      </c>
      <c r="DM230" s="2" t="s">
        <v>30</v>
      </c>
      <c r="DN230" s="2">
        <v>0</v>
      </c>
      <c r="DO230" s="2">
        <v>0</v>
      </c>
      <c r="DP230" s="2">
        <v>1</v>
      </c>
      <c r="DQ230" s="2">
        <v>1</v>
      </c>
      <c r="DU230" s="2">
        <v>1007</v>
      </c>
      <c r="DV230" s="2" t="s">
        <v>68</v>
      </c>
      <c r="DW230" s="2" t="s">
        <v>68</v>
      </c>
      <c r="DX230" s="2">
        <v>100</v>
      </c>
      <c r="DZ230" s="2" t="s">
        <v>30</v>
      </c>
      <c r="EA230" s="2" t="s">
        <v>30</v>
      </c>
      <c r="EB230" s="2" t="s">
        <v>30</v>
      </c>
      <c r="EC230" s="2" t="s">
        <v>30</v>
      </c>
      <c r="EE230" s="2">
        <v>49661954</v>
      </c>
      <c r="EF230" s="2">
        <v>1</v>
      </c>
      <c r="EG230" s="2" t="s">
        <v>180</v>
      </c>
      <c r="EH230" s="2">
        <v>0</v>
      </c>
      <c r="EI230" s="2" t="s">
        <v>30</v>
      </c>
      <c r="EJ230" s="2">
        <v>4</v>
      </c>
      <c r="EK230" s="2">
        <v>0</v>
      </c>
      <c r="EL230" s="2" t="s">
        <v>181</v>
      </c>
      <c r="EM230" s="2" t="s">
        <v>182</v>
      </c>
      <c r="EO230" s="2" t="s">
        <v>30</v>
      </c>
      <c r="EQ230" s="2">
        <v>0</v>
      </c>
      <c r="ER230" s="2">
        <v>255652.19</v>
      </c>
      <c r="ES230" s="2">
        <v>194640.67</v>
      </c>
      <c r="ET230" s="2">
        <v>56129.71</v>
      </c>
      <c r="EU230" s="2">
        <v>22275.919999999998</v>
      </c>
      <c r="EV230" s="2">
        <v>4881.8100000000004</v>
      </c>
      <c r="EW230" s="2">
        <v>24.84</v>
      </c>
      <c r="EX230" s="2">
        <v>0</v>
      </c>
      <c r="EY230" s="2">
        <v>0</v>
      </c>
      <c r="FQ230" s="2">
        <v>0</v>
      </c>
      <c r="FR230" s="2">
        <f t="shared" si="133"/>
        <v>0</v>
      </c>
      <c r="FS230" s="2">
        <v>0</v>
      </c>
      <c r="FX230" s="2">
        <v>70</v>
      </c>
      <c r="FY230" s="2">
        <v>10</v>
      </c>
      <c r="GA230" s="2" t="s">
        <v>30</v>
      </c>
      <c r="GD230" s="2">
        <v>0</v>
      </c>
      <c r="GF230" s="2">
        <v>1179529940</v>
      </c>
      <c r="GG230" s="2">
        <v>2</v>
      </c>
      <c r="GH230" s="2">
        <v>1</v>
      </c>
      <c r="GI230" s="2">
        <v>-2</v>
      </c>
      <c r="GJ230" s="2">
        <v>0</v>
      </c>
      <c r="GK230" s="2">
        <f>ROUND(R230*(R12)/100,2)</f>
        <v>1010.44</v>
      </c>
      <c r="GL230" s="2">
        <f t="shared" si="134"/>
        <v>0</v>
      </c>
      <c r="GM230" s="2">
        <f t="shared" si="143"/>
        <v>11911.87</v>
      </c>
      <c r="GN230" s="2">
        <f t="shared" si="144"/>
        <v>0</v>
      </c>
      <c r="GO230" s="2">
        <f t="shared" si="145"/>
        <v>0</v>
      </c>
      <c r="GP230" s="2">
        <f t="shared" si="146"/>
        <v>11911.87</v>
      </c>
      <c r="GR230" s="2">
        <v>0</v>
      </c>
      <c r="GS230" s="2">
        <v>0</v>
      </c>
      <c r="GT230" s="2">
        <v>0</v>
      </c>
      <c r="GU230" s="2" t="s">
        <v>30</v>
      </c>
      <c r="GV230" s="2">
        <f t="shared" si="135"/>
        <v>0</v>
      </c>
      <c r="GW230" s="2">
        <v>1</v>
      </c>
      <c r="GX230" s="2">
        <f t="shared" si="136"/>
        <v>0</v>
      </c>
      <c r="HA230" s="2">
        <v>0</v>
      </c>
      <c r="HB230" s="2">
        <v>0</v>
      </c>
      <c r="HC230" s="2">
        <f t="shared" si="137"/>
        <v>0</v>
      </c>
      <c r="HE230" s="2" t="s">
        <v>30</v>
      </c>
      <c r="HF230" s="2" t="s">
        <v>30</v>
      </c>
      <c r="HM230" s="2" t="s">
        <v>30</v>
      </c>
      <c r="HN230" s="2" t="s">
        <v>30</v>
      </c>
      <c r="HO230" s="2" t="s">
        <v>30</v>
      </c>
      <c r="HP230" s="2" t="s">
        <v>30</v>
      </c>
      <c r="HQ230" s="2" t="s">
        <v>30</v>
      </c>
      <c r="IK230" s="2">
        <v>0</v>
      </c>
    </row>
    <row r="231" spans="1:245" x14ac:dyDescent="0.25">
      <c r="A231" s="2">
        <v>18</v>
      </c>
      <c r="B231" s="2">
        <v>1</v>
      </c>
      <c r="C231" s="2">
        <v>89</v>
      </c>
      <c r="E231" s="2" t="s">
        <v>38</v>
      </c>
      <c r="F231" s="2" t="s">
        <v>194</v>
      </c>
      <c r="G231" s="2" t="s">
        <v>195</v>
      </c>
      <c r="H231" s="2" t="s">
        <v>62</v>
      </c>
      <c r="I231" s="2">
        <f>I230*J231</f>
        <v>-5.2919999999999998</v>
      </c>
      <c r="J231" s="2">
        <v>-126</v>
      </c>
      <c r="K231" s="2">
        <v>-126</v>
      </c>
      <c r="O231" s="2">
        <f t="shared" si="109"/>
        <v>-8164.23</v>
      </c>
      <c r="P231" s="2">
        <f t="shared" si="110"/>
        <v>-8164.23</v>
      </c>
      <c r="Q231" s="2">
        <f t="shared" si="111"/>
        <v>0</v>
      </c>
      <c r="R231" s="2">
        <f t="shared" si="112"/>
        <v>0</v>
      </c>
      <c r="S231" s="2">
        <f t="shared" si="113"/>
        <v>0</v>
      </c>
      <c r="T231" s="2">
        <f t="shared" si="114"/>
        <v>0</v>
      </c>
      <c r="U231" s="2">
        <f t="shared" si="115"/>
        <v>0</v>
      </c>
      <c r="V231" s="2">
        <f t="shared" si="116"/>
        <v>0</v>
      </c>
      <c r="W231" s="2">
        <f t="shared" si="117"/>
        <v>0</v>
      </c>
      <c r="X231" s="2">
        <f t="shared" si="118"/>
        <v>0</v>
      </c>
      <c r="Y231" s="2">
        <f t="shared" si="118"/>
        <v>0</v>
      </c>
      <c r="AA231" s="2">
        <v>52261502</v>
      </c>
      <c r="AB231" s="2">
        <f t="shared" si="119"/>
        <v>1542.75</v>
      </c>
      <c r="AC231" s="2">
        <f t="shared" si="138"/>
        <v>1542.75</v>
      </c>
      <c r="AD231" s="2">
        <f t="shared" si="139"/>
        <v>0</v>
      </c>
      <c r="AE231" s="2">
        <f t="shared" si="140"/>
        <v>0</v>
      </c>
      <c r="AF231" s="2">
        <f t="shared" si="140"/>
        <v>0</v>
      </c>
      <c r="AG231" s="2">
        <f t="shared" si="121"/>
        <v>0</v>
      </c>
      <c r="AH231" s="2">
        <f t="shared" si="141"/>
        <v>0</v>
      </c>
      <c r="AI231" s="2">
        <f t="shared" si="141"/>
        <v>0</v>
      </c>
      <c r="AJ231" s="2">
        <f t="shared" si="123"/>
        <v>0</v>
      </c>
      <c r="AK231" s="2">
        <v>1542.75</v>
      </c>
      <c r="AL231" s="2">
        <v>1542.75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70</v>
      </c>
      <c r="AU231" s="2">
        <v>10</v>
      </c>
      <c r="AV231" s="2">
        <v>1</v>
      </c>
      <c r="AW231" s="2">
        <v>1</v>
      </c>
      <c r="AZ231" s="2">
        <v>1</v>
      </c>
      <c r="BA231" s="2">
        <v>1</v>
      </c>
      <c r="BB231" s="2">
        <v>1</v>
      </c>
      <c r="BC231" s="2">
        <v>1</v>
      </c>
      <c r="BD231" s="2" t="s">
        <v>30</v>
      </c>
      <c r="BE231" s="2" t="s">
        <v>30</v>
      </c>
      <c r="BF231" s="2" t="s">
        <v>30</v>
      </c>
      <c r="BG231" s="2" t="s">
        <v>30</v>
      </c>
      <c r="BH231" s="2">
        <v>3</v>
      </c>
      <c r="BI231" s="2">
        <v>4</v>
      </c>
      <c r="BJ231" s="2" t="s">
        <v>196</v>
      </c>
      <c r="BM231" s="2">
        <v>0</v>
      </c>
      <c r="BN231" s="2">
        <v>0</v>
      </c>
      <c r="BO231" s="2" t="s">
        <v>30</v>
      </c>
      <c r="BP231" s="2">
        <v>0</v>
      </c>
      <c r="BQ231" s="2">
        <v>1</v>
      </c>
      <c r="BR231" s="2">
        <v>1</v>
      </c>
      <c r="BS231" s="2">
        <v>1</v>
      </c>
      <c r="BT231" s="2">
        <v>1</v>
      </c>
      <c r="BU231" s="2">
        <v>1</v>
      </c>
      <c r="BV231" s="2">
        <v>1</v>
      </c>
      <c r="BW231" s="2">
        <v>1</v>
      </c>
      <c r="BX231" s="2">
        <v>1</v>
      </c>
      <c r="BY231" s="2" t="s">
        <v>30</v>
      </c>
      <c r="BZ231" s="2">
        <v>70</v>
      </c>
      <c r="CA231" s="2">
        <v>10</v>
      </c>
      <c r="CB231" s="2" t="s">
        <v>30</v>
      </c>
      <c r="CE231" s="2">
        <v>0</v>
      </c>
      <c r="CF231" s="2">
        <v>0</v>
      </c>
      <c r="CG231" s="2">
        <v>0</v>
      </c>
      <c r="CM231" s="2">
        <v>0</v>
      </c>
      <c r="CN231" s="2" t="s">
        <v>30</v>
      </c>
      <c r="CO231" s="2">
        <v>0</v>
      </c>
      <c r="CP231" s="2">
        <f t="shared" si="124"/>
        <v>-8164.23</v>
      </c>
      <c r="CQ231" s="2">
        <f t="shared" si="125"/>
        <v>1542.75</v>
      </c>
      <c r="CR231" s="2">
        <f t="shared" si="142"/>
        <v>0</v>
      </c>
      <c r="CS231" s="2">
        <f t="shared" si="126"/>
        <v>0</v>
      </c>
      <c r="CT231" s="2">
        <f t="shared" si="127"/>
        <v>0</v>
      </c>
      <c r="CU231" s="2">
        <f t="shared" si="128"/>
        <v>0</v>
      </c>
      <c r="CV231" s="2">
        <f t="shared" si="129"/>
        <v>0</v>
      </c>
      <c r="CW231" s="2">
        <f t="shared" si="130"/>
        <v>0</v>
      </c>
      <c r="CX231" s="2">
        <f t="shared" si="130"/>
        <v>0</v>
      </c>
      <c r="CY231" s="2">
        <f t="shared" si="131"/>
        <v>0</v>
      </c>
      <c r="CZ231" s="2">
        <f t="shared" si="132"/>
        <v>0</v>
      </c>
      <c r="DC231" s="2" t="s">
        <v>30</v>
      </c>
      <c r="DD231" s="2" t="s">
        <v>30</v>
      </c>
      <c r="DE231" s="2" t="s">
        <v>30</v>
      </c>
      <c r="DF231" s="2" t="s">
        <v>30</v>
      </c>
      <c r="DG231" s="2" t="s">
        <v>30</v>
      </c>
      <c r="DH231" s="2" t="s">
        <v>30</v>
      </c>
      <c r="DI231" s="2" t="s">
        <v>30</v>
      </c>
      <c r="DJ231" s="2" t="s">
        <v>30</v>
      </c>
      <c r="DK231" s="2" t="s">
        <v>30</v>
      </c>
      <c r="DL231" s="2" t="s">
        <v>30</v>
      </c>
      <c r="DM231" s="2" t="s">
        <v>30</v>
      </c>
      <c r="DN231" s="2">
        <v>0</v>
      </c>
      <c r="DO231" s="2">
        <v>0</v>
      </c>
      <c r="DP231" s="2">
        <v>1</v>
      </c>
      <c r="DQ231" s="2">
        <v>1</v>
      </c>
      <c r="DU231" s="2">
        <v>1007</v>
      </c>
      <c r="DV231" s="2" t="s">
        <v>62</v>
      </c>
      <c r="DW231" s="2" t="s">
        <v>62</v>
      </c>
      <c r="DX231" s="2">
        <v>1</v>
      </c>
      <c r="DZ231" s="2" t="s">
        <v>30</v>
      </c>
      <c r="EA231" s="2" t="s">
        <v>30</v>
      </c>
      <c r="EB231" s="2" t="s">
        <v>30</v>
      </c>
      <c r="EC231" s="2" t="s">
        <v>30</v>
      </c>
      <c r="EE231" s="2">
        <v>49661954</v>
      </c>
      <c r="EF231" s="2">
        <v>1</v>
      </c>
      <c r="EG231" s="2" t="s">
        <v>180</v>
      </c>
      <c r="EH231" s="2">
        <v>0</v>
      </c>
      <c r="EI231" s="2" t="s">
        <v>30</v>
      </c>
      <c r="EJ231" s="2">
        <v>4</v>
      </c>
      <c r="EK231" s="2">
        <v>0</v>
      </c>
      <c r="EL231" s="2" t="s">
        <v>181</v>
      </c>
      <c r="EM231" s="2" t="s">
        <v>182</v>
      </c>
      <c r="EO231" s="2" t="s">
        <v>30</v>
      </c>
      <c r="EQ231" s="2">
        <v>32768</v>
      </c>
      <c r="ER231" s="2">
        <v>1542.75</v>
      </c>
      <c r="ES231" s="2">
        <v>1542.75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FQ231" s="2">
        <v>0</v>
      </c>
      <c r="FR231" s="2">
        <f t="shared" si="133"/>
        <v>0</v>
      </c>
      <c r="FS231" s="2">
        <v>0</v>
      </c>
      <c r="FX231" s="2">
        <v>70</v>
      </c>
      <c r="FY231" s="2">
        <v>10</v>
      </c>
      <c r="GA231" s="2" t="s">
        <v>30</v>
      </c>
      <c r="GD231" s="2">
        <v>0</v>
      </c>
      <c r="GF231" s="2">
        <v>-1914292201</v>
      </c>
      <c r="GG231" s="2">
        <v>2</v>
      </c>
      <c r="GH231" s="2">
        <v>1</v>
      </c>
      <c r="GI231" s="2">
        <v>-2</v>
      </c>
      <c r="GJ231" s="2">
        <v>0</v>
      </c>
      <c r="GK231" s="2">
        <f>ROUND(R231*(R12)/100,2)</f>
        <v>0</v>
      </c>
      <c r="GL231" s="2">
        <f t="shared" si="134"/>
        <v>0</v>
      </c>
      <c r="GM231" s="2">
        <f t="shared" si="143"/>
        <v>-8164.23</v>
      </c>
      <c r="GN231" s="2">
        <f t="shared" si="144"/>
        <v>0</v>
      </c>
      <c r="GO231" s="2">
        <f t="shared" si="145"/>
        <v>0</v>
      </c>
      <c r="GP231" s="2">
        <f t="shared" si="146"/>
        <v>-8164.23</v>
      </c>
      <c r="GR231" s="2">
        <v>0</v>
      </c>
      <c r="GS231" s="2">
        <v>0</v>
      </c>
      <c r="GT231" s="2">
        <v>0</v>
      </c>
      <c r="GU231" s="2" t="s">
        <v>30</v>
      </c>
      <c r="GV231" s="2">
        <f t="shared" si="135"/>
        <v>0</v>
      </c>
      <c r="GW231" s="2">
        <v>1</v>
      </c>
      <c r="GX231" s="2">
        <f t="shared" si="136"/>
        <v>0</v>
      </c>
      <c r="HA231" s="2">
        <v>0</v>
      </c>
      <c r="HB231" s="2">
        <v>0</v>
      </c>
      <c r="HC231" s="2">
        <f t="shared" si="137"/>
        <v>0</v>
      </c>
      <c r="HE231" s="2" t="s">
        <v>30</v>
      </c>
      <c r="HF231" s="2" t="s">
        <v>30</v>
      </c>
      <c r="HM231" s="2" t="s">
        <v>30</v>
      </c>
      <c r="HN231" s="2" t="s">
        <v>30</v>
      </c>
      <c r="HO231" s="2" t="s">
        <v>30</v>
      </c>
      <c r="HP231" s="2" t="s">
        <v>30</v>
      </c>
      <c r="HQ231" s="2" t="s">
        <v>30</v>
      </c>
      <c r="IK231" s="2">
        <v>0</v>
      </c>
    </row>
    <row r="232" spans="1:245" x14ac:dyDescent="0.25">
      <c r="A232" s="2">
        <v>18</v>
      </c>
      <c r="B232" s="2">
        <v>1</v>
      </c>
      <c r="C232" s="2">
        <v>88</v>
      </c>
      <c r="E232" s="2" t="s">
        <v>39</v>
      </c>
      <c r="F232" s="2" t="s">
        <v>107</v>
      </c>
      <c r="G232" s="2" t="s">
        <v>108</v>
      </c>
      <c r="H232" s="2" t="s">
        <v>62</v>
      </c>
      <c r="I232" s="2">
        <f>I230*J232</f>
        <v>5.2919999999999998</v>
      </c>
      <c r="J232" s="2">
        <v>126</v>
      </c>
      <c r="K232" s="2">
        <v>126</v>
      </c>
      <c r="O232" s="2">
        <f t="shared" si="109"/>
        <v>6522.39</v>
      </c>
      <c r="P232" s="2">
        <f t="shared" si="110"/>
        <v>6522.39</v>
      </c>
      <c r="Q232" s="2">
        <f t="shared" si="111"/>
        <v>0</v>
      </c>
      <c r="R232" s="2">
        <f t="shared" si="112"/>
        <v>0</v>
      </c>
      <c r="S232" s="2">
        <f t="shared" si="113"/>
        <v>0</v>
      </c>
      <c r="T232" s="2">
        <f t="shared" si="114"/>
        <v>0</v>
      </c>
      <c r="U232" s="2">
        <f t="shared" si="115"/>
        <v>0</v>
      </c>
      <c r="V232" s="2">
        <f t="shared" si="116"/>
        <v>0</v>
      </c>
      <c r="W232" s="2">
        <f t="shared" si="117"/>
        <v>0</v>
      </c>
      <c r="X232" s="2">
        <f t="shared" si="118"/>
        <v>0</v>
      </c>
      <c r="Y232" s="2">
        <f t="shared" si="118"/>
        <v>0</v>
      </c>
      <c r="AA232" s="2">
        <v>52261502</v>
      </c>
      <c r="AB232" s="2">
        <f t="shared" si="119"/>
        <v>1232.5</v>
      </c>
      <c r="AC232" s="2">
        <f t="shared" si="138"/>
        <v>1232.5</v>
      </c>
      <c r="AD232" s="2">
        <f t="shared" si="139"/>
        <v>0</v>
      </c>
      <c r="AE232" s="2">
        <f t="shared" si="140"/>
        <v>0</v>
      </c>
      <c r="AF232" s="2">
        <f t="shared" si="140"/>
        <v>0</v>
      </c>
      <c r="AG232" s="2">
        <f t="shared" si="121"/>
        <v>0</v>
      </c>
      <c r="AH232" s="2">
        <f t="shared" si="141"/>
        <v>0</v>
      </c>
      <c r="AI232" s="2">
        <f t="shared" si="141"/>
        <v>0</v>
      </c>
      <c r="AJ232" s="2">
        <f t="shared" si="123"/>
        <v>0</v>
      </c>
      <c r="AK232" s="2">
        <v>1232.5</v>
      </c>
      <c r="AL232" s="2">
        <v>1232.5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70</v>
      </c>
      <c r="AU232" s="2">
        <v>10</v>
      </c>
      <c r="AV232" s="2">
        <v>1</v>
      </c>
      <c r="AW232" s="2">
        <v>1</v>
      </c>
      <c r="AZ232" s="2">
        <v>1</v>
      </c>
      <c r="BA232" s="2">
        <v>1</v>
      </c>
      <c r="BB232" s="2">
        <v>1</v>
      </c>
      <c r="BC232" s="2">
        <v>1</v>
      </c>
      <c r="BD232" s="2" t="s">
        <v>30</v>
      </c>
      <c r="BE232" s="2" t="s">
        <v>30</v>
      </c>
      <c r="BF232" s="2" t="s">
        <v>30</v>
      </c>
      <c r="BG232" s="2" t="s">
        <v>30</v>
      </c>
      <c r="BH232" s="2">
        <v>3</v>
      </c>
      <c r="BI232" s="2">
        <v>4</v>
      </c>
      <c r="BJ232" s="2" t="s">
        <v>197</v>
      </c>
      <c r="BM232" s="2">
        <v>0</v>
      </c>
      <c r="BN232" s="2">
        <v>0</v>
      </c>
      <c r="BO232" s="2" t="s">
        <v>30</v>
      </c>
      <c r="BP232" s="2">
        <v>0</v>
      </c>
      <c r="BQ232" s="2">
        <v>1</v>
      </c>
      <c r="BR232" s="2">
        <v>0</v>
      </c>
      <c r="BS232" s="2">
        <v>1</v>
      </c>
      <c r="BT232" s="2">
        <v>1</v>
      </c>
      <c r="BU232" s="2">
        <v>1</v>
      </c>
      <c r="BV232" s="2">
        <v>1</v>
      </c>
      <c r="BW232" s="2">
        <v>1</v>
      </c>
      <c r="BX232" s="2">
        <v>1</v>
      </c>
      <c r="BY232" s="2" t="s">
        <v>30</v>
      </c>
      <c r="BZ232" s="2">
        <v>70</v>
      </c>
      <c r="CA232" s="2">
        <v>10</v>
      </c>
      <c r="CB232" s="2" t="s">
        <v>30</v>
      </c>
      <c r="CE232" s="2">
        <v>0</v>
      </c>
      <c r="CF232" s="2">
        <v>0</v>
      </c>
      <c r="CG232" s="2">
        <v>0</v>
      </c>
      <c r="CM232" s="2">
        <v>0</v>
      </c>
      <c r="CN232" s="2" t="s">
        <v>30</v>
      </c>
      <c r="CO232" s="2">
        <v>0</v>
      </c>
      <c r="CP232" s="2">
        <f t="shared" si="124"/>
        <v>6522.39</v>
      </c>
      <c r="CQ232" s="2">
        <f t="shared" si="125"/>
        <v>1232.5</v>
      </c>
      <c r="CR232" s="2">
        <f t="shared" si="142"/>
        <v>0</v>
      </c>
      <c r="CS232" s="2">
        <f t="shared" si="126"/>
        <v>0</v>
      </c>
      <c r="CT232" s="2">
        <f t="shared" si="127"/>
        <v>0</v>
      </c>
      <c r="CU232" s="2">
        <f t="shared" si="128"/>
        <v>0</v>
      </c>
      <c r="CV232" s="2">
        <f t="shared" si="129"/>
        <v>0</v>
      </c>
      <c r="CW232" s="2">
        <f t="shared" si="130"/>
        <v>0</v>
      </c>
      <c r="CX232" s="2">
        <f t="shared" si="130"/>
        <v>0</v>
      </c>
      <c r="CY232" s="2">
        <f t="shared" si="131"/>
        <v>0</v>
      </c>
      <c r="CZ232" s="2">
        <f t="shared" si="132"/>
        <v>0</v>
      </c>
      <c r="DC232" s="2" t="s">
        <v>30</v>
      </c>
      <c r="DD232" s="2" t="s">
        <v>30</v>
      </c>
      <c r="DE232" s="2" t="s">
        <v>30</v>
      </c>
      <c r="DF232" s="2" t="s">
        <v>30</v>
      </c>
      <c r="DG232" s="2" t="s">
        <v>30</v>
      </c>
      <c r="DH232" s="2" t="s">
        <v>30</v>
      </c>
      <c r="DI232" s="2" t="s">
        <v>30</v>
      </c>
      <c r="DJ232" s="2" t="s">
        <v>30</v>
      </c>
      <c r="DK232" s="2" t="s">
        <v>30</v>
      </c>
      <c r="DL232" s="2" t="s">
        <v>30</v>
      </c>
      <c r="DM232" s="2" t="s">
        <v>30</v>
      </c>
      <c r="DN232" s="2">
        <v>0</v>
      </c>
      <c r="DO232" s="2">
        <v>0</v>
      </c>
      <c r="DP232" s="2">
        <v>1</v>
      </c>
      <c r="DQ232" s="2">
        <v>1</v>
      </c>
      <c r="DU232" s="2">
        <v>1007</v>
      </c>
      <c r="DV232" s="2" t="s">
        <v>62</v>
      </c>
      <c r="DW232" s="2" t="s">
        <v>62</v>
      </c>
      <c r="DX232" s="2">
        <v>1</v>
      </c>
      <c r="DZ232" s="2" t="s">
        <v>30</v>
      </c>
      <c r="EA232" s="2" t="s">
        <v>30</v>
      </c>
      <c r="EB232" s="2" t="s">
        <v>30</v>
      </c>
      <c r="EC232" s="2" t="s">
        <v>30</v>
      </c>
      <c r="EE232" s="2">
        <v>49661954</v>
      </c>
      <c r="EF232" s="2">
        <v>1</v>
      </c>
      <c r="EG232" s="2" t="s">
        <v>180</v>
      </c>
      <c r="EH232" s="2">
        <v>0</v>
      </c>
      <c r="EI232" s="2" t="s">
        <v>30</v>
      </c>
      <c r="EJ232" s="2">
        <v>4</v>
      </c>
      <c r="EK232" s="2">
        <v>0</v>
      </c>
      <c r="EL232" s="2" t="s">
        <v>181</v>
      </c>
      <c r="EM232" s="2" t="s">
        <v>182</v>
      </c>
      <c r="EO232" s="2" t="s">
        <v>30</v>
      </c>
      <c r="EQ232" s="2">
        <v>0</v>
      </c>
      <c r="ER232" s="2">
        <v>1232.5</v>
      </c>
      <c r="ES232" s="2">
        <v>1232.5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FQ232" s="2">
        <v>0</v>
      </c>
      <c r="FR232" s="2">
        <f t="shared" si="133"/>
        <v>0</v>
      </c>
      <c r="FS232" s="2">
        <v>0</v>
      </c>
      <c r="FX232" s="2">
        <v>70</v>
      </c>
      <c r="FY232" s="2">
        <v>10</v>
      </c>
      <c r="GA232" s="2" t="s">
        <v>30</v>
      </c>
      <c r="GD232" s="2">
        <v>0</v>
      </c>
      <c r="GF232" s="2">
        <v>-579596608</v>
      </c>
      <c r="GG232" s="2">
        <v>2</v>
      </c>
      <c r="GH232" s="2">
        <v>1</v>
      </c>
      <c r="GI232" s="2">
        <v>-2</v>
      </c>
      <c r="GJ232" s="2">
        <v>0</v>
      </c>
      <c r="GK232" s="2">
        <f>ROUND(R232*(R12)/100,2)</f>
        <v>0</v>
      </c>
      <c r="GL232" s="2">
        <f t="shared" si="134"/>
        <v>0</v>
      </c>
      <c r="GM232" s="2">
        <f t="shared" si="143"/>
        <v>6522.39</v>
      </c>
      <c r="GN232" s="2">
        <f t="shared" si="144"/>
        <v>0</v>
      </c>
      <c r="GO232" s="2">
        <f t="shared" si="145"/>
        <v>0</v>
      </c>
      <c r="GP232" s="2">
        <f t="shared" si="146"/>
        <v>6522.39</v>
      </c>
      <c r="GR232" s="2">
        <v>0</v>
      </c>
      <c r="GS232" s="2">
        <v>0</v>
      </c>
      <c r="GT232" s="2">
        <v>0</v>
      </c>
      <c r="GU232" s="2" t="s">
        <v>30</v>
      </c>
      <c r="GV232" s="2">
        <f t="shared" si="135"/>
        <v>0</v>
      </c>
      <c r="GW232" s="2">
        <v>1</v>
      </c>
      <c r="GX232" s="2">
        <f t="shared" si="136"/>
        <v>0</v>
      </c>
      <c r="HA232" s="2">
        <v>0</v>
      </c>
      <c r="HB232" s="2">
        <v>0</v>
      </c>
      <c r="HC232" s="2">
        <f t="shared" si="137"/>
        <v>0</v>
      </c>
      <c r="HE232" s="2" t="s">
        <v>30</v>
      </c>
      <c r="HF232" s="2" t="s">
        <v>30</v>
      </c>
      <c r="HM232" s="2" t="s">
        <v>30</v>
      </c>
      <c r="HN232" s="2" t="s">
        <v>30</v>
      </c>
      <c r="HO232" s="2" t="s">
        <v>30</v>
      </c>
      <c r="HP232" s="2" t="s">
        <v>30</v>
      </c>
      <c r="HQ232" s="2" t="s">
        <v>30</v>
      </c>
      <c r="IK232" s="2">
        <v>0</v>
      </c>
    </row>
    <row r="233" spans="1:245" x14ac:dyDescent="0.25">
      <c r="A233" s="2">
        <v>17</v>
      </c>
      <c r="B233" s="2">
        <v>1</v>
      </c>
      <c r="C233" s="2">
        <f>ROW(SmtRes!A95)</f>
        <v>95</v>
      </c>
      <c r="D233" s="2">
        <f>ROW(EtalonRes!A91)</f>
        <v>91</v>
      </c>
      <c r="E233" s="2" t="s">
        <v>355</v>
      </c>
      <c r="F233" s="2" t="s">
        <v>209</v>
      </c>
      <c r="G233" s="2" t="s">
        <v>356</v>
      </c>
      <c r="H233" s="2" t="s">
        <v>60</v>
      </c>
      <c r="I233" s="2">
        <f>ROUND(42/100,9)</f>
        <v>0.42</v>
      </c>
      <c r="J233" s="2">
        <v>0</v>
      </c>
      <c r="K233" s="2">
        <f>ROUND(42/100,9)</f>
        <v>0.42</v>
      </c>
      <c r="O233" s="2">
        <f t="shared" si="109"/>
        <v>11285.65</v>
      </c>
      <c r="P233" s="2">
        <f t="shared" si="110"/>
        <v>9736.99</v>
      </c>
      <c r="Q233" s="2">
        <f t="shared" si="111"/>
        <v>510.12</v>
      </c>
      <c r="R233" s="2">
        <f t="shared" si="112"/>
        <v>208.03</v>
      </c>
      <c r="S233" s="2">
        <f t="shared" si="113"/>
        <v>1038.54</v>
      </c>
      <c r="T233" s="2">
        <f t="shared" si="114"/>
        <v>0</v>
      </c>
      <c r="U233" s="2">
        <f t="shared" si="115"/>
        <v>4.3259999999999996</v>
      </c>
      <c r="V233" s="2">
        <f t="shared" si="116"/>
        <v>0</v>
      </c>
      <c r="W233" s="2">
        <f t="shared" si="117"/>
        <v>0</v>
      </c>
      <c r="X233" s="2">
        <f t="shared" si="118"/>
        <v>726.98</v>
      </c>
      <c r="Y233" s="2">
        <f t="shared" si="118"/>
        <v>103.85</v>
      </c>
      <c r="AA233" s="2">
        <v>52261502</v>
      </c>
      <c r="AB233" s="2">
        <f t="shared" si="119"/>
        <v>26870.61</v>
      </c>
      <c r="AC233" s="2">
        <f t="shared" si="138"/>
        <v>23183.32</v>
      </c>
      <c r="AD233" s="2">
        <f t="shared" si="139"/>
        <v>1214.57</v>
      </c>
      <c r="AE233" s="2">
        <f t="shared" si="140"/>
        <v>495.3</v>
      </c>
      <c r="AF233" s="2">
        <f t="shared" si="140"/>
        <v>2472.7199999999998</v>
      </c>
      <c r="AG233" s="2">
        <f t="shared" si="121"/>
        <v>0</v>
      </c>
      <c r="AH233" s="2">
        <f t="shared" si="141"/>
        <v>10.3</v>
      </c>
      <c r="AI233" s="2">
        <f t="shared" si="141"/>
        <v>0</v>
      </c>
      <c r="AJ233" s="2">
        <f t="shared" si="123"/>
        <v>0</v>
      </c>
      <c r="AK233" s="2">
        <v>26870.61</v>
      </c>
      <c r="AL233" s="2">
        <v>23183.32</v>
      </c>
      <c r="AM233" s="2">
        <v>1214.57</v>
      </c>
      <c r="AN233" s="2">
        <v>495.3</v>
      </c>
      <c r="AO233" s="2">
        <v>2472.7199999999998</v>
      </c>
      <c r="AP233" s="2">
        <v>0</v>
      </c>
      <c r="AQ233" s="2">
        <v>10.3</v>
      </c>
      <c r="AR233" s="2">
        <v>0</v>
      </c>
      <c r="AS233" s="2">
        <v>0</v>
      </c>
      <c r="AT233" s="2">
        <v>70</v>
      </c>
      <c r="AU233" s="2">
        <v>10</v>
      </c>
      <c r="AV233" s="2">
        <v>1</v>
      </c>
      <c r="AW233" s="2">
        <v>1</v>
      </c>
      <c r="AZ233" s="2">
        <v>1</v>
      </c>
      <c r="BA233" s="2">
        <v>1</v>
      </c>
      <c r="BB233" s="2">
        <v>1</v>
      </c>
      <c r="BC233" s="2">
        <v>1</v>
      </c>
      <c r="BD233" s="2" t="s">
        <v>30</v>
      </c>
      <c r="BE233" s="2" t="s">
        <v>30</v>
      </c>
      <c r="BF233" s="2" t="s">
        <v>30</v>
      </c>
      <c r="BG233" s="2" t="s">
        <v>30</v>
      </c>
      <c r="BH233" s="2">
        <v>0</v>
      </c>
      <c r="BI233" s="2">
        <v>4</v>
      </c>
      <c r="BJ233" s="2" t="s">
        <v>211</v>
      </c>
      <c r="BM233" s="2">
        <v>0</v>
      </c>
      <c r="BN233" s="2">
        <v>0</v>
      </c>
      <c r="BO233" s="2" t="s">
        <v>30</v>
      </c>
      <c r="BP233" s="2">
        <v>0</v>
      </c>
      <c r="BQ233" s="2">
        <v>1</v>
      </c>
      <c r="BR233" s="2">
        <v>0</v>
      </c>
      <c r="BS233" s="2">
        <v>1</v>
      </c>
      <c r="BT233" s="2">
        <v>1</v>
      </c>
      <c r="BU233" s="2">
        <v>1</v>
      </c>
      <c r="BV233" s="2">
        <v>1</v>
      </c>
      <c r="BW233" s="2">
        <v>1</v>
      </c>
      <c r="BX233" s="2">
        <v>1</v>
      </c>
      <c r="BY233" s="2" t="s">
        <v>30</v>
      </c>
      <c r="BZ233" s="2">
        <v>70</v>
      </c>
      <c r="CA233" s="2">
        <v>10</v>
      </c>
      <c r="CB233" s="2" t="s">
        <v>30</v>
      </c>
      <c r="CE233" s="2">
        <v>0</v>
      </c>
      <c r="CF233" s="2">
        <v>0</v>
      </c>
      <c r="CG233" s="2">
        <v>0</v>
      </c>
      <c r="CM233" s="2">
        <v>0</v>
      </c>
      <c r="CN233" s="2" t="s">
        <v>30</v>
      </c>
      <c r="CO233" s="2">
        <v>0</v>
      </c>
      <c r="CP233" s="2">
        <f t="shared" si="124"/>
        <v>11285.65</v>
      </c>
      <c r="CQ233" s="2">
        <f t="shared" si="125"/>
        <v>23183.32</v>
      </c>
      <c r="CR233" s="2">
        <f t="shared" si="142"/>
        <v>1214.57</v>
      </c>
      <c r="CS233" s="2">
        <f t="shared" si="126"/>
        <v>495.3</v>
      </c>
      <c r="CT233" s="2">
        <f t="shared" si="127"/>
        <v>2472.7199999999998</v>
      </c>
      <c r="CU233" s="2">
        <f t="shared" si="128"/>
        <v>0</v>
      </c>
      <c r="CV233" s="2">
        <f t="shared" si="129"/>
        <v>10.3</v>
      </c>
      <c r="CW233" s="2">
        <f t="shared" si="130"/>
        <v>0</v>
      </c>
      <c r="CX233" s="2">
        <f t="shared" si="130"/>
        <v>0</v>
      </c>
      <c r="CY233" s="2">
        <f t="shared" si="131"/>
        <v>726.97799999999995</v>
      </c>
      <c r="CZ233" s="2">
        <f t="shared" si="132"/>
        <v>103.854</v>
      </c>
      <c r="DC233" s="2" t="s">
        <v>30</v>
      </c>
      <c r="DD233" s="2" t="s">
        <v>30</v>
      </c>
      <c r="DE233" s="2" t="s">
        <v>30</v>
      </c>
      <c r="DF233" s="2" t="s">
        <v>30</v>
      </c>
      <c r="DG233" s="2" t="s">
        <v>30</v>
      </c>
      <c r="DH233" s="2" t="s">
        <v>30</v>
      </c>
      <c r="DI233" s="2" t="s">
        <v>30</v>
      </c>
      <c r="DJ233" s="2" t="s">
        <v>30</v>
      </c>
      <c r="DK233" s="2" t="s">
        <v>30</v>
      </c>
      <c r="DL233" s="2" t="s">
        <v>30</v>
      </c>
      <c r="DM233" s="2" t="s">
        <v>30</v>
      </c>
      <c r="DN233" s="2">
        <v>0</v>
      </c>
      <c r="DO233" s="2">
        <v>0</v>
      </c>
      <c r="DP233" s="2">
        <v>1</v>
      </c>
      <c r="DQ233" s="2">
        <v>1</v>
      </c>
      <c r="DU233" s="2">
        <v>1005</v>
      </c>
      <c r="DV233" s="2" t="s">
        <v>60</v>
      </c>
      <c r="DW233" s="2" t="s">
        <v>60</v>
      </c>
      <c r="DX233" s="2">
        <v>100</v>
      </c>
      <c r="DZ233" s="2" t="s">
        <v>30</v>
      </c>
      <c r="EA233" s="2" t="s">
        <v>30</v>
      </c>
      <c r="EB233" s="2" t="s">
        <v>30</v>
      </c>
      <c r="EC233" s="2" t="s">
        <v>30</v>
      </c>
      <c r="EE233" s="2">
        <v>49661954</v>
      </c>
      <c r="EF233" s="2">
        <v>1</v>
      </c>
      <c r="EG233" s="2" t="s">
        <v>180</v>
      </c>
      <c r="EH233" s="2">
        <v>0</v>
      </c>
      <c r="EI233" s="2" t="s">
        <v>30</v>
      </c>
      <c r="EJ233" s="2">
        <v>4</v>
      </c>
      <c r="EK233" s="2">
        <v>0</v>
      </c>
      <c r="EL233" s="2" t="s">
        <v>181</v>
      </c>
      <c r="EM233" s="2" t="s">
        <v>182</v>
      </c>
      <c r="EO233" s="2" t="s">
        <v>30</v>
      </c>
      <c r="EQ233" s="2">
        <v>0</v>
      </c>
      <c r="ER233" s="2">
        <v>26870.61</v>
      </c>
      <c r="ES233" s="2">
        <v>23183.32</v>
      </c>
      <c r="ET233" s="2">
        <v>1214.57</v>
      </c>
      <c r="EU233" s="2">
        <v>495.3</v>
      </c>
      <c r="EV233" s="2">
        <v>2472.7199999999998</v>
      </c>
      <c r="EW233" s="2">
        <v>10.3</v>
      </c>
      <c r="EX233" s="2">
        <v>0</v>
      </c>
      <c r="EY233" s="2">
        <v>0</v>
      </c>
      <c r="FQ233" s="2">
        <v>0</v>
      </c>
      <c r="FR233" s="2">
        <f t="shared" si="133"/>
        <v>0</v>
      </c>
      <c r="FS233" s="2">
        <v>0</v>
      </c>
      <c r="FX233" s="2">
        <v>70</v>
      </c>
      <c r="FY233" s="2">
        <v>10</v>
      </c>
      <c r="GA233" s="2" t="s">
        <v>30</v>
      </c>
      <c r="GD233" s="2">
        <v>0</v>
      </c>
      <c r="GF233" s="2">
        <v>536898593</v>
      </c>
      <c r="GG233" s="2">
        <v>2</v>
      </c>
      <c r="GH233" s="2">
        <v>1</v>
      </c>
      <c r="GI233" s="2">
        <v>-2</v>
      </c>
      <c r="GJ233" s="2">
        <v>0</v>
      </c>
      <c r="GK233" s="2">
        <f>ROUND(R233*(R12)/100,2)</f>
        <v>224.67</v>
      </c>
      <c r="GL233" s="2">
        <f t="shared" si="134"/>
        <v>0</v>
      </c>
      <c r="GM233" s="2">
        <f t="shared" si="143"/>
        <v>12341.15</v>
      </c>
      <c r="GN233" s="2">
        <f t="shared" si="144"/>
        <v>0</v>
      </c>
      <c r="GO233" s="2">
        <f t="shared" si="145"/>
        <v>0</v>
      </c>
      <c r="GP233" s="2">
        <f t="shared" si="146"/>
        <v>12341.15</v>
      </c>
      <c r="GR233" s="2">
        <v>0</v>
      </c>
      <c r="GS233" s="2">
        <v>0</v>
      </c>
      <c r="GT233" s="2">
        <v>0</v>
      </c>
      <c r="GU233" s="2" t="s">
        <v>30</v>
      </c>
      <c r="GV233" s="2">
        <f t="shared" si="135"/>
        <v>0</v>
      </c>
      <c r="GW233" s="2">
        <v>1</v>
      </c>
      <c r="GX233" s="2">
        <f t="shared" si="136"/>
        <v>0</v>
      </c>
      <c r="HA233" s="2">
        <v>0</v>
      </c>
      <c r="HB233" s="2">
        <v>0</v>
      </c>
      <c r="HC233" s="2">
        <f t="shared" si="137"/>
        <v>0</v>
      </c>
      <c r="HE233" s="2" t="s">
        <v>30</v>
      </c>
      <c r="HF233" s="2" t="s">
        <v>30</v>
      </c>
      <c r="HM233" s="2" t="s">
        <v>30</v>
      </c>
      <c r="HN233" s="2" t="s">
        <v>30</v>
      </c>
      <c r="HO233" s="2" t="s">
        <v>30</v>
      </c>
      <c r="HP233" s="2" t="s">
        <v>30</v>
      </c>
      <c r="HQ233" s="2" t="s">
        <v>30</v>
      </c>
      <c r="IK233" s="2">
        <v>0</v>
      </c>
    </row>
    <row r="234" spans="1:245" x14ac:dyDescent="0.25">
      <c r="A234" s="2">
        <v>18</v>
      </c>
      <c r="B234" s="2">
        <v>1</v>
      </c>
      <c r="C234" s="2">
        <v>94</v>
      </c>
      <c r="E234" s="2" t="s">
        <v>40</v>
      </c>
      <c r="F234" s="2" t="s">
        <v>160</v>
      </c>
      <c r="G234" s="2" t="s">
        <v>212</v>
      </c>
      <c r="H234" s="2" t="s">
        <v>63</v>
      </c>
      <c r="I234" s="2">
        <f>I233*J234</f>
        <v>-2.9988000000000001</v>
      </c>
      <c r="J234" s="2">
        <v>-7.14</v>
      </c>
      <c r="K234" s="2">
        <v>-7.14</v>
      </c>
      <c r="O234" s="2">
        <f t="shared" si="109"/>
        <v>-8859.17</v>
      </c>
      <c r="P234" s="2">
        <f t="shared" si="110"/>
        <v>-8859.17</v>
      </c>
      <c r="Q234" s="2">
        <f t="shared" si="111"/>
        <v>0</v>
      </c>
      <c r="R234" s="2">
        <f t="shared" si="112"/>
        <v>0</v>
      </c>
      <c r="S234" s="2">
        <f t="shared" si="113"/>
        <v>0</v>
      </c>
      <c r="T234" s="2">
        <f t="shared" si="114"/>
        <v>0</v>
      </c>
      <c r="U234" s="2">
        <f t="shared" si="115"/>
        <v>0</v>
      </c>
      <c r="V234" s="2">
        <f t="shared" si="116"/>
        <v>0</v>
      </c>
      <c r="W234" s="2">
        <f t="shared" si="117"/>
        <v>0</v>
      </c>
      <c r="X234" s="2">
        <f t="shared" si="118"/>
        <v>0</v>
      </c>
      <c r="Y234" s="2">
        <f t="shared" si="118"/>
        <v>0</v>
      </c>
      <c r="AA234" s="2">
        <v>52261502</v>
      </c>
      <c r="AB234" s="2">
        <f t="shared" si="119"/>
        <v>2954.24</v>
      </c>
      <c r="AC234" s="2">
        <f t="shared" si="138"/>
        <v>2954.24</v>
      </c>
      <c r="AD234" s="2">
        <f t="shared" si="139"/>
        <v>0</v>
      </c>
      <c r="AE234" s="2">
        <f t="shared" si="140"/>
        <v>0</v>
      </c>
      <c r="AF234" s="2">
        <f t="shared" si="140"/>
        <v>0</v>
      </c>
      <c r="AG234" s="2">
        <f t="shared" si="121"/>
        <v>0</v>
      </c>
      <c r="AH234" s="2">
        <f t="shared" si="141"/>
        <v>0</v>
      </c>
      <c r="AI234" s="2">
        <f t="shared" si="141"/>
        <v>0</v>
      </c>
      <c r="AJ234" s="2">
        <f t="shared" si="123"/>
        <v>0</v>
      </c>
      <c r="AK234" s="2">
        <v>2954.24</v>
      </c>
      <c r="AL234" s="2">
        <v>2954.24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70</v>
      </c>
      <c r="AU234" s="2">
        <v>10</v>
      </c>
      <c r="AV234" s="2">
        <v>1</v>
      </c>
      <c r="AW234" s="2">
        <v>1</v>
      </c>
      <c r="AZ234" s="2">
        <v>1</v>
      </c>
      <c r="BA234" s="2">
        <v>1</v>
      </c>
      <c r="BB234" s="2">
        <v>1</v>
      </c>
      <c r="BC234" s="2">
        <v>1</v>
      </c>
      <c r="BD234" s="2" t="s">
        <v>30</v>
      </c>
      <c r="BE234" s="2" t="s">
        <v>30</v>
      </c>
      <c r="BF234" s="2" t="s">
        <v>30</v>
      </c>
      <c r="BG234" s="2" t="s">
        <v>30</v>
      </c>
      <c r="BH234" s="2">
        <v>3</v>
      </c>
      <c r="BI234" s="2">
        <v>4</v>
      </c>
      <c r="BJ234" s="2" t="s">
        <v>213</v>
      </c>
      <c r="BM234" s="2">
        <v>0</v>
      </c>
      <c r="BN234" s="2">
        <v>0</v>
      </c>
      <c r="BO234" s="2" t="s">
        <v>30</v>
      </c>
      <c r="BP234" s="2">
        <v>0</v>
      </c>
      <c r="BQ234" s="2">
        <v>1</v>
      </c>
      <c r="BR234" s="2">
        <v>1</v>
      </c>
      <c r="BS234" s="2">
        <v>1</v>
      </c>
      <c r="BT234" s="2">
        <v>1</v>
      </c>
      <c r="BU234" s="2">
        <v>1</v>
      </c>
      <c r="BV234" s="2">
        <v>1</v>
      </c>
      <c r="BW234" s="2">
        <v>1</v>
      </c>
      <c r="BX234" s="2">
        <v>1</v>
      </c>
      <c r="BY234" s="2" t="s">
        <v>30</v>
      </c>
      <c r="BZ234" s="2">
        <v>70</v>
      </c>
      <c r="CA234" s="2">
        <v>10</v>
      </c>
      <c r="CB234" s="2" t="s">
        <v>30</v>
      </c>
      <c r="CE234" s="2">
        <v>0</v>
      </c>
      <c r="CF234" s="2">
        <v>0</v>
      </c>
      <c r="CG234" s="2">
        <v>0</v>
      </c>
      <c r="CM234" s="2">
        <v>0</v>
      </c>
      <c r="CN234" s="2" t="s">
        <v>30</v>
      </c>
      <c r="CO234" s="2">
        <v>0</v>
      </c>
      <c r="CP234" s="2">
        <f t="shared" si="124"/>
        <v>-8859.17</v>
      </c>
      <c r="CQ234" s="2">
        <f t="shared" si="125"/>
        <v>2954.24</v>
      </c>
      <c r="CR234" s="2">
        <f t="shared" si="142"/>
        <v>0</v>
      </c>
      <c r="CS234" s="2">
        <f t="shared" si="126"/>
        <v>0</v>
      </c>
      <c r="CT234" s="2">
        <f t="shared" si="127"/>
        <v>0</v>
      </c>
      <c r="CU234" s="2">
        <f t="shared" si="128"/>
        <v>0</v>
      </c>
      <c r="CV234" s="2">
        <f t="shared" si="129"/>
        <v>0</v>
      </c>
      <c r="CW234" s="2">
        <f t="shared" si="130"/>
        <v>0</v>
      </c>
      <c r="CX234" s="2">
        <f t="shared" si="130"/>
        <v>0</v>
      </c>
      <c r="CY234" s="2">
        <f t="shared" si="131"/>
        <v>0</v>
      </c>
      <c r="CZ234" s="2">
        <f t="shared" si="132"/>
        <v>0</v>
      </c>
      <c r="DC234" s="2" t="s">
        <v>30</v>
      </c>
      <c r="DD234" s="2" t="s">
        <v>30</v>
      </c>
      <c r="DE234" s="2" t="s">
        <v>30</v>
      </c>
      <c r="DF234" s="2" t="s">
        <v>30</v>
      </c>
      <c r="DG234" s="2" t="s">
        <v>30</v>
      </c>
      <c r="DH234" s="2" t="s">
        <v>30</v>
      </c>
      <c r="DI234" s="2" t="s">
        <v>30</v>
      </c>
      <c r="DJ234" s="2" t="s">
        <v>30</v>
      </c>
      <c r="DK234" s="2" t="s">
        <v>30</v>
      </c>
      <c r="DL234" s="2" t="s">
        <v>30</v>
      </c>
      <c r="DM234" s="2" t="s">
        <v>30</v>
      </c>
      <c r="DN234" s="2">
        <v>0</v>
      </c>
      <c r="DO234" s="2">
        <v>0</v>
      </c>
      <c r="DP234" s="2">
        <v>1</v>
      </c>
      <c r="DQ234" s="2">
        <v>1</v>
      </c>
      <c r="DU234" s="2">
        <v>1009</v>
      </c>
      <c r="DV234" s="2" t="s">
        <v>63</v>
      </c>
      <c r="DW234" s="2" t="s">
        <v>63</v>
      </c>
      <c r="DX234" s="2">
        <v>1000</v>
      </c>
      <c r="DZ234" s="2" t="s">
        <v>30</v>
      </c>
      <c r="EA234" s="2" t="s">
        <v>30</v>
      </c>
      <c r="EB234" s="2" t="s">
        <v>30</v>
      </c>
      <c r="EC234" s="2" t="s">
        <v>30</v>
      </c>
      <c r="EE234" s="2">
        <v>49661954</v>
      </c>
      <c r="EF234" s="2">
        <v>1</v>
      </c>
      <c r="EG234" s="2" t="s">
        <v>180</v>
      </c>
      <c r="EH234" s="2">
        <v>0</v>
      </c>
      <c r="EI234" s="2" t="s">
        <v>30</v>
      </c>
      <c r="EJ234" s="2">
        <v>4</v>
      </c>
      <c r="EK234" s="2">
        <v>0</v>
      </c>
      <c r="EL234" s="2" t="s">
        <v>181</v>
      </c>
      <c r="EM234" s="2" t="s">
        <v>182</v>
      </c>
      <c r="EO234" s="2" t="s">
        <v>30</v>
      </c>
      <c r="EQ234" s="2">
        <v>32768</v>
      </c>
      <c r="ER234" s="2">
        <v>2954.24</v>
      </c>
      <c r="ES234" s="2">
        <v>2954.24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FQ234" s="2">
        <v>0</v>
      </c>
      <c r="FR234" s="2">
        <f t="shared" si="133"/>
        <v>0</v>
      </c>
      <c r="FS234" s="2">
        <v>0</v>
      </c>
      <c r="FX234" s="2">
        <v>70</v>
      </c>
      <c r="FY234" s="2">
        <v>10</v>
      </c>
      <c r="GA234" s="2" t="s">
        <v>30</v>
      </c>
      <c r="GD234" s="2">
        <v>0</v>
      </c>
      <c r="GF234" s="2">
        <v>-58237108</v>
      </c>
      <c r="GG234" s="2">
        <v>2</v>
      </c>
      <c r="GH234" s="2">
        <v>1</v>
      </c>
      <c r="GI234" s="2">
        <v>-2</v>
      </c>
      <c r="GJ234" s="2">
        <v>0</v>
      </c>
      <c r="GK234" s="2">
        <f>ROUND(R234*(R12)/100,2)</f>
        <v>0</v>
      </c>
      <c r="GL234" s="2">
        <f t="shared" si="134"/>
        <v>0</v>
      </c>
      <c r="GM234" s="2">
        <f t="shared" si="143"/>
        <v>-8859.17</v>
      </c>
      <c r="GN234" s="2">
        <f t="shared" si="144"/>
        <v>0</v>
      </c>
      <c r="GO234" s="2">
        <f t="shared" si="145"/>
        <v>0</v>
      </c>
      <c r="GP234" s="2">
        <f t="shared" si="146"/>
        <v>-8859.17</v>
      </c>
      <c r="GR234" s="2">
        <v>0</v>
      </c>
      <c r="GS234" s="2">
        <v>0</v>
      </c>
      <c r="GT234" s="2">
        <v>0</v>
      </c>
      <c r="GU234" s="2" t="s">
        <v>30</v>
      </c>
      <c r="GV234" s="2">
        <f t="shared" si="135"/>
        <v>0</v>
      </c>
      <c r="GW234" s="2">
        <v>1</v>
      </c>
      <c r="GX234" s="2">
        <f t="shared" si="136"/>
        <v>0</v>
      </c>
      <c r="HA234" s="2">
        <v>0</v>
      </c>
      <c r="HB234" s="2">
        <v>0</v>
      </c>
      <c r="HC234" s="2">
        <f t="shared" si="137"/>
        <v>0</v>
      </c>
      <c r="HE234" s="2" t="s">
        <v>30</v>
      </c>
      <c r="HF234" s="2" t="s">
        <v>30</v>
      </c>
      <c r="HM234" s="2" t="s">
        <v>30</v>
      </c>
      <c r="HN234" s="2" t="s">
        <v>30</v>
      </c>
      <c r="HO234" s="2" t="s">
        <v>30</v>
      </c>
      <c r="HP234" s="2" t="s">
        <v>30</v>
      </c>
      <c r="HQ234" s="2" t="s">
        <v>30</v>
      </c>
      <c r="IK234" s="2">
        <v>0</v>
      </c>
    </row>
    <row r="235" spans="1:245" x14ac:dyDescent="0.25">
      <c r="A235" s="2">
        <v>18</v>
      </c>
      <c r="B235" s="2">
        <v>1</v>
      </c>
      <c r="C235" s="2">
        <v>95</v>
      </c>
      <c r="E235" s="2" t="s">
        <v>41</v>
      </c>
      <c r="F235" s="2" t="s">
        <v>160</v>
      </c>
      <c r="G235" s="2" t="s">
        <v>161</v>
      </c>
      <c r="H235" s="2" t="s">
        <v>63</v>
      </c>
      <c r="I235" s="2">
        <f>I233*J235</f>
        <v>4.9013999999999998</v>
      </c>
      <c r="J235" s="2">
        <v>11.67</v>
      </c>
      <c r="K235" s="2">
        <v>11.67</v>
      </c>
      <c r="O235" s="2">
        <f t="shared" si="109"/>
        <v>14479.91</v>
      </c>
      <c r="P235" s="2">
        <f t="shared" si="110"/>
        <v>14479.91</v>
      </c>
      <c r="Q235" s="2">
        <f t="shared" si="111"/>
        <v>0</v>
      </c>
      <c r="R235" s="2">
        <f t="shared" si="112"/>
        <v>0</v>
      </c>
      <c r="S235" s="2">
        <f t="shared" si="113"/>
        <v>0</v>
      </c>
      <c r="T235" s="2">
        <f t="shared" si="114"/>
        <v>0</v>
      </c>
      <c r="U235" s="2">
        <f t="shared" si="115"/>
        <v>0</v>
      </c>
      <c r="V235" s="2">
        <f t="shared" si="116"/>
        <v>0</v>
      </c>
      <c r="W235" s="2">
        <f t="shared" si="117"/>
        <v>0</v>
      </c>
      <c r="X235" s="2">
        <f t="shared" si="118"/>
        <v>0</v>
      </c>
      <c r="Y235" s="2">
        <f t="shared" si="118"/>
        <v>0</v>
      </c>
      <c r="AA235" s="2">
        <v>52261502</v>
      </c>
      <c r="AB235" s="2">
        <f t="shared" si="119"/>
        <v>2954.24</v>
      </c>
      <c r="AC235" s="2">
        <f t="shared" si="138"/>
        <v>2954.24</v>
      </c>
      <c r="AD235" s="2">
        <f t="shared" si="139"/>
        <v>0</v>
      </c>
      <c r="AE235" s="2">
        <f t="shared" si="140"/>
        <v>0</v>
      </c>
      <c r="AF235" s="2">
        <f t="shared" si="140"/>
        <v>0</v>
      </c>
      <c r="AG235" s="2">
        <f t="shared" si="121"/>
        <v>0</v>
      </c>
      <c r="AH235" s="2">
        <f t="shared" si="141"/>
        <v>0</v>
      </c>
      <c r="AI235" s="2">
        <f t="shared" si="141"/>
        <v>0</v>
      </c>
      <c r="AJ235" s="2">
        <f t="shared" si="123"/>
        <v>0</v>
      </c>
      <c r="AK235" s="2">
        <v>2954.24</v>
      </c>
      <c r="AL235" s="2">
        <v>2954.24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70</v>
      </c>
      <c r="AU235" s="2">
        <v>10</v>
      </c>
      <c r="AV235" s="2">
        <v>1</v>
      </c>
      <c r="AW235" s="2">
        <v>1</v>
      </c>
      <c r="AZ235" s="2">
        <v>1</v>
      </c>
      <c r="BA235" s="2">
        <v>1</v>
      </c>
      <c r="BB235" s="2">
        <v>1</v>
      </c>
      <c r="BC235" s="2">
        <v>1</v>
      </c>
      <c r="BD235" s="2" t="s">
        <v>30</v>
      </c>
      <c r="BE235" s="2" t="s">
        <v>30</v>
      </c>
      <c r="BF235" s="2" t="s">
        <v>30</v>
      </c>
      <c r="BG235" s="2" t="s">
        <v>30</v>
      </c>
      <c r="BH235" s="2">
        <v>3</v>
      </c>
      <c r="BI235" s="2">
        <v>4</v>
      </c>
      <c r="BJ235" s="2" t="s">
        <v>213</v>
      </c>
      <c r="BM235" s="2">
        <v>0</v>
      </c>
      <c r="BN235" s="2">
        <v>0</v>
      </c>
      <c r="BO235" s="2" t="s">
        <v>30</v>
      </c>
      <c r="BP235" s="2">
        <v>0</v>
      </c>
      <c r="BQ235" s="2">
        <v>1</v>
      </c>
      <c r="BR235" s="2">
        <v>0</v>
      </c>
      <c r="BS235" s="2">
        <v>1</v>
      </c>
      <c r="BT235" s="2">
        <v>1</v>
      </c>
      <c r="BU235" s="2">
        <v>1</v>
      </c>
      <c r="BV235" s="2">
        <v>1</v>
      </c>
      <c r="BW235" s="2">
        <v>1</v>
      </c>
      <c r="BX235" s="2">
        <v>1</v>
      </c>
      <c r="BY235" s="2" t="s">
        <v>30</v>
      </c>
      <c r="BZ235" s="2">
        <v>70</v>
      </c>
      <c r="CA235" s="2">
        <v>10</v>
      </c>
      <c r="CB235" s="2" t="s">
        <v>30</v>
      </c>
      <c r="CE235" s="2">
        <v>0</v>
      </c>
      <c r="CF235" s="2">
        <v>0</v>
      </c>
      <c r="CG235" s="2">
        <v>0</v>
      </c>
      <c r="CM235" s="2">
        <v>0</v>
      </c>
      <c r="CN235" s="2" t="s">
        <v>30</v>
      </c>
      <c r="CO235" s="2">
        <v>0</v>
      </c>
      <c r="CP235" s="2">
        <f t="shared" si="124"/>
        <v>14479.91</v>
      </c>
      <c r="CQ235" s="2">
        <f t="shared" si="125"/>
        <v>2954.24</v>
      </c>
      <c r="CR235" s="2">
        <f t="shared" si="142"/>
        <v>0</v>
      </c>
      <c r="CS235" s="2">
        <f t="shared" si="126"/>
        <v>0</v>
      </c>
      <c r="CT235" s="2">
        <f t="shared" si="127"/>
        <v>0</v>
      </c>
      <c r="CU235" s="2">
        <f t="shared" si="128"/>
        <v>0</v>
      </c>
      <c r="CV235" s="2">
        <f t="shared" si="129"/>
        <v>0</v>
      </c>
      <c r="CW235" s="2">
        <f t="shared" si="130"/>
        <v>0</v>
      </c>
      <c r="CX235" s="2">
        <f t="shared" si="130"/>
        <v>0</v>
      </c>
      <c r="CY235" s="2">
        <f t="shared" si="131"/>
        <v>0</v>
      </c>
      <c r="CZ235" s="2">
        <f t="shared" si="132"/>
        <v>0</v>
      </c>
      <c r="DC235" s="2" t="s">
        <v>30</v>
      </c>
      <c r="DD235" s="2" t="s">
        <v>30</v>
      </c>
      <c r="DE235" s="2" t="s">
        <v>30</v>
      </c>
      <c r="DF235" s="2" t="s">
        <v>30</v>
      </c>
      <c r="DG235" s="2" t="s">
        <v>30</v>
      </c>
      <c r="DH235" s="2" t="s">
        <v>30</v>
      </c>
      <c r="DI235" s="2" t="s">
        <v>30</v>
      </c>
      <c r="DJ235" s="2" t="s">
        <v>30</v>
      </c>
      <c r="DK235" s="2" t="s">
        <v>30</v>
      </c>
      <c r="DL235" s="2" t="s">
        <v>30</v>
      </c>
      <c r="DM235" s="2" t="s">
        <v>30</v>
      </c>
      <c r="DN235" s="2">
        <v>0</v>
      </c>
      <c r="DO235" s="2">
        <v>0</v>
      </c>
      <c r="DP235" s="2">
        <v>1</v>
      </c>
      <c r="DQ235" s="2">
        <v>1</v>
      </c>
      <c r="DU235" s="2">
        <v>1009</v>
      </c>
      <c r="DV235" s="2" t="s">
        <v>63</v>
      </c>
      <c r="DW235" s="2" t="s">
        <v>63</v>
      </c>
      <c r="DX235" s="2">
        <v>1000</v>
      </c>
      <c r="DZ235" s="2" t="s">
        <v>30</v>
      </c>
      <c r="EA235" s="2" t="s">
        <v>30</v>
      </c>
      <c r="EB235" s="2" t="s">
        <v>30</v>
      </c>
      <c r="EC235" s="2" t="s">
        <v>30</v>
      </c>
      <c r="EE235" s="2">
        <v>49661954</v>
      </c>
      <c r="EF235" s="2">
        <v>1</v>
      </c>
      <c r="EG235" s="2" t="s">
        <v>180</v>
      </c>
      <c r="EH235" s="2">
        <v>0</v>
      </c>
      <c r="EI235" s="2" t="s">
        <v>30</v>
      </c>
      <c r="EJ235" s="2">
        <v>4</v>
      </c>
      <c r="EK235" s="2">
        <v>0</v>
      </c>
      <c r="EL235" s="2" t="s">
        <v>181</v>
      </c>
      <c r="EM235" s="2" t="s">
        <v>182</v>
      </c>
      <c r="EO235" s="2" t="s">
        <v>30</v>
      </c>
      <c r="EQ235" s="2">
        <v>0</v>
      </c>
      <c r="ER235" s="2">
        <v>2954.24</v>
      </c>
      <c r="ES235" s="2">
        <v>2954.24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FQ235" s="2">
        <v>0</v>
      </c>
      <c r="FR235" s="2">
        <f t="shared" si="133"/>
        <v>0</v>
      </c>
      <c r="FS235" s="2">
        <v>0</v>
      </c>
      <c r="FX235" s="2">
        <v>70</v>
      </c>
      <c r="FY235" s="2">
        <v>10</v>
      </c>
      <c r="GA235" s="2" t="s">
        <v>30</v>
      </c>
      <c r="GD235" s="2">
        <v>0</v>
      </c>
      <c r="GF235" s="2">
        <v>946953562</v>
      </c>
      <c r="GG235" s="2">
        <v>2</v>
      </c>
      <c r="GH235" s="2">
        <v>1</v>
      </c>
      <c r="GI235" s="2">
        <v>-2</v>
      </c>
      <c r="GJ235" s="2">
        <v>0</v>
      </c>
      <c r="GK235" s="2">
        <f>ROUND(R235*(R12)/100,2)</f>
        <v>0</v>
      </c>
      <c r="GL235" s="2">
        <f t="shared" si="134"/>
        <v>0</v>
      </c>
      <c r="GM235" s="2">
        <f t="shared" si="143"/>
        <v>14479.91</v>
      </c>
      <c r="GN235" s="2">
        <f t="shared" si="144"/>
        <v>0</v>
      </c>
      <c r="GO235" s="2">
        <f t="shared" si="145"/>
        <v>0</v>
      </c>
      <c r="GP235" s="2">
        <f t="shared" si="146"/>
        <v>14479.91</v>
      </c>
      <c r="GR235" s="2">
        <v>0</v>
      </c>
      <c r="GS235" s="2">
        <v>0</v>
      </c>
      <c r="GT235" s="2">
        <v>0</v>
      </c>
      <c r="GU235" s="2" t="s">
        <v>30</v>
      </c>
      <c r="GV235" s="2">
        <f t="shared" si="135"/>
        <v>0</v>
      </c>
      <c r="GW235" s="2">
        <v>1</v>
      </c>
      <c r="GX235" s="2">
        <f t="shared" si="136"/>
        <v>0</v>
      </c>
      <c r="HA235" s="2">
        <v>0</v>
      </c>
      <c r="HB235" s="2">
        <v>0</v>
      </c>
      <c r="HC235" s="2">
        <f t="shared" si="137"/>
        <v>0</v>
      </c>
      <c r="HE235" s="2" t="s">
        <v>30</v>
      </c>
      <c r="HF235" s="2" t="s">
        <v>30</v>
      </c>
      <c r="HM235" s="2" t="s">
        <v>30</v>
      </c>
      <c r="HN235" s="2" t="s">
        <v>30</v>
      </c>
      <c r="HO235" s="2" t="s">
        <v>30</v>
      </c>
      <c r="HP235" s="2" t="s">
        <v>30</v>
      </c>
      <c r="HQ235" s="2" t="s">
        <v>30</v>
      </c>
      <c r="IK235" s="2">
        <v>0</v>
      </c>
    </row>
    <row r="237" spans="1:245" ht="13" x14ac:dyDescent="0.3">
      <c r="A237" s="44">
        <v>51</v>
      </c>
      <c r="B237" s="44">
        <f>B219</f>
        <v>1</v>
      </c>
      <c r="C237" s="44">
        <f>A219</f>
        <v>4</v>
      </c>
      <c r="D237" s="44">
        <f>ROW(A219)</f>
        <v>219</v>
      </c>
      <c r="E237" s="44"/>
      <c r="F237" s="44" t="str">
        <f>IF(F219&lt;&gt;"",F219,"")</f>
        <v>Новый раздел</v>
      </c>
      <c r="G237" s="44" t="str">
        <f>IF(G219&lt;&gt;"",G219,"")</f>
        <v>Устройство дорожно-тропиночной сети с асфальтобетонным покрытием -42 м2</v>
      </c>
      <c r="H237" s="44">
        <v>0</v>
      </c>
      <c r="I237" s="44"/>
      <c r="J237" s="44"/>
      <c r="K237" s="44"/>
      <c r="L237" s="44"/>
      <c r="M237" s="44"/>
      <c r="N237" s="44"/>
      <c r="O237" s="44">
        <f t="shared" ref="O237:T237" si="147">ROUND(AB237,2)</f>
        <v>39655.910000000003</v>
      </c>
      <c r="P237" s="44">
        <f t="shared" si="147"/>
        <v>24254.720000000001</v>
      </c>
      <c r="Q237" s="44">
        <f t="shared" si="147"/>
        <v>13515.02</v>
      </c>
      <c r="R237" s="44">
        <f t="shared" si="147"/>
        <v>6688.16</v>
      </c>
      <c r="S237" s="44">
        <f t="shared" si="147"/>
        <v>1886.17</v>
      </c>
      <c r="T237" s="44">
        <f t="shared" si="147"/>
        <v>0</v>
      </c>
      <c r="U237" s="44">
        <f>AH237</f>
        <v>8.6440304999999995</v>
      </c>
      <c r="V237" s="44">
        <f>AI237</f>
        <v>0</v>
      </c>
      <c r="W237" s="44">
        <f>ROUND(AJ237,2)</f>
        <v>0</v>
      </c>
      <c r="X237" s="44">
        <f>ROUND(AK237,2)</f>
        <v>1320.32</v>
      </c>
      <c r="Y237" s="44">
        <f>ROUND(AL237,2)</f>
        <v>188.61</v>
      </c>
      <c r="Z237" s="44"/>
      <c r="AA237" s="44"/>
      <c r="AB237" s="44">
        <f>ROUND(SUMIF(AA223:AA235,"=52261502",O223:O235),2)</f>
        <v>39655.910000000003</v>
      </c>
      <c r="AC237" s="44">
        <f>ROUND(SUMIF(AA223:AA235,"=52261502",P223:P235),2)</f>
        <v>24254.720000000001</v>
      </c>
      <c r="AD237" s="44">
        <f>ROUND(SUMIF(AA223:AA235,"=52261502",Q223:Q235),2)</f>
        <v>13515.02</v>
      </c>
      <c r="AE237" s="44">
        <f>ROUND(SUMIF(AA223:AA235,"=52261502",R223:R235),2)</f>
        <v>6688.16</v>
      </c>
      <c r="AF237" s="44">
        <f>ROUND(SUMIF(AA223:AA235,"=52261502",S223:S235),2)</f>
        <v>1886.17</v>
      </c>
      <c r="AG237" s="44">
        <f>ROUND(SUMIF(AA223:AA235,"=52261502",T223:T235),2)</f>
        <v>0</v>
      </c>
      <c r="AH237" s="44">
        <f>SUMIF(AA223:AA235,"=52261502",U223:U235)</f>
        <v>8.6440304999999995</v>
      </c>
      <c r="AI237" s="44">
        <f>SUMIF(AA223:AA235,"=52261502",V223:V235)</f>
        <v>0</v>
      </c>
      <c r="AJ237" s="44">
        <f>ROUND(SUMIF(AA223:AA235,"=52261502",W223:W235),2)</f>
        <v>0</v>
      </c>
      <c r="AK237" s="44">
        <f>ROUND(SUMIF(AA223:AA235,"=52261502",X223:X235),2)</f>
        <v>1320.32</v>
      </c>
      <c r="AL237" s="44">
        <f>ROUND(SUMIF(AA223:AA235,"=52261502",Y223:Y235),2)</f>
        <v>188.61</v>
      </c>
      <c r="AM237" s="44"/>
      <c r="AN237" s="44"/>
      <c r="AO237" s="44">
        <f t="shared" ref="AO237:BD237" si="148">ROUND(BX237,2)</f>
        <v>0</v>
      </c>
      <c r="AP237" s="44">
        <f t="shared" si="148"/>
        <v>0</v>
      </c>
      <c r="AQ237" s="44">
        <f t="shared" si="148"/>
        <v>0</v>
      </c>
      <c r="AR237" s="44">
        <f t="shared" si="148"/>
        <v>42958.239999999998</v>
      </c>
      <c r="AS237" s="44">
        <f t="shared" si="148"/>
        <v>0</v>
      </c>
      <c r="AT237" s="44">
        <f t="shared" si="148"/>
        <v>0</v>
      </c>
      <c r="AU237" s="44">
        <f t="shared" si="148"/>
        <v>42958.239999999998</v>
      </c>
      <c r="AV237" s="44">
        <f t="shared" si="148"/>
        <v>24254.720000000001</v>
      </c>
      <c r="AW237" s="44">
        <f t="shared" si="148"/>
        <v>24254.720000000001</v>
      </c>
      <c r="AX237" s="44">
        <f t="shared" si="148"/>
        <v>0</v>
      </c>
      <c r="AY237" s="44">
        <f t="shared" si="148"/>
        <v>24254.720000000001</v>
      </c>
      <c r="AZ237" s="44">
        <f t="shared" si="148"/>
        <v>0</v>
      </c>
      <c r="BA237" s="44">
        <f t="shared" si="148"/>
        <v>0</v>
      </c>
      <c r="BB237" s="44">
        <f t="shared" si="148"/>
        <v>0</v>
      </c>
      <c r="BC237" s="44">
        <f t="shared" si="148"/>
        <v>0</v>
      </c>
      <c r="BD237" s="44">
        <f t="shared" si="148"/>
        <v>0</v>
      </c>
      <c r="BE237" s="44"/>
      <c r="BF237" s="44"/>
      <c r="BG237" s="44"/>
      <c r="BH237" s="44"/>
      <c r="BI237" s="44"/>
      <c r="BJ237" s="44"/>
      <c r="BK237" s="44"/>
      <c r="BL237" s="44"/>
      <c r="BM237" s="44"/>
      <c r="BN237" s="44"/>
      <c r="BO237" s="44"/>
      <c r="BP237" s="44"/>
      <c r="BQ237" s="44"/>
      <c r="BR237" s="44"/>
      <c r="BS237" s="44"/>
      <c r="BT237" s="44"/>
      <c r="BU237" s="44"/>
      <c r="BV237" s="44"/>
      <c r="BW237" s="44"/>
      <c r="BX237" s="44">
        <f>ROUND(SUMIF(AA223:AA235,"=52261502",FQ223:FQ235),2)</f>
        <v>0</v>
      </c>
      <c r="BY237" s="44">
        <f>ROUND(SUMIF(AA223:AA235,"=52261502",FR223:FR235),2)</f>
        <v>0</v>
      </c>
      <c r="BZ237" s="44">
        <f>ROUND(SUMIF(AA223:AA235,"=52261502",GL223:GL235),2)</f>
        <v>0</v>
      </c>
      <c r="CA237" s="44">
        <f>ROUND(SUMIF(AA223:AA235,"=52261502",GM223:GM235),2)</f>
        <v>42958.239999999998</v>
      </c>
      <c r="CB237" s="44">
        <f>ROUND(SUMIF(AA223:AA235,"=52261502",GN223:GN235),2)</f>
        <v>0</v>
      </c>
      <c r="CC237" s="44">
        <f>ROUND(SUMIF(AA223:AA235,"=52261502",GO223:GO235),2)</f>
        <v>0</v>
      </c>
      <c r="CD237" s="44">
        <f>ROUND(SUMIF(AA223:AA235,"=52261502",GP223:GP235),2)</f>
        <v>42958.239999999998</v>
      </c>
      <c r="CE237" s="44">
        <f>AC237-BX237</f>
        <v>24254.720000000001</v>
      </c>
      <c r="CF237" s="44">
        <f>AC237-BY237</f>
        <v>24254.720000000001</v>
      </c>
      <c r="CG237" s="44">
        <f>BX237-BZ237</f>
        <v>0</v>
      </c>
      <c r="CH237" s="44">
        <f>AC237-BX237-BY237+BZ237</f>
        <v>24254.720000000001</v>
      </c>
      <c r="CI237" s="44">
        <f>BY237-BZ237</f>
        <v>0</v>
      </c>
      <c r="CJ237" s="44">
        <f>ROUND(SUMIF(AA223:AA235,"=52261502",GX223:GX235),2)</f>
        <v>0</v>
      </c>
      <c r="CK237" s="44">
        <f>ROUND(SUMIF(AA223:AA235,"=52261502",GY223:GY235),2)</f>
        <v>0</v>
      </c>
      <c r="CL237" s="44">
        <f>ROUND(SUMIF(AA223:AA235,"=52261502",GZ223:GZ235),2)</f>
        <v>0</v>
      </c>
      <c r="CM237" s="44">
        <f>ROUND(SUMIF(AA223:AA235,"=52261502",HD223:HD235),2)</f>
        <v>0</v>
      </c>
      <c r="CN237" s="44"/>
      <c r="CO237" s="44"/>
      <c r="CP237" s="44"/>
      <c r="CQ237" s="44"/>
      <c r="CR237" s="44"/>
      <c r="CS237" s="44"/>
      <c r="CT237" s="44"/>
      <c r="CU237" s="44"/>
      <c r="CV237" s="44"/>
      <c r="CW237" s="44"/>
      <c r="CX237" s="44"/>
      <c r="CY237" s="44"/>
      <c r="CZ237" s="44"/>
      <c r="DA237" s="44"/>
      <c r="DB237" s="44"/>
      <c r="DC237" s="44"/>
      <c r="DD237" s="44"/>
      <c r="DE237" s="44"/>
      <c r="DF237" s="44"/>
      <c r="DG237" s="45"/>
      <c r="DH237" s="45"/>
      <c r="DI237" s="45"/>
      <c r="DJ237" s="45"/>
      <c r="DK237" s="45"/>
      <c r="DL237" s="45"/>
      <c r="DM237" s="45"/>
      <c r="DN237" s="45"/>
      <c r="DO237" s="45"/>
      <c r="DP237" s="45"/>
      <c r="DQ237" s="45"/>
      <c r="DR237" s="45"/>
      <c r="DS237" s="45"/>
      <c r="DT237" s="45"/>
      <c r="DU237" s="45"/>
      <c r="DV237" s="45"/>
      <c r="DW237" s="45"/>
      <c r="DX237" s="45"/>
      <c r="DY237" s="45"/>
      <c r="DZ237" s="45"/>
      <c r="EA237" s="45"/>
      <c r="EB237" s="45"/>
      <c r="EC237" s="45"/>
      <c r="ED237" s="45"/>
      <c r="EE237" s="45"/>
      <c r="EF237" s="45"/>
      <c r="EG237" s="45"/>
      <c r="EH237" s="45"/>
      <c r="EI237" s="45"/>
      <c r="EJ237" s="45"/>
      <c r="EK237" s="45"/>
      <c r="EL237" s="45"/>
      <c r="EM237" s="45"/>
      <c r="EN237" s="45"/>
      <c r="EO237" s="45"/>
      <c r="EP237" s="45"/>
      <c r="EQ237" s="45"/>
      <c r="ER237" s="45"/>
      <c r="ES237" s="45"/>
      <c r="ET237" s="45"/>
      <c r="EU237" s="45"/>
      <c r="EV237" s="45"/>
      <c r="EW237" s="45"/>
      <c r="EX237" s="45"/>
      <c r="EY237" s="45"/>
      <c r="EZ237" s="45"/>
      <c r="FA237" s="45"/>
      <c r="FB237" s="45"/>
      <c r="FC237" s="45"/>
      <c r="FD237" s="45"/>
      <c r="FE237" s="45"/>
      <c r="FF237" s="45"/>
      <c r="FG237" s="45"/>
      <c r="FH237" s="45"/>
      <c r="FI237" s="45"/>
      <c r="FJ237" s="45"/>
      <c r="FK237" s="45"/>
      <c r="FL237" s="45"/>
      <c r="FM237" s="45"/>
      <c r="FN237" s="45"/>
      <c r="FO237" s="45"/>
      <c r="FP237" s="45"/>
      <c r="FQ237" s="45"/>
      <c r="FR237" s="45"/>
      <c r="FS237" s="45"/>
      <c r="FT237" s="45"/>
      <c r="FU237" s="45"/>
      <c r="FV237" s="45"/>
      <c r="FW237" s="45"/>
      <c r="FX237" s="45"/>
      <c r="FY237" s="45"/>
      <c r="FZ237" s="45"/>
      <c r="GA237" s="45"/>
      <c r="GB237" s="45"/>
      <c r="GC237" s="45"/>
      <c r="GD237" s="45"/>
      <c r="GE237" s="45"/>
      <c r="GF237" s="45"/>
      <c r="GG237" s="45"/>
      <c r="GH237" s="45"/>
      <c r="GI237" s="45"/>
      <c r="GJ237" s="45"/>
      <c r="GK237" s="45"/>
      <c r="GL237" s="45"/>
      <c r="GM237" s="45"/>
      <c r="GN237" s="45"/>
      <c r="GO237" s="45"/>
      <c r="GP237" s="45"/>
      <c r="GQ237" s="45"/>
      <c r="GR237" s="45"/>
      <c r="GS237" s="45"/>
      <c r="GT237" s="45"/>
      <c r="GU237" s="45"/>
      <c r="GV237" s="45"/>
      <c r="GW237" s="45"/>
      <c r="GX237" s="45">
        <v>0</v>
      </c>
    </row>
    <row r="239" spans="1:245" ht="13" x14ac:dyDescent="0.3">
      <c r="A239" s="46">
        <v>50</v>
      </c>
      <c r="B239" s="46">
        <v>0</v>
      </c>
      <c r="C239" s="46">
        <v>0</v>
      </c>
      <c r="D239" s="46">
        <v>1</v>
      </c>
      <c r="E239" s="46">
        <v>201</v>
      </c>
      <c r="F239" s="46">
        <f>ROUND(Source!O237,O239)</f>
        <v>39655.910000000003</v>
      </c>
      <c r="G239" s="46" t="s">
        <v>214</v>
      </c>
      <c r="H239" s="46" t="s">
        <v>215</v>
      </c>
      <c r="I239" s="46"/>
      <c r="J239" s="46"/>
      <c r="K239" s="46">
        <v>201</v>
      </c>
      <c r="L239" s="46">
        <v>1</v>
      </c>
      <c r="M239" s="46">
        <v>3</v>
      </c>
      <c r="N239" s="46" t="s">
        <v>30</v>
      </c>
      <c r="O239" s="46">
        <v>2</v>
      </c>
      <c r="P239" s="46"/>
      <c r="Q239" s="46"/>
      <c r="R239" s="46"/>
      <c r="S239" s="46"/>
      <c r="T239" s="46"/>
      <c r="U239" s="46"/>
      <c r="V239" s="46"/>
      <c r="W239" s="46">
        <v>39655.910000000003</v>
      </c>
      <c r="X239" s="46">
        <v>1</v>
      </c>
      <c r="Y239" s="46">
        <v>39655.910000000003</v>
      </c>
      <c r="Z239" s="46"/>
      <c r="AA239" s="46"/>
      <c r="AB239" s="46"/>
    </row>
    <row r="240" spans="1:245" ht="13" x14ac:dyDescent="0.3">
      <c r="A240" s="46">
        <v>50</v>
      </c>
      <c r="B240" s="46">
        <v>0</v>
      </c>
      <c r="C240" s="46">
        <v>0</v>
      </c>
      <c r="D240" s="46">
        <v>1</v>
      </c>
      <c r="E240" s="46">
        <v>202</v>
      </c>
      <c r="F240" s="46">
        <f>ROUND(Source!P237,O240)</f>
        <v>24254.720000000001</v>
      </c>
      <c r="G240" s="46" t="s">
        <v>216</v>
      </c>
      <c r="H240" s="46" t="s">
        <v>217</v>
      </c>
      <c r="I240" s="46"/>
      <c r="J240" s="46"/>
      <c r="K240" s="46">
        <v>202</v>
      </c>
      <c r="L240" s="46">
        <v>2</v>
      </c>
      <c r="M240" s="46">
        <v>3</v>
      </c>
      <c r="N240" s="46" t="s">
        <v>30</v>
      </c>
      <c r="O240" s="46">
        <v>2</v>
      </c>
      <c r="P240" s="46"/>
      <c r="Q240" s="46"/>
      <c r="R240" s="46"/>
      <c r="S240" s="46"/>
      <c r="T240" s="46"/>
      <c r="U240" s="46"/>
      <c r="V240" s="46"/>
      <c r="W240" s="46">
        <v>24254.720000000001</v>
      </c>
      <c r="X240" s="46">
        <v>1</v>
      </c>
      <c r="Y240" s="46">
        <v>24254.720000000001</v>
      </c>
      <c r="Z240" s="46"/>
      <c r="AA240" s="46"/>
      <c r="AB240" s="46"/>
    </row>
    <row r="241" spans="1:28" ht="13" x14ac:dyDescent="0.3">
      <c r="A241" s="46">
        <v>50</v>
      </c>
      <c r="B241" s="46">
        <v>0</v>
      </c>
      <c r="C241" s="46">
        <v>0</v>
      </c>
      <c r="D241" s="46">
        <v>1</v>
      </c>
      <c r="E241" s="46">
        <v>222</v>
      </c>
      <c r="F241" s="46">
        <f>ROUND(Source!AO237,O241)</f>
        <v>0</v>
      </c>
      <c r="G241" s="46" t="s">
        <v>218</v>
      </c>
      <c r="H241" s="46" t="s">
        <v>219</v>
      </c>
      <c r="I241" s="46"/>
      <c r="J241" s="46"/>
      <c r="K241" s="46">
        <v>222</v>
      </c>
      <c r="L241" s="46">
        <v>3</v>
      </c>
      <c r="M241" s="46">
        <v>3</v>
      </c>
      <c r="N241" s="46" t="s">
        <v>30</v>
      </c>
      <c r="O241" s="46">
        <v>2</v>
      </c>
      <c r="P241" s="46"/>
      <c r="Q241" s="46"/>
      <c r="R241" s="46"/>
      <c r="S241" s="46"/>
      <c r="T241" s="46"/>
      <c r="U241" s="46"/>
      <c r="V241" s="46"/>
      <c r="W241" s="46">
        <v>0</v>
      </c>
      <c r="X241" s="46">
        <v>1</v>
      </c>
      <c r="Y241" s="46">
        <v>0</v>
      </c>
      <c r="Z241" s="46"/>
      <c r="AA241" s="46"/>
      <c r="AB241" s="46"/>
    </row>
    <row r="242" spans="1:28" ht="13" x14ac:dyDescent="0.3">
      <c r="A242" s="46">
        <v>50</v>
      </c>
      <c r="B242" s="46">
        <v>0</v>
      </c>
      <c r="C242" s="46">
        <v>0</v>
      </c>
      <c r="D242" s="46">
        <v>1</v>
      </c>
      <c r="E242" s="46">
        <v>225</v>
      </c>
      <c r="F242" s="46">
        <f>ROUND(Source!AV237,O242)</f>
        <v>24254.720000000001</v>
      </c>
      <c r="G242" s="46" t="s">
        <v>220</v>
      </c>
      <c r="H242" s="46" t="s">
        <v>221</v>
      </c>
      <c r="I242" s="46"/>
      <c r="J242" s="46"/>
      <c r="K242" s="46">
        <v>225</v>
      </c>
      <c r="L242" s="46">
        <v>4</v>
      </c>
      <c r="M242" s="46">
        <v>3</v>
      </c>
      <c r="N242" s="46" t="s">
        <v>30</v>
      </c>
      <c r="O242" s="46">
        <v>2</v>
      </c>
      <c r="P242" s="46"/>
      <c r="Q242" s="46"/>
      <c r="R242" s="46"/>
      <c r="S242" s="46"/>
      <c r="T242" s="46"/>
      <c r="U242" s="46"/>
      <c r="V242" s="46"/>
      <c r="W242" s="46">
        <v>24254.720000000001</v>
      </c>
      <c r="X242" s="46">
        <v>1</v>
      </c>
      <c r="Y242" s="46">
        <v>24254.720000000001</v>
      </c>
      <c r="Z242" s="46"/>
      <c r="AA242" s="46"/>
      <c r="AB242" s="46"/>
    </row>
    <row r="243" spans="1:28" ht="13" x14ac:dyDescent="0.3">
      <c r="A243" s="46">
        <v>50</v>
      </c>
      <c r="B243" s="46">
        <v>0</v>
      </c>
      <c r="C243" s="46">
        <v>0</v>
      </c>
      <c r="D243" s="46">
        <v>1</v>
      </c>
      <c r="E243" s="46">
        <v>226</v>
      </c>
      <c r="F243" s="46">
        <f>ROUND(Source!AW237,O243)</f>
        <v>24254.720000000001</v>
      </c>
      <c r="G243" s="46" t="s">
        <v>222</v>
      </c>
      <c r="H243" s="46" t="s">
        <v>223</v>
      </c>
      <c r="I243" s="46"/>
      <c r="J243" s="46"/>
      <c r="K243" s="46">
        <v>226</v>
      </c>
      <c r="L243" s="46">
        <v>5</v>
      </c>
      <c r="M243" s="46">
        <v>3</v>
      </c>
      <c r="N243" s="46" t="s">
        <v>30</v>
      </c>
      <c r="O243" s="46">
        <v>2</v>
      </c>
      <c r="P243" s="46"/>
      <c r="Q243" s="46"/>
      <c r="R243" s="46"/>
      <c r="S243" s="46"/>
      <c r="T243" s="46"/>
      <c r="U243" s="46"/>
      <c r="V243" s="46"/>
      <c r="W243" s="46">
        <v>24254.720000000001</v>
      </c>
      <c r="X243" s="46">
        <v>1</v>
      </c>
      <c r="Y243" s="46">
        <v>24254.720000000001</v>
      </c>
      <c r="Z243" s="46"/>
      <c r="AA243" s="46"/>
      <c r="AB243" s="46"/>
    </row>
    <row r="244" spans="1:28" ht="13" x14ac:dyDescent="0.3">
      <c r="A244" s="46">
        <v>50</v>
      </c>
      <c r="B244" s="46">
        <v>0</v>
      </c>
      <c r="C244" s="46">
        <v>0</v>
      </c>
      <c r="D244" s="46">
        <v>1</v>
      </c>
      <c r="E244" s="46">
        <v>227</v>
      </c>
      <c r="F244" s="46">
        <f>ROUND(Source!AX237,O244)</f>
        <v>0</v>
      </c>
      <c r="G244" s="46" t="s">
        <v>224</v>
      </c>
      <c r="H244" s="46" t="s">
        <v>225</v>
      </c>
      <c r="I244" s="46"/>
      <c r="J244" s="46"/>
      <c r="K244" s="46">
        <v>227</v>
      </c>
      <c r="L244" s="46">
        <v>6</v>
      </c>
      <c r="M244" s="46">
        <v>3</v>
      </c>
      <c r="N244" s="46" t="s">
        <v>30</v>
      </c>
      <c r="O244" s="46">
        <v>2</v>
      </c>
      <c r="P244" s="46"/>
      <c r="Q244" s="46"/>
      <c r="R244" s="46"/>
      <c r="S244" s="46"/>
      <c r="T244" s="46"/>
      <c r="U244" s="46"/>
      <c r="V244" s="46"/>
      <c r="W244" s="46">
        <v>0</v>
      </c>
      <c r="X244" s="46">
        <v>1</v>
      </c>
      <c r="Y244" s="46">
        <v>0</v>
      </c>
      <c r="Z244" s="46"/>
      <c r="AA244" s="46"/>
      <c r="AB244" s="46"/>
    </row>
    <row r="245" spans="1:28" ht="13" x14ac:dyDescent="0.3">
      <c r="A245" s="46">
        <v>50</v>
      </c>
      <c r="B245" s="46">
        <v>0</v>
      </c>
      <c r="C245" s="46">
        <v>0</v>
      </c>
      <c r="D245" s="46">
        <v>1</v>
      </c>
      <c r="E245" s="46">
        <v>228</v>
      </c>
      <c r="F245" s="46">
        <f>ROUND(Source!AY237,O245)</f>
        <v>24254.720000000001</v>
      </c>
      <c r="G245" s="46" t="s">
        <v>226</v>
      </c>
      <c r="H245" s="46" t="s">
        <v>227</v>
      </c>
      <c r="I245" s="46"/>
      <c r="J245" s="46"/>
      <c r="K245" s="46">
        <v>228</v>
      </c>
      <c r="L245" s="46">
        <v>7</v>
      </c>
      <c r="M245" s="46">
        <v>3</v>
      </c>
      <c r="N245" s="46" t="s">
        <v>30</v>
      </c>
      <c r="O245" s="46">
        <v>2</v>
      </c>
      <c r="P245" s="46"/>
      <c r="Q245" s="46"/>
      <c r="R245" s="46"/>
      <c r="S245" s="46"/>
      <c r="T245" s="46"/>
      <c r="U245" s="46"/>
      <c r="V245" s="46"/>
      <c r="W245" s="46">
        <v>24254.720000000001</v>
      </c>
      <c r="X245" s="46">
        <v>1</v>
      </c>
      <c r="Y245" s="46">
        <v>24254.720000000001</v>
      </c>
      <c r="Z245" s="46"/>
      <c r="AA245" s="46"/>
      <c r="AB245" s="46"/>
    </row>
    <row r="246" spans="1:28" ht="13" x14ac:dyDescent="0.3">
      <c r="A246" s="46">
        <v>50</v>
      </c>
      <c r="B246" s="46">
        <v>0</v>
      </c>
      <c r="C246" s="46">
        <v>0</v>
      </c>
      <c r="D246" s="46">
        <v>1</v>
      </c>
      <c r="E246" s="46">
        <v>216</v>
      </c>
      <c r="F246" s="46">
        <f>ROUND(Source!AP237,O246)</f>
        <v>0</v>
      </c>
      <c r="G246" s="46" t="s">
        <v>228</v>
      </c>
      <c r="H246" s="46" t="s">
        <v>229</v>
      </c>
      <c r="I246" s="46"/>
      <c r="J246" s="46"/>
      <c r="K246" s="46">
        <v>216</v>
      </c>
      <c r="L246" s="46">
        <v>8</v>
      </c>
      <c r="M246" s="46">
        <v>3</v>
      </c>
      <c r="N246" s="46" t="s">
        <v>30</v>
      </c>
      <c r="O246" s="46">
        <v>2</v>
      </c>
      <c r="P246" s="46"/>
      <c r="Q246" s="46"/>
      <c r="R246" s="46"/>
      <c r="S246" s="46"/>
      <c r="T246" s="46"/>
      <c r="U246" s="46"/>
      <c r="V246" s="46"/>
      <c r="W246" s="46">
        <v>0</v>
      </c>
      <c r="X246" s="46">
        <v>1</v>
      </c>
      <c r="Y246" s="46">
        <v>0</v>
      </c>
      <c r="Z246" s="46"/>
      <c r="AA246" s="46"/>
      <c r="AB246" s="46"/>
    </row>
    <row r="247" spans="1:28" ht="13" x14ac:dyDescent="0.3">
      <c r="A247" s="46">
        <v>50</v>
      </c>
      <c r="B247" s="46">
        <v>0</v>
      </c>
      <c r="C247" s="46">
        <v>0</v>
      </c>
      <c r="D247" s="46">
        <v>1</v>
      </c>
      <c r="E247" s="46">
        <v>223</v>
      </c>
      <c r="F247" s="46">
        <f>ROUND(Source!AQ237,O247)</f>
        <v>0</v>
      </c>
      <c r="G247" s="46" t="s">
        <v>230</v>
      </c>
      <c r="H247" s="46" t="s">
        <v>231</v>
      </c>
      <c r="I247" s="46"/>
      <c r="J247" s="46"/>
      <c r="K247" s="46">
        <v>223</v>
      </c>
      <c r="L247" s="46">
        <v>9</v>
      </c>
      <c r="M247" s="46">
        <v>3</v>
      </c>
      <c r="N247" s="46" t="s">
        <v>30</v>
      </c>
      <c r="O247" s="46">
        <v>2</v>
      </c>
      <c r="P247" s="46"/>
      <c r="Q247" s="46"/>
      <c r="R247" s="46"/>
      <c r="S247" s="46"/>
      <c r="T247" s="46"/>
      <c r="U247" s="46"/>
      <c r="V247" s="46"/>
      <c r="W247" s="46">
        <v>0</v>
      </c>
      <c r="X247" s="46">
        <v>1</v>
      </c>
      <c r="Y247" s="46">
        <v>0</v>
      </c>
      <c r="Z247" s="46"/>
      <c r="AA247" s="46"/>
      <c r="AB247" s="46"/>
    </row>
    <row r="248" spans="1:28" ht="13" x14ac:dyDescent="0.3">
      <c r="A248" s="46">
        <v>50</v>
      </c>
      <c r="B248" s="46">
        <v>0</v>
      </c>
      <c r="C248" s="46">
        <v>0</v>
      </c>
      <c r="D248" s="46">
        <v>1</v>
      </c>
      <c r="E248" s="46">
        <v>229</v>
      </c>
      <c r="F248" s="46">
        <f>ROUND(Source!AZ237,O248)</f>
        <v>0</v>
      </c>
      <c r="G248" s="46" t="s">
        <v>232</v>
      </c>
      <c r="H248" s="46" t="s">
        <v>233</v>
      </c>
      <c r="I248" s="46"/>
      <c r="J248" s="46"/>
      <c r="K248" s="46">
        <v>229</v>
      </c>
      <c r="L248" s="46">
        <v>10</v>
      </c>
      <c r="M248" s="46">
        <v>3</v>
      </c>
      <c r="N248" s="46" t="s">
        <v>30</v>
      </c>
      <c r="O248" s="46">
        <v>2</v>
      </c>
      <c r="P248" s="46"/>
      <c r="Q248" s="46"/>
      <c r="R248" s="46"/>
      <c r="S248" s="46"/>
      <c r="T248" s="46"/>
      <c r="U248" s="46"/>
      <c r="V248" s="46"/>
      <c r="W248" s="46">
        <v>0</v>
      </c>
      <c r="X248" s="46">
        <v>1</v>
      </c>
      <c r="Y248" s="46">
        <v>0</v>
      </c>
      <c r="Z248" s="46"/>
      <c r="AA248" s="46"/>
      <c r="AB248" s="46"/>
    </row>
    <row r="249" spans="1:28" ht="13" x14ac:dyDescent="0.3">
      <c r="A249" s="46">
        <v>50</v>
      </c>
      <c r="B249" s="46">
        <v>0</v>
      </c>
      <c r="C249" s="46">
        <v>0</v>
      </c>
      <c r="D249" s="46">
        <v>1</v>
      </c>
      <c r="E249" s="46">
        <v>203</v>
      </c>
      <c r="F249" s="46">
        <f>ROUND(Source!Q237,O249)</f>
        <v>13515.02</v>
      </c>
      <c r="G249" s="46" t="s">
        <v>234</v>
      </c>
      <c r="H249" s="46" t="s">
        <v>235</v>
      </c>
      <c r="I249" s="46"/>
      <c r="J249" s="46"/>
      <c r="K249" s="46">
        <v>203</v>
      </c>
      <c r="L249" s="46">
        <v>11</v>
      </c>
      <c r="M249" s="46">
        <v>3</v>
      </c>
      <c r="N249" s="46" t="s">
        <v>30</v>
      </c>
      <c r="O249" s="46">
        <v>2</v>
      </c>
      <c r="P249" s="46"/>
      <c r="Q249" s="46"/>
      <c r="R249" s="46"/>
      <c r="S249" s="46"/>
      <c r="T249" s="46"/>
      <c r="U249" s="46"/>
      <c r="V249" s="46"/>
      <c r="W249" s="46">
        <v>13515.02</v>
      </c>
      <c r="X249" s="46">
        <v>1</v>
      </c>
      <c r="Y249" s="46">
        <v>13515.02</v>
      </c>
      <c r="Z249" s="46"/>
      <c r="AA249" s="46"/>
      <c r="AB249" s="46"/>
    </row>
    <row r="250" spans="1:28" ht="13" x14ac:dyDescent="0.3">
      <c r="A250" s="46">
        <v>50</v>
      </c>
      <c r="B250" s="46">
        <v>0</v>
      </c>
      <c r="C250" s="46">
        <v>0</v>
      </c>
      <c r="D250" s="46">
        <v>1</v>
      </c>
      <c r="E250" s="46">
        <v>231</v>
      </c>
      <c r="F250" s="46">
        <f>ROUND(Source!BB237,O250)</f>
        <v>0</v>
      </c>
      <c r="G250" s="46" t="s">
        <v>236</v>
      </c>
      <c r="H250" s="46" t="s">
        <v>237</v>
      </c>
      <c r="I250" s="46"/>
      <c r="J250" s="46"/>
      <c r="K250" s="46">
        <v>231</v>
      </c>
      <c r="L250" s="46">
        <v>12</v>
      </c>
      <c r="M250" s="46">
        <v>3</v>
      </c>
      <c r="N250" s="46" t="s">
        <v>30</v>
      </c>
      <c r="O250" s="46">
        <v>2</v>
      </c>
      <c r="P250" s="46"/>
      <c r="Q250" s="46"/>
      <c r="R250" s="46"/>
      <c r="S250" s="46"/>
      <c r="T250" s="46"/>
      <c r="U250" s="46"/>
      <c r="V250" s="46"/>
      <c r="W250" s="46">
        <v>0</v>
      </c>
      <c r="X250" s="46">
        <v>1</v>
      </c>
      <c r="Y250" s="46">
        <v>0</v>
      </c>
      <c r="Z250" s="46"/>
      <c r="AA250" s="46"/>
      <c r="AB250" s="46"/>
    </row>
    <row r="251" spans="1:28" ht="13" x14ac:dyDescent="0.3">
      <c r="A251" s="46">
        <v>50</v>
      </c>
      <c r="B251" s="46">
        <v>0</v>
      </c>
      <c r="C251" s="46">
        <v>0</v>
      </c>
      <c r="D251" s="46">
        <v>1</v>
      </c>
      <c r="E251" s="46">
        <v>204</v>
      </c>
      <c r="F251" s="46">
        <f>ROUND(Source!R237,O251)</f>
        <v>6688.16</v>
      </c>
      <c r="G251" s="46" t="s">
        <v>238</v>
      </c>
      <c r="H251" s="46" t="s">
        <v>239</v>
      </c>
      <c r="I251" s="46"/>
      <c r="J251" s="46"/>
      <c r="K251" s="46">
        <v>204</v>
      </c>
      <c r="L251" s="46">
        <v>13</v>
      </c>
      <c r="M251" s="46">
        <v>3</v>
      </c>
      <c r="N251" s="46" t="s">
        <v>30</v>
      </c>
      <c r="O251" s="46">
        <v>2</v>
      </c>
      <c r="P251" s="46"/>
      <c r="Q251" s="46"/>
      <c r="R251" s="46"/>
      <c r="S251" s="46"/>
      <c r="T251" s="46"/>
      <c r="U251" s="46"/>
      <c r="V251" s="46"/>
      <c r="W251" s="46">
        <v>6688.16</v>
      </c>
      <c r="X251" s="46">
        <v>1</v>
      </c>
      <c r="Y251" s="46">
        <v>6688.16</v>
      </c>
      <c r="Z251" s="46"/>
      <c r="AA251" s="46"/>
      <c r="AB251" s="46"/>
    </row>
    <row r="252" spans="1:28" ht="13" x14ac:dyDescent="0.3">
      <c r="A252" s="46">
        <v>50</v>
      </c>
      <c r="B252" s="46">
        <v>0</v>
      </c>
      <c r="C252" s="46">
        <v>0</v>
      </c>
      <c r="D252" s="46">
        <v>1</v>
      </c>
      <c r="E252" s="46">
        <v>205</v>
      </c>
      <c r="F252" s="46">
        <f>ROUND(Source!S237,O252)</f>
        <v>1886.17</v>
      </c>
      <c r="G252" s="46" t="s">
        <v>240</v>
      </c>
      <c r="H252" s="46" t="s">
        <v>241</v>
      </c>
      <c r="I252" s="46"/>
      <c r="J252" s="46"/>
      <c r="K252" s="46">
        <v>205</v>
      </c>
      <c r="L252" s="46">
        <v>14</v>
      </c>
      <c r="M252" s="46">
        <v>3</v>
      </c>
      <c r="N252" s="46" t="s">
        <v>30</v>
      </c>
      <c r="O252" s="46">
        <v>2</v>
      </c>
      <c r="P252" s="46"/>
      <c r="Q252" s="46"/>
      <c r="R252" s="46"/>
      <c r="S252" s="46"/>
      <c r="T252" s="46"/>
      <c r="U252" s="46"/>
      <c r="V252" s="46"/>
      <c r="W252" s="46">
        <v>1886.17</v>
      </c>
      <c r="X252" s="46">
        <v>1</v>
      </c>
      <c r="Y252" s="46">
        <v>1886.17</v>
      </c>
      <c r="Z252" s="46"/>
      <c r="AA252" s="46"/>
      <c r="AB252" s="46"/>
    </row>
    <row r="253" spans="1:28" ht="13" x14ac:dyDescent="0.3">
      <c r="A253" s="46">
        <v>50</v>
      </c>
      <c r="B253" s="46">
        <v>0</v>
      </c>
      <c r="C253" s="46">
        <v>0</v>
      </c>
      <c r="D253" s="46">
        <v>1</v>
      </c>
      <c r="E253" s="46">
        <v>232</v>
      </c>
      <c r="F253" s="46">
        <f>ROUND(Source!BC237,O253)</f>
        <v>0</v>
      </c>
      <c r="G253" s="46" t="s">
        <v>242</v>
      </c>
      <c r="H253" s="46" t="s">
        <v>243</v>
      </c>
      <c r="I253" s="46"/>
      <c r="J253" s="46"/>
      <c r="K253" s="46">
        <v>232</v>
      </c>
      <c r="L253" s="46">
        <v>15</v>
      </c>
      <c r="M253" s="46">
        <v>3</v>
      </c>
      <c r="N253" s="46" t="s">
        <v>30</v>
      </c>
      <c r="O253" s="46">
        <v>2</v>
      </c>
      <c r="P253" s="46"/>
      <c r="Q253" s="46"/>
      <c r="R253" s="46"/>
      <c r="S253" s="46"/>
      <c r="T253" s="46"/>
      <c r="U253" s="46"/>
      <c r="V253" s="46"/>
      <c r="W253" s="46">
        <v>0</v>
      </c>
      <c r="X253" s="46">
        <v>1</v>
      </c>
      <c r="Y253" s="46">
        <v>0</v>
      </c>
      <c r="Z253" s="46"/>
      <c r="AA253" s="46"/>
      <c r="AB253" s="46"/>
    </row>
    <row r="254" spans="1:28" ht="13" x14ac:dyDescent="0.3">
      <c r="A254" s="46">
        <v>50</v>
      </c>
      <c r="B254" s="46">
        <v>0</v>
      </c>
      <c r="C254" s="46">
        <v>0</v>
      </c>
      <c r="D254" s="46">
        <v>1</v>
      </c>
      <c r="E254" s="46">
        <v>214</v>
      </c>
      <c r="F254" s="46">
        <f>ROUND(Source!AS237,O254)</f>
        <v>0</v>
      </c>
      <c r="G254" s="46" t="s">
        <v>244</v>
      </c>
      <c r="H254" s="46" t="s">
        <v>245</v>
      </c>
      <c r="I254" s="46"/>
      <c r="J254" s="46"/>
      <c r="K254" s="46">
        <v>214</v>
      </c>
      <c r="L254" s="46">
        <v>16</v>
      </c>
      <c r="M254" s="46">
        <v>3</v>
      </c>
      <c r="N254" s="46" t="s">
        <v>30</v>
      </c>
      <c r="O254" s="46">
        <v>2</v>
      </c>
      <c r="P254" s="46"/>
      <c r="Q254" s="46"/>
      <c r="R254" s="46"/>
      <c r="S254" s="46"/>
      <c r="T254" s="46"/>
      <c r="U254" s="46"/>
      <c r="V254" s="46"/>
      <c r="W254" s="46">
        <v>0</v>
      </c>
      <c r="X254" s="46">
        <v>1</v>
      </c>
      <c r="Y254" s="46">
        <v>0</v>
      </c>
      <c r="Z254" s="46"/>
      <c r="AA254" s="46"/>
      <c r="AB254" s="46"/>
    </row>
    <row r="255" spans="1:28" ht="13" x14ac:dyDescent="0.3">
      <c r="A255" s="46">
        <v>50</v>
      </c>
      <c r="B255" s="46">
        <v>0</v>
      </c>
      <c r="C255" s="46">
        <v>0</v>
      </c>
      <c r="D255" s="46">
        <v>1</v>
      </c>
      <c r="E255" s="46">
        <v>215</v>
      </c>
      <c r="F255" s="46">
        <f>ROUND(Source!AT237,O255)</f>
        <v>0</v>
      </c>
      <c r="G255" s="46" t="s">
        <v>246</v>
      </c>
      <c r="H255" s="46" t="s">
        <v>247</v>
      </c>
      <c r="I255" s="46"/>
      <c r="J255" s="46"/>
      <c r="K255" s="46">
        <v>215</v>
      </c>
      <c r="L255" s="46">
        <v>17</v>
      </c>
      <c r="M255" s="46">
        <v>3</v>
      </c>
      <c r="N255" s="46" t="s">
        <v>30</v>
      </c>
      <c r="O255" s="46">
        <v>2</v>
      </c>
      <c r="P255" s="46"/>
      <c r="Q255" s="46"/>
      <c r="R255" s="46"/>
      <c r="S255" s="46"/>
      <c r="T255" s="46"/>
      <c r="U255" s="46"/>
      <c r="V255" s="46"/>
      <c r="W255" s="46">
        <v>0</v>
      </c>
      <c r="X255" s="46">
        <v>1</v>
      </c>
      <c r="Y255" s="46">
        <v>0</v>
      </c>
      <c r="Z255" s="46"/>
      <c r="AA255" s="46"/>
      <c r="AB255" s="46"/>
    </row>
    <row r="256" spans="1:28" ht="13" x14ac:dyDescent="0.3">
      <c r="A256" s="46">
        <v>50</v>
      </c>
      <c r="B256" s="46">
        <v>0</v>
      </c>
      <c r="C256" s="46">
        <v>0</v>
      </c>
      <c r="D256" s="46">
        <v>1</v>
      </c>
      <c r="E256" s="46">
        <v>217</v>
      </c>
      <c r="F256" s="46">
        <f>ROUND(Source!AU237,O256)</f>
        <v>42958.239999999998</v>
      </c>
      <c r="G256" s="46" t="s">
        <v>248</v>
      </c>
      <c r="H256" s="46" t="s">
        <v>249</v>
      </c>
      <c r="I256" s="46"/>
      <c r="J256" s="46"/>
      <c r="K256" s="46">
        <v>217</v>
      </c>
      <c r="L256" s="46">
        <v>18</v>
      </c>
      <c r="M256" s="46">
        <v>3</v>
      </c>
      <c r="N256" s="46" t="s">
        <v>30</v>
      </c>
      <c r="O256" s="46">
        <v>2</v>
      </c>
      <c r="P256" s="46"/>
      <c r="Q256" s="46"/>
      <c r="R256" s="46"/>
      <c r="S256" s="46"/>
      <c r="T256" s="46"/>
      <c r="U256" s="46"/>
      <c r="V256" s="46"/>
      <c r="W256" s="46">
        <v>42958.239999999998</v>
      </c>
      <c r="X256" s="46">
        <v>1</v>
      </c>
      <c r="Y256" s="46">
        <v>42958.239999999998</v>
      </c>
      <c r="Z256" s="46"/>
      <c r="AA256" s="46"/>
      <c r="AB256" s="46"/>
    </row>
    <row r="257" spans="1:206" ht="13" x14ac:dyDescent="0.3">
      <c r="A257" s="46">
        <v>50</v>
      </c>
      <c r="B257" s="46">
        <v>0</v>
      </c>
      <c r="C257" s="46">
        <v>0</v>
      </c>
      <c r="D257" s="46">
        <v>1</v>
      </c>
      <c r="E257" s="46">
        <v>230</v>
      </c>
      <c r="F257" s="46">
        <f>ROUND(Source!BA237,O257)</f>
        <v>0</v>
      </c>
      <c r="G257" s="46" t="s">
        <v>250</v>
      </c>
      <c r="H257" s="46" t="s">
        <v>251</v>
      </c>
      <c r="I257" s="46"/>
      <c r="J257" s="46"/>
      <c r="K257" s="46">
        <v>230</v>
      </c>
      <c r="L257" s="46">
        <v>19</v>
      </c>
      <c r="M257" s="46">
        <v>3</v>
      </c>
      <c r="N257" s="46" t="s">
        <v>30</v>
      </c>
      <c r="O257" s="46">
        <v>2</v>
      </c>
      <c r="P257" s="46"/>
      <c r="Q257" s="46"/>
      <c r="R257" s="46"/>
      <c r="S257" s="46"/>
      <c r="T257" s="46"/>
      <c r="U257" s="46"/>
      <c r="V257" s="46"/>
      <c r="W257" s="46">
        <v>0</v>
      </c>
      <c r="X257" s="46">
        <v>1</v>
      </c>
      <c r="Y257" s="46">
        <v>0</v>
      </c>
      <c r="Z257" s="46"/>
      <c r="AA257" s="46"/>
      <c r="AB257" s="46"/>
    </row>
    <row r="258" spans="1:206" ht="13" x14ac:dyDescent="0.3">
      <c r="A258" s="46">
        <v>50</v>
      </c>
      <c r="B258" s="46">
        <v>0</v>
      </c>
      <c r="C258" s="46">
        <v>0</v>
      </c>
      <c r="D258" s="46">
        <v>1</v>
      </c>
      <c r="E258" s="46">
        <v>206</v>
      </c>
      <c r="F258" s="46">
        <f>ROUND(Source!T237,O258)</f>
        <v>0</v>
      </c>
      <c r="G258" s="46" t="s">
        <v>252</v>
      </c>
      <c r="H258" s="46" t="s">
        <v>253</v>
      </c>
      <c r="I258" s="46"/>
      <c r="J258" s="46"/>
      <c r="K258" s="46">
        <v>206</v>
      </c>
      <c r="L258" s="46">
        <v>20</v>
      </c>
      <c r="M258" s="46">
        <v>3</v>
      </c>
      <c r="N258" s="46" t="s">
        <v>30</v>
      </c>
      <c r="O258" s="46">
        <v>2</v>
      </c>
      <c r="P258" s="46"/>
      <c r="Q258" s="46"/>
      <c r="R258" s="46"/>
      <c r="S258" s="46"/>
      <c r="T258" s="46"/>
      <c r="U258" s="46"/>
      <c r="V258" s="46"/>
      <c r="W258" s="46">
        <v>0</v>
      </c>
      <c r="X258" s="46">
        <v>1</v>
      </c>
      <c r="Y258" s="46">
        <v>0</v>
      </c>
      <c r="Z258" s="46"/>
      <c r="AA258" s="46"/>
      <c r="AB258" s="46"/>
    </row>
    <row r="259" spans="1:206" ht="13" x14ac:dyDescent="0.3">
      <c r="A259" s="46">
        <v>50</v>
      </c>
      <c r="B259" s="46">
        <v>0</v>
      </c>
      <c r="C259" s="46">
        <v>0</v>
      </c>
      <c r="D259" s="46">
        <v>1</v>
      </c>
      <c r="E259" s="46">
        <v>207</v>
      </c>
      <c r="F259" s="46">
        <f>Source!U237</f>
        <v>8.6440304999999995</v>
      </c>
      <c r="G259" s="46" t="s">
        <v>254</v>
      </c>
      <c r="H259" s="46" t="s">
        <v>255</v>
      </c>
      <c r="I259" s="46"/>
      <c r="J259" s="46"/>
      <c r="K259" s="46">
        <v>207</v>
      </c>
      <c r="L259" s="46">
        <v>21</v>
      </c>
      <c r="M259" s="46">
        <v>3</v>
      </c>
      <c r="N259" s="46" t="s">
        <v>30</v>
      </c>
      <c r="O259" s="46">
        <v>-1</v>
      </c>
      <c r="P259" s="46"/>
      <c r="Q259" s="46"/>
      <c r="R259" s="46"/>
      <c r="S259" s="46"/>
      <c r="T259" s="46"/>
      <c r="U259" s="46"/>
      <c r="V259" s="46"/>
      <c r="W259" s="46">
        <v>8.6440304999999995</v>
      </c>
      <c r="X259" s="46">
        <v>1</v>
      </c>
      <c r="Y259" s="46">
        <v>8.6440304999999995</v>
      </c>
      <c r="Z259" s="46"/>
      <c r="AA259" s="46"/>
      <c r="AB259" s="46"/>
    </row>
    <row r="260" spans="1:206" ht="13" x14ac:dyDescent="0.3">
      <c r="A260" s="46">
        <v>50</v>
      </c>
      <c r="B260" s="46">
        <v>0</v>
      </c>
      <c r="C260" s="46">
        <v>0</v>
      </c>
      <c r="D260" s="46">
        <v>1</v>
      </c>
      <c r="E260" s="46">
        <v>208</v>
      </c>
      <c r="F260" s="46">
        <f>Source!V237</f>
        <v>0</v>
      </c>
      <c r="G260" s="46" t="s">
        <v>256</v>
      </c>
      <c r="H260" s="46" t="s">
        <v>257</v>
      </c>
      <c r="I260" s="46"/>
      <c r="J260" s="46"/>
      <c r="K260" s="46">
        <v>208</v>
      </c>
      <c r="L260" s="46">
        <v>22</v>
      </c>
      <c r="M260" s="46">
        <v>3</v>
      </c>
      <c r="N260" s="46" t="s">
        <v>30</v>
      </c>
      <c r="O260" s="46">
        <v>-1</v>
      </c>
      <c r="P260" s="46"/>
      <c r="Q260" s="46"/>
      <c r="R260" s="46"/>
      <c r="S260" s="46"/>
      <c r="T260" s="46"/>
      <c r="U260" s="46"/>
      <c r="V260" s="46"/>
      <c r="W260" s="46">
        <v>0</v>
      </c>
      <c r="X260" s="46">
        <v>1</v>
      </c>
      <c r="Y260" s="46">
        <v>0</v>
      </c>
      <c r="Z260" s="46"/>
      <c r="AA260" s="46"/>
      <c r="AB260" s="46"/>
    </row>
    <row r="261" spans="1:206" ht="13" x14ac:dyDescent="0.3">
      <c r="A261" s="46">
        <v>50</v>
      </c>
      <c r="B261" s="46">
        <v>0</v>
      </c>
      <c r="C261" s="46">
        <v>0</v>
      </c>
      <c r="D261" s="46">
        <v>1</v>
      </c>
      <c r="E261" s="46">
        <v>209</v>
      </c>
      <c r="F261" s="46">
        <f>ROUND(Source!W237,O261)</f>
        <v>0</v>
      </c>
      <c r="G261" s="46" t="s">
        <v>258</v>
      </c>
      <c r="H261" s="46" t="s">
        <v>259</v>
      </c>
      <c r="I261" s="46"/>
      <c r="J261" s="46"/>
      <c r="K261" s="46">
        <v>209</v>
      </c>
      <c r="L261" s="46">
        <v>23</v>
      </c>
      <c r="M261" s="46">
        <v>3</v>
      </c>
      <c r="N261" s="46" t="s">
        <v>30</v>
      </c>
      <c r="O261" s="46">
        <v>2</v>
      </c>
      <c r="P261" s="46"/>
      <c r="Q261" s="46"/>
      <c r="R261" s="46"/>
      <c r="S261" s="46"/>
      <c r="T261" s="46"/>
      <c r="U261" s="46"/>
      <c r="V261" s="46"/>
      <c r="W261" s="46">
        <v>0</v>
      </c>
      <c r="X261" s="46">
        <v>1</v>
      </c>
      <c r="Y261" s="46">
        <v>0</v>
      </c>
      <c r="Z261" s="46"/>
      <c r="AA261" s="46"/>
      <c r="AB261" s="46"/>
    </row>
    <row r="262" spans="1:206" ht="13" x14ac:dyDescent="0.3">
      <c r="A262" s="46">
        <v>50</v>
      </c>
      <c r="B262" s="46">
        <v>0</v>
      </c>
      <c r="C262" s="46">
        <v>0</v>
      </c>
      <c r="D262" s="46">
        <v>1</v>
      </c>
      <c r="E262" s="46">
        <v>233</v>
      </c>
      <c r="F262" s="46">
        <f>ROUND(Source!BD237,O262)</f>
        <v>0</v>
      </c>
      <c r="G262" s="46" t="s">
        <v>260</v>
      </c>
      <c r="H262" s="46" t="s">
        <v>261</v>
      </c>
      <c r="I262" s="46"/>
      <c r="J262" s="46"/>
      <c r="K262" s="46">
        <v>233</v>
      </c>
      <c r="L262" s="46">
        <v>24</v>
      </c>
      <c r="M262" s="46">
        <v>3</v>
      </c>
      <c r="N262" s="46" t="s">
        <v>30</v>
      </c>
      <c r="O262" s="46">
        <v>2</v>
      </c>
      <c r="P262" s="46"/>
      <c r="Q262" s="46"/>
      <c r="R262" s="46"/>
      <c r="S262" s="46"/>
      <c r="T262" s="46"/>
      <c r="U262" s="46"/>
      <c r="V262" s="46"/>
      <c r="W262" s="46">
        <v>0</v>
      </c>
      <c r="X262" s="46">
        <v>1</v>
      </c>
      <c r="Y262" s="46">
        <v>0</v>
      </c>
      <c r="Z262" s="46"/>
      <c r="AA262" s="46"/>
      <c r="AB262" s="46"/>
    </row>
    <row r="263" spans="1:206" ht="13" x14ac:dyDescent="0.3">
      <c r="A263" s="46">
        <v>50</v>
      </c>
      <c r="B263" s="46">
        <v>0</v>
      </c>
      <c r="C263" s="46">
        <v>0</v>
      </c>
      <c r="D263" s="46">
        <v>1</v>
      </c>
      <c r="E263" s="46">
        <v>210</v>
      </c>
      <c r="F263" s="46">
        <f>ROUND(Source!X237,O263)</f>
        <v>1320.32</v>
      </c>
      <c r="G263" s="46" t="s">
        <v>262</v>
      </c>
      <c r="H263" s="46" t="s">
        <v>263</v>
      </c>
      <c r="I263" s="46"/>
      <c r="J263" s="46"/>
      <c r="K263" s="46">
        <v>210</v>
      </c>
      <c r="L263" s="46">
        <v>25</v>
      </c>
      <c r="M263" s="46">
        <v>3</v>
      </c>
      <c r="N263" s="46" t="s">
        <v>30</v>
      </c>
      <c r="O263" s="46">
        <v>2</v>
      </c>
      <c r="P263" s="46"/>
      <c r="Q263" s="46"/>
      <c r="R263" s="46"/>
      <c r="S263" s="46"/>
      <c r="T263" s="46"/>
      <c r="U263" s="46"/>
      <c r="V263" s="46"/>
      <c r="W263" s="46">
        <v>1320.32</v>
      </c>
      <c r="X263" s="46">
        <v>1</v>
      </c>
      <c r="Y263" s="46">
        <v>1320.32</v>
      </c>
      <c r="Z263" s="46"/>
      <c r="AA263" s="46"/>
      <c r="AB263" s="46"/>
    </row>
    <row r="264" spans="1:206" ht="13" x14ac:dyDescent="0.3">
      <c r="A264" s="46">
        <v>50</v>
      </c>
      <c r="B264" s="46">
        <v>0</v>
      </c>
      <c r="C264" s="46">
        <v>0</v>
      </c>
      <c r="D264" s="46">
        <v>1</v>
      </c>
      <c r="E264" s="46">
        <v>211</v>
      </c>
      <c r="F264" s="46">
        <f>ROUND(Source!Y237,O264)</f>
        <v>188.61</v>
      </c>
      <c r="G264" s="46" t="s">
        <v>264</v>
      </c>
      <c r="H264" s="46" t="s">
        <v>265</v>
      </c>
      <c r="I264" s="46"/>
      <c r="J264" s="46"/>
      <c r="K264" s="46">
        <v>211</v>
      </c>
      <c r="L264" s="46">
        <v>26</v>
      </c>
      <c r="M264" s="46">
        <v>3</v>
      </c>
      <c r="N264" s="46" t="s">
        <v>30</v>
      </c>
      <c r="O264" s="46">
        <v>2</v>
      </c>
      <c r="P264" s="46"/>
      <c r="Q264" s="46"/>
      <c r="R264" s="46"/>
      <c r="S264" s="46"/>
      <c r="T264" s="46"/>
      <c r="U264" s="46"/>
      <c r="V264" s="46"/>
      <c r="W264" s="46">
        <v>188.61</v>
      </c>
      <c r="X264" s="46">
        <v>1</v>
      </c>
      <c r="Y264" s="46">
        <v>188.61</v>
      </c>
      <c r="Z264" s="46"/>
      <c r="AA264" s="46"/>
      <c r="AB264" s="46"/>
    </row>
    <row r="265" spans="1:206" ht="13" x14ac:dyDescent="0.3">
      <c r="A265" s="46">
        <v>50</v>
      </c>
      <c r="B265" s="46">
        <v>0</v>
      </c>
      <c r="C265" s="46">
        <v>0</v>
      </c>
      <c r="D265" s="46">
        <v>1</v>
      </c>
      <c r="E265" s="46">
        <v>224</v>
      </c>
      <c r="F265" s="46">
        <f>ROUND(Source!AR237,O265)</f>
        <v>42958.239999999998</v>
      </c>
      <c r="G265" s="46" t="s">
        <v>266</v>
      </c>
      <c r="H265" s="46" t="s">
        <v>267</v>
      </c>
      <c r="I265" s="46"/>
      <c r="J265" s="46"/>
      <c r="K265" s="46">
        <v>224</v>
      </c>
      <c r="L265" s="46">
        <v>27</v>
      </c>
      <c r="M265" s="46">
        <v>3</v>
      </c>
      <c r="N265" s="46" t="s">
        <v>30</v>
      </c>
      <c r="O265" s="46">
        <v>2</v>
      </c>
      <c r="P265" s="46"/>
      <c r="Q265" s="46"/>
      <c r="R265" s="46"/>
      <c r="S265" s="46"/>
      <c r="T265" s="46"/>
      <c r="U265" s="46"/>
      <c r="V265" s="46"/>
      <c r="W265" s="46">
        <v>42958.239999999998</v>
      </c>
      <c r="X265" s="46">
        <v>1</v>
      </c>
      <c r="Y265" s="46">
        <v>42958.239999999998</v>
      </c>
      <c r="Z265" s="46"/>
      <c r="AA265" s="46"/>
      <c r="AB265" s="46"/>
    </row>
    <row r="267" spans="1:206" ht="13" x14ac:dyDescent="0.3">
      <c r="A267" s="44">
        <v>51</v>
      </c>
      <c r="B267" s="44">
        <f>B20</f>
        <v>1</v>
      </c>
      <c r="C267" s="44">
        <f>A20</f>
        <v>3</v>
      </c>
      <c r="D267" s="44">
        <f>ROW(A20)</f>
        <v>20</v>
      </c>
      <c r="E267" s="44"/>
      <c r="F267" s="44" t="str">
        <f>IF(F20&lt;&gt;"",F20,"")</f>
        <v>Новая локальная смета</v>
      </c>
      <c r="G267" s="44" t="str">
        <f>IF(G20&lt;&gt;"",G20,"")</f>
        <v>Новая локальная смета</v>
      </c>
      <c r="H267" s="44">
        <v>0</v>
      </c>
      <c r="I267" s="44"/>
      <c r="J267" s="44"/>
      <c r="K267" s="44"/>
      <c r="L267" s="44"/>
      <c r="M267" s="44"/>
      <c r="N267" s="44"/>
      <c r="O267" s="44">
        <f t="shared" ref="O267:T267" si="149">ROUND(O40+O93+O140+O189+O237+AB267,2)</f>
        <v>2587724.33</v>
      </c>
      <c r="P267" s="44">
        <f t="shared" si="149"/>
        <v>1528289.97</v>
      </c>
      <c r="Q267" s="44">
        <f t="shared" si="149"/>
        <v>847440.53</v>
      </c>
      <c r="R267" s="44">
        <f t="shared" si="149"/>
        <v>426335.85</v>
      </c>
      <c r="S267" s="44">
        <f t="shared" si="149"/>
        <v>211993.83</v>
      </c>
      <c r="T267" s="44">
        <f t="shared" si="149"/>
        <v>0</v>
      </c>
      <c r="U267" s="44">
        <f>U40+U93+U140+U189+U237+AH267</f>
        <v>967.32686149999995</v>
      </c>
      <c r="V267" s="44">
        <f>V40+V93+V140+V189+V237+AI267</f>
        <v>0</v>
      </c>
      <c r="W267" s="44">
        <f>ROUND(W40+W93+W140+W189+W237+AJ267,2)</f>
        <v>0</v>
      </c>
      <c r="X267" s="44">
        <f>ROUND(X40+X93+X140+X189+X237+AK267,2)</f>
        <v>148395.68</v>
      </c>
      <c r="Y267" s="44">
        <f>ROUND(Y40+Y93+Y140+Y189+Y237+AL267,2)</f>
        <v>21199.38</v>
      </c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>
        <f t="shared" ref="AO267:BD267" si="150">ROUND(AO40+AO93+AO140+AO189+AO237+BX267,2)</f>
        <v>0</v>
      </c>
      <c r="AP267" s="44">
        <f t="shared" si="150"/>
        <v>0</v>
      </c>
      <c r="AQ267" s="44">
        <f t="shared" si="150"/>
        <v>0</v>
      </c>
      <c r="AR267" s="44">
        <f t="shared" si="150"/>
        <v>2858463.37</v>
      </c>
      <c r="AS267" s="44">
        <f t="shared" si="150"/>
        <v>0</v>
      </c>
      <c r="AT267" s="44">
        <f t="shared" si="150"/>
        <v>0</v>
      </c>
      <c r="AU267" s="44">
        <f t="shared" si="150"/>
        <v>2858463.37</v>
      </c>
      <c r="AV267" s="44">
        <f t="shared" si="150"/>
        <v>1528289.97</v>
      </c>
      <c r="AW267" s="44">
        <f t="shared" si="150"/>
        <v>1528289.97</v>
      </c>
      <c r="AX267" s="44">
        <f t="shared" si="150"/>
        <v>0</v>
      </c>
      <c r="AY267" s="44">
        <f t="shared" si="150"/>
        <v>1528289.97</v>
      </c>
      <c r="AZ267" s="44">
        <f t="shared" si="150"/>
        <v>0</v>
      </c>
      <c r="BA267" s="44">
        <f t="shared" si="150"/>
        <v>0</v>
      </c>
      <c r="BB267" s="44">
        <f t="shared" si="150"/>
        <v>0</v>
      </c>
      <c r="BC267" s="44">
        <f t="shared" si="150"/>
        <v>0</v>
      </c>
      <c r="BD267" s="44">
        <f t="shared" si="150"/>
        <v>0</v>
      </c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  <c r="CL267" s="44"/>
      <c r="CM267" s="44"/>
      <c r="CN267" s="44"/>
      <c r="CO267" s="44"/>
      <c r="CP267" s="44"/>
      <c r="CQ267" s="44"/>
      <c r="CR267" s="44"/>
      <c r="CS267" s="44"/>
      <c r="CT267" s="44"/>
      <c r="CU267" s="44"/>
      <c r="CV267" s="44"/>
      <c r="CW267" s="44"/>
      <c r="CX267" s="44"/>
      <c r="CY267" s="44"/>
      <c r="CZ267" s="44"/>
      <c r="DA267" s="44"/>
      <c r="DB267" s="44"/>
      <c r="DC267" s="44"/>
      <c r="DD267" s="44"/>
      <c r="DE267" s="44"/>
      <c r="DF267" s="44"/>
      <c r="DG267" s="45"/>
      <c r="DH267" s="45"/>
      <c r="DI267" s="45"/>
      <c r="DJ267" s="45"/>
      <c r="DK267" s="45"/>
      <c r="DL267" s="45"/>
      <c r="DM267" s="45"/>
      <c r="DN267" s="45"/>
      <c r="DO267" s="45"/>
      <c r="DP267" s="45"/>
      <c r="DQ267" s="45"/>
      <c r="DR267" s="45"/>
      <c r="DS267" s="45"/>
      <c r="DT267" s="45"/>
      <c r="DU267" s="45"/>
      <c r="DV267" s="45"/>
      <c r="DW267" s="45"/>
      <c r="DX267" s="45"/>
      <c r="DY267" s="45"/>
      <c r="DZ267" s="45"/>
      <c r="EA267" s="45"/>
      <c r="EB267" s="45"/>
      <c r="EC267" s="45"/>
      <c r="ED267" s="45"/>
      <c r="EE267" s="45"/>
      <c r="EF267" s="45"/>
      <c r="EG267" s="45"/>
      <c r="EH267" s="45"/>
      <c r="EI267" s="45"/>
      <c r="EJ267" s="45"/>
      <c r="EK267" s="45"/>
      <c r="EL267" s="45"/>
      <c r="EM267" s="45"/>
      <c r="EN267" s="45"/>
      <c r="EO267" s="45"/>
      <c r="EP267" s="45"/>
      <c r="EQ267" s="45"/>
      <c r="ER267" s="45"/>
      <c r="ES267" s="45"/>
      <c r="ET267" s="45"/>
      <c r="EU267" s="45"/>
      <c r="EV267" s="45"/>
      <c r="EW267" s="45"/>
      <c r="EX267" s="45"/>
      <c r="EY267" s="45"/>
      <c r="EZ267" s="45"/>
      <c r="FA267" s="45"/>
      <c r="FB267" s="45"/>
      <c r="FC267" s="45"/>
      <c r="FD267" s="45"/>
      <c r="FE267" s="45"/>
      <c r="FF267" s="45"/>
      <c r="FG267" s="45"/>
      <c r="FH267" s="45"/>
      <c r="FI267" s="45"/>
      <c r="FJ267" s="45"/>
      <c r="FK267" s="45"/>
      <c r="FL267" s="45"/>
      <c r="FM267" s="45"/>
      <c r="FN267" s="45"/>
      <c r="FO267" s="45"/>
      <c r="FP267" s="45"/>
      <c r="FQ267" s="45"/>
      <c r="FR267" s="45"/>
      <c r="FS267" s="45"/>
      <c r="FT267" s="45"/>
      <c r="FU267" s="45"/>
      <c r="FV267" s="45"/>
      <c r="FW267" s="45"/>
      <c r="FX267" s="45"/>
      <c r="FY267" s="45"/>
      <c r="FZ267" s="45"/>
      <c r="GA267" s="45"/>
      <c r="GB267" s="45"/>
      <c r="GC267" s="45"/>
      <c r="GD267" s="45"/>
      <c r="GE267" s="45"/>
      <c r="GF267" s="45"/>
      <c r="GG267" s="45"/>
      <c r="GH267" s="45"/>
      <c r="GI267" s="45"/>
      <c r="GJ267" s="45"/>
      <c r="GK267" s="45"/>
      <c r="GL267" s="45"/>
      <c r="GM267" s="45"/>
      <c r="GN267" s="45"/>
      <c r="GO267" s="45"/>
      <c r="GP267" s="45"/>
      <c r="GQ267" s="45"/>
      <c r="GR267" s="45"/>
      <c r="GS267" s="45"/>
      <c r="GT267" s="45"/>
      <c r="GU267" s="45"/>
      <c r="GV267" s="45"/>
      <c r="GW267" s="45"/>
      <c r="GX267" s="45">
        <v>0</v>
      </c>
    </row>
    <row r="269" spans="1:206" ht="13" x14ac:dyDescent="0.3">
      <c r="A269" s="46">
        <v>50</v>
      </c>
      <c r="B269" s="46">
        <v>0</v>
      </c>
      <c r="C269" s="46">
        <v>0</v>
      </c>
      <c r="D269" s="46">
        <v>1</v>
      </c>
      <c r="E269" s="46">
        <v>201</v>
      </c>
      <c r="F269" s="46">
        <f>ROUND(Source!O267,O269)</f>
        <v>2587724.33</v>
      </c>
      <c r="G269" s="46" t="s">
        <v>214</v>
      </c>
      <c r="H269" s="46" t="s">
        <v>215</v>
      </c>
      <c r="I269" s="46"/>
      <c r="J269" s="46"/>
      <c r="K269" s="46">
        <v>201</v>
      </c>
      <c r="L269" s="46">
        <v>1</v>
      </c>
      <c r="M269" s="46">
        <v>3</v>
      </c>
      <c r="N269" s="46" t="s">
        <v>30</v>
      </c>
      <c r="O269" s="46">
        <v>2</v>
      </c>
      <c r="P269" s="46"/>
      <c r="Q269" s="46"/>
      <c r="R269" s="46"/>
      <c r="S269" s="46"/>
      <c r="T269" s="46"/>
      <c r="U269" s="46"/>
      <c r="V269" s="46"/>
      <c r="W269" s="46">
        <v>2634549.33</v>
      </c>
      <c r="X269" s="46">
        <v>1</v>
      </c>
      <c r="Y269" s="46">
        <v>2634549.33</v>
      </c>
      <c r="Z269" s="46"/>
      <c r="AA269" s="46"/>
      <c r="AB269" s="46"/>
    </row>
    <row r="270" spans="1:206" ht="13" x14ac:dyDescent="0.3">
      <c r="A270" s="46">
        <v>50</v>
      </c>
      <c r="B270" s="46">
        <v>0</v>
      </c>
      <c r="C270" s="46">
        <v>0</v>
      </c>
      <c r="D270" s="46">
        <v>1</v>
      </c>
      <c r="E270" s="46">
        <v>202</v>
      </c>
      <c r="F270" s="46">
        <f>ROUND(Source!P267,O270)</f>
        <v>1528289.97</v>
      </c>
      <c r="G270" s="46" t="s">
        <v>216</v>
      </c>
      <c r="H270" s="46" t="s">
        <v>217</v>
      </c>
      <c r="I270" s="46"/>
      <c r="J270" s="46"/>
      <c r="K270" s="46">
        <v>202</v>
      </c>
      <c r="L270" s="46">
        <v>2</v>
      </c>
      <c r="M270" s="46">
        <v>3</v>
      </c>
      <c r="N270" s="46" t="s">
        <v>30</v>
      </c>
      <c r="O270" s="46">
        <v>2</v>
      </c>
      <c r="P270" s="46"/>
      <c r="Q270" s="46"/>
      <c r="R270" s="46"/>
      <c r="S270" s="46"/>
      <c r="T270" s="46"/>
      <c r="U270" s="46"/>
      <c r="V270" s="46"/>
      <c r="W270" s="46">
        <v>1575114.97</v>
      </c>
      <c r="X270" s="46">
        <v>1</v>
      </c>
      <c r="Y270" s="46">
        <v>1575114.97</v>
      </c>
      <c r="Z270" s="46"/>
      <c r="AA270" s="46"/>
      <c r="AB270" s="46"/>
    </row>
    <row r="271" spans="1:206" ht="13" x14ac:dyDescent="0.3">
      <c r="A271" s="46">
        <v>50</v>
      </c>
      <c r="B271" s="46">
        <v>0</v>
      </c>
      <c r="C271" s="46">
        <v>0</v>
      </c>
      <c r="D271" s="46">
        <v>1</v>
      </c>
      <c r="E271" s="46">
        <v>222</v>
      </c>
      <c r="F271" s="46">
        <f>ROUND(Source!AO267,O271)</f>
        <v>0</v>
      </c>
      <c r="G271" s="46" t="s">
        <v>218</v>
      </c>
      <c r="H271" s="46" t="s">
        <v>219</v>
      </c>
      <c r="I271" s="46"/>
      <c r="J271" s="46"/>
      <c r="K271" s="46">
        <v>222</v>
      </c>
      <c r="L271" s="46">
        <v>3</v>
      </c>
      <c r="M271" s="46">
        <v>3</v>
      </c>
      <c r="N271" s="46" t="s">
        <v>30</v>
      </c>
      <c r="O271" s="46">
        <v>2</v>
      </c>
      <c r="P271" s="46"/>
      <c r="Q271" s="46"/>
      <c r="R271" s="46"/>
      <c r="S271" s="46"/>
      <c r="T271" s="46"/>
      <c r="U271" s="46"/>
      <c r="V271" s="46"/>
      <c r="W271" s="46">
        <v>0</v>
      </c>
      <c r="X271" s="46">
        <v>1</v>
      </c>
      <c r="Y271" s="46">
        <v>0</v>
      </c>
      <c r="Z271" s="46"/>
      <c r="AA271" s="46"/>
      <c r="AB271" s="46"/>
    </row>
    <row r="272" spans="1:206" ht="13" x14ac:dyDescent="0.3">
      <c r="A272" s="46">
        <v>50</v>
      </c>
      <c r="B272" s="46">
        <v>0</v>
      </c>
      <c r="C272" s="46">
        <v>0</v>
      </c>
      <c r="D272" s="46">
        <v>1</v>
      </c>
      <c r="E272" s="46">
        <v>225</v>
      </c>
      <c r="F272" s="46">
        <f>ROUND(Source!AV267,O272)</f>
        <v>1528289.97</v>
      </c>
      <c r="G272" s="46" t="s">
        <v>220</v>
      </c>
      <c r="H272" s="46" t="s">
        <v>221</v>
      </c>
      <c r="I272" s="46"/>
      <c r="J272" s="46"/>
      <c r="K272" s="46">
        <v>225</v>
      </c>
      <c r="L272" s="46">
        <v>4</v>
      </c>
      <c r="M272" s="46">
        <v>3</v>
      </c>
      <c r="N272" s="46" t="s">
        <v>30</v>
      </c>
      <c r="O272" s="46">
        <v>2</v>
      </c>
      <c r="P272" s="46"/>
      <c r="Q272" s="46"/>
      <c r="R272" s="46"/>
      <c r="S272" s="46"/>
      <c r="T272" s="46"/>
      <c r="U272" s="46"/>
      <c r="V272" s="46"/>
      <c r="W272" s="46">
        <v>1575114.97</v>
      </c>
      <c r="X272" s="46">
        <v>1</v>
      </c>
      <c r="Y272" s="46">
        <v>1575114.97</v>
      </c>
      <c r="Z272" s="46"/>
      <c r="AA272" s="46"/>
      <c r="AB272" s="46"/>
    </row>
    <row r="273" spans="1:28" ht="13" x14ac:dyDescent="0.3">
      <c r="A273" s="46">
        <v>50</v>
      </c>
      <c r="B273" s="46">
        <v>0</v>
      </c>
      <c r="C273" s="46">
        <v>0</v>
      </c>
      <c r="D273" s="46">
        <v>1</v>
      </c>
      <c r="E273" s="46">
        <v>226</v>
      </c>
      <c r="F273" s="46">
        <f>ROUND(Source!AW267,O273)</f>
        <v>1528289.97</v>
      </c>
      <c r="G273" s="46" t="s">
        <v>222</v>
      </c>
      <c r="H273" s="46" t="s">
        <v>223</v>
      </c>
      <c r="I273" s="46"/>
      <c r="J273" s="46"/>
      <c r="K273" s="46">
        <v>226</v>
      </c>
      <c r="L273" s="46">
        <v>5</v>
      </c>
      <c r="M273" s="46">
        <v>3</v>
      </c>
      <c r="N273" s="46" t="s">
        <v>30</v>
      </c>
      <c r="O273" s="46">
        <v>2</v>
      </c>
      <c r="P273" s="46"/>
      <c r="Q273" s="46"/>
      <c r="R273" s="46"/>
      <c r="S273" s="46"/>
      <c r="T273" s="46"/>
      <c r="U273" s="46"/>
      <c r="V273" s="46"/>
      <c r="W273" s="46">
        <v>1575114.97</v>
      </c>
      <c r="X273" s="46">
        <v>1</v>
      </c>
      <c r="Y273" s="46">
        <v>1575114.97</v>
      </c>
      <c r="Z273" s="46"/>
      <c r="AA273" s="46"/>
      <c r="AB273" s="46"/>
    </row>
    <row r="274" spans="1:28" ht="13" x14ac:dyDescent="0.3">
      <c r="A274" s="46">
        <v>50</v>
      </c>
      <c r="B274" s="46">
        <v>0</v>
      </c>
      <c r="C274" s="46">
        <v>0</v>
      </c>
      <c r="D274" s="46">
        <v>1</v>
      </c>
      <c r="E274" s="46">
        <v>227</v>
      </c>
      <c r="F274" s="46">
        <f>ROUND(Source!AX267,O274)</f>
        <v>0</v>
      </c>
      <c r="G274" s="46" t="s">
        <v>224</v>
      </c>
      <c r="H274" s="46" t="s">
        <v>225</v>
      </c>
      <c r="I274" s="46"/>
      <c r="J274" s="46"/>
      <c r="K274" s="46">
        <v>227</v>
      </c>
      <c r="L274" s="46">
        <v>6</v>
      </c>
      <c r="M274" s="46">
        <v>3</v>
      </c>
      <c r="N274" s="46" t="s">
        <v>30</v>
      </c>
      <c r="O274" s="46">
        <v>2</v>
      </c>
      <c r="P274" s="46"/>
      <c r="Q274" s="46"/>
      <c r="R274" s="46"/>
      <c r="S274" s="46"/>
      <c r="T274" s="46"/>
      <c r="U274" s="46"/>
      <c r="V274" s="46"/>
      <c r="W274" s="46">
        <v>0</v>
      </c>
      <c r="X274" s="46">
        <v>1</v>
      </c>
      <c r="Y274" s="46">
        <v>0</v>
      </c>
      <c r="Z274" s="46"/>
      <c r="AA274" s="46"/>
      <c r="AB274" s="46"/>
    </row>
    <row r="275" spans="1:28" ht="13" x14ac:dyDescent="0.3">
      <c r="A275" s="46">
        <v>50</v>
      </c>
      <c r="B275" s="46">
        <v>0</v>
      </c>
      <c r="C275" s="46">
        <v>0</v>
      </c>
      <c r="D275" s="46">
        <v>1</v>
      </c>
      <c r="E275" s="46">
        <v>228</v>
      </c>
      <c r="F275" s="46">
        <f>ROUND(Source!AY267,O275)</f>
        <v>1528289.97</v>
      </c>
      <c r="G275" s="46" t="s">
        <v>226</v>
      </c>
      <c r="H275" s="46" t="s">
        <v>227</v>
      </c>
      <c r="I275" s="46"/>
      <c r="J275" s="46"/>
      <c r="K275" s="46">
        <v>228</v>
      </c>
      <c r="L275" s="46">
        <v>7</v>
      </c>
      <c r="M275" s="46">
        <v>3</v>
      </c>
      <c r="N275" s="46" t="s">
        <v>30</v>
      </c>
      <c r="O275" s="46">
        <v>2</v>
      </c>
      <c r="P275" s="46"/>
      <c r="Q275" s="46"/>
      <c r="R275" s="46"/>
      <c r="S275" s="46"/>
      <c r="T275" s="46"/>
      <c r="U275" s="46"/>
      <c r="V275" s="46"/>
      <c r="W275" s="46">
        <v>1575114.97</v>
      </c>
      <c r="X275" s="46">
        <v>1</v>
      </c>
      <c r="Y275" s="46">
        <v>1575114.97</v>
      </c>
      <c r="Z275" s="46"/>
      <c r="AA275" s="46"/>
      <c r="AB275" s="46"/>
    </row>
    <row r="276" spans="1:28" ht="13" x14ac:dyDescent="0.3">
      <c r="A276" s="46">
        <v>50</v>
      </c>
      <c r="B276" s="46">
        <v>0</v>
      </c>
      <c r="C276" s="46">
        <v>0</v>
      </c>
      <c r="D276" s="46">
        <v>1</v>
      </c>
      <c r="E276" s="46">
        <v>216</v>
      </c>
      <c r="F276" s="46">
        <f>ROUND(Source!AP267,O276)</f>
        <v>0</v>
      </c>
      <c r="G276" s="46" t="s">
        <v>228</v>
      </c>
      <c r="H276" s="46" t="s">
        <v>229</v>
      </c>
      <c r="I276" s="46"/>
      <c r="J276" s="46"/>
      <c r="K276" s="46">
        <v>216</v>
      </c>
      <c r="L276" s="46">
        <v>8</v>
      </c>
      <c r="M276" s="46">
        <v>3</v>
      </c>
      <c r="N276" s="46" t="s">
        <v>30</v>
      </c>
      <c r="O276" s="46">
        <v>2</v>
      </c>
      <c r="P276" s="46"/>
      <c r="Q276" s="46"/>
      <c r="R276" s="46"/>
      <c r="S276" s="46"/>
      <c r="T276" s="46"/>
      <c r="U276" s="46"/>
      <c r="V276" s="46"/>
      <c r="W276" s="46">
        <v>0</v>
      </c>
      <c r="X276" s="46">
        <v>1</v>
      </c>
      <c r="Y276" s="46">
        <v>0</v>
      </c>
      <c r="Z276" s="46"/>
      <c r="AA276" s="46"/>
      <c r="AB276" s="46"/>
    </row>
    <row r="277" spans="1:28" ht="13" x14ac:dyDescent="0.3">
      <c r="A277" s="46">
        <v>50</v>
      </c>
      <c r="B277" s="46">
        <v>0</v>
      </c>
      <c r="C277" s="46">
        <v>0</v>
      </c>
      <c r="D277" s="46">
        <v>1</v>
      </c>
      <c r="E277" s="46">
        <v>223</v>
      </c>
      <c r="F277" s="46">
        <f>ROUND(Source!AQ267,O277)</f>
        <v>0</v>
      </c>
      <c r="G277" s="46" t="s">
        <v>230</v>
      </c>
      <c r="H277" s="46" t="s">
        <v>231</v>
      </c>
      <c r="I277" s="46"/>
      <c r="J277" s="46"/>
      <c r="K277" s="46">
        <v>223</v>
      </c>
      <c r="L277" s="46">
        <v>9</v>
      </c>
      <c r="M277" s="46">
        <v>3</v>
      </c>
      <c r="N277" s="46" t="s">
        <v>30</v>
      </c>
      <c r="O277" s="46">
        <v>2</v>
      </c>
      <c r="P277" s="46"/>
      <c r="Q277" s="46"/>
      <c r="R277" s="46"/>
      <c r="S277" s="46"/>
      <c r="T277" s="46"/>
      <c r="U277" s="46"/>
      <c r="V277" s="46"/>
      <c r="W277" s="46">
        <v>0</v>
      </c>
      <c r="X277" s="46">
        <v>1</v>
      </c>
      <c r="Y277" s="46">
        <v>0</v>
      </c>
      <c r="Z277" s="46"/>
      <c r="AA277" s="46"/>
      <c r="AB277" s="46"/>
    </row>
    <row r="278" spans="1:28" ht="13" x14ac:dyDescent="0.3">
      <c r="A278" s="46">
        <v>50</v>
      </c>
      <c r="B278" s="46">
        <v>0</v>
      </c>
      <c r="C278" s="46">
        <v>0</v>
      </c>
      <c r="D278" s="46">
        <v>1</v>
      </c>
      <c r="E278" s="46">
        <v>229</v>
      </c>
      <c r="F278" s="46">
        <f>ROUND(Source!AZ267,O278)</f>
        <v>0</v>
      </c>
      <c r="G278" s="46" t="s">
        <v>232</v>
      </c>
      <c r="H278" s="46" t="s">
        <v>233</v>
      </c>
      <c r="I278" s="46"/>
      <c r="J278" s="46"/>
      <c r="K278" s="46">
        <v>229</v>
      </c>
      <c r="L278" s="46">
        <v>10</v>
      </c>
      <c r="M278" s="46">
        <v>3</v>
      </c>
      <c r="N278" s="46" t="s">
        <v>30</v>
      </c>
      <c r="O278" s="46">
        <v>2</v>
      </c>
      <c r="P278" s="46"/>
      <c r="Q278" s="46"/>
      <c r="R278" s="46"/>
      <c r="S278" s="46"/>
      <c r="T278" s="46"/>
      <c r="U278" s="46"/>
      <c r="V278" s="46"/>
      <c r="W278" s="46">
        <v>0</v>
      </c>
      <c r="X278" s="46">
        <v>1</v>
      </c>
      <c r="Y278" s="46">
        <v>0</v>
      </c>
      <c r="Z278" s="46"/>
      <c r="AA278" s="46"/>
      <c r="AB278" s="46"/>
    </row>
    <row r="279" spans="1:28" ht="13" x14ac:dyDescent="0.3">
      <c r="A279" s="46">
        <v>50</v>
      </c>
      <c r="B279" s="46">
        <v>0</v>
      </c>
      <c r="C279" s="46">
        <v>0</v>
      </c>
      <c r="D279" s="46">
        <v>1</v>
      </c>
      <c r="E279" s="46">
        <v>203</v>
      </c>
      <c r="F279" s="46">
        <f>ROUND(Source!Q267,O279)</f>
        <v>847440.53</v>
      </c>
      <c r="G279" s="46" t="s">
        <v>234</v>
      </c>
      <c r="H279" s="46" t="s">
        <v>235</v>
      </c>
      <c r="I279" s="46"/>
      <c r="J279" s="46"/>
      <c r="K279" s="46">
        <v>203</v>
      </c>
      <c r="L279" s="46">
        <v>11</v>
      </c>
      <c r="M279" s="46">
        <v>3</v>
      </c>
      <c r="N279" s="46" t="s">
        <v>30</v>
      </c>
      <c r="O279" s="46">
        <v>2</v>
      </c>
      <c r="P279" s="46"/>
      <c r="Q279" s="46"/>
      <c r="R279" s="46"/>
      <c r="S279" s="46"/>
      <c r="T279" s="46"/>
      <c r="U279" s="46"/>
      <c r="V279" s="46"/>
      <c r="W279" s="46">
        <v>847440.53</v>
      </c>
      <c r="X279" s="46">
        <v>1</v>
      </c>
      <c r="Y279" s="46">
        <v>847440.53</v>
      </c>
      <c r="Z279" s="46"/>
      <c r="AA279" s="46"/>
      <c r="AB279" s="46"/>
    </row>
    <row r="280" spans="1:28" ht="13" x14ac:dyDescent="0.3">
      <c r="A280" s="46">
        <v>50</v>
      </c>
      <c r="B280" s="46">
        <v>0</v>
      </c>
      <c r="C280" s="46">
        <v>0</v>
      </c>
      <c r="D280" s="46">
        <v>1</v>
      </c>
      <c r="E280" s="46">
        <v>231</v>
      </c>
      <c r="F280" s="46">
        <f>ROUND(Source!BB267,O280)</f>
        <v>0</v>
      </c>
      <c r="G280" s="46" t="s">
        <v>236</v>
      </c>
      <c r="H280" s="46" t="s">
        <v>237</v>
      </c>
      <c r="I280" s="46"/>
      <c r="J280" s="46"/>
      <c r="K280" s="46">
        <v>231</v>
      </c>
      <c r="L280" s="46">
        <v>12</v>
      </c>
      <c r="M280" s="46">
        <v>3</v>
      </c>
      <c r="N280" s="46" t="s">
        <v>30</v>
      </c>
      <c r="O280" s="46">
        <v>2</v>
      </c>
      <c r="P280" s="46"/>
      <c r="Q280" s="46"/>
      <c r="R280" s="46"/>
      <c r="S280" s="46"/>
      <c r="T280" s="46"/>
      <c r="U280" s="46"/>
      <c r="V280" s="46"/>
      <c r="W280" s="46">
        <v>0</v>
      </c>
      <c r="X280" s="46">
        <v>1</v>
      </c>
      <c r="Y280" s="46">
        <v>0</v>
      </c>
      <c r="Z280" s="46"/>
      <c r="AA280" s="46"/>
      <c r="AB280" s="46"/>
    </row>
    <row r="281" spans="1:28" ht="13" x14ac:dyDescent="0.3">
      <c r="A281" s="46">
        <v>50</v>
      </c>
      <c r="B281" s="46">
        <v>0</v>
      </c>
      <c r="C281" s="46">
        <v>0</v>
      </c>
      <c r="D281" s="46">
        <v>1</v>
      </c>
      <c r="E281" s="46">
        <v>204</v>
      </c>
      <c r="F281" s="46">
        <f>ROUND(Source!R267,O281)</f>
        <v>426335.85</v>
      </c>
      <c r="G281" s="46" t="s">
        <v>238</v>
      </c>
      <c r="H281" s="46" t="s">
        <v>239</v>
      </c>
      <c r="I281" s="46"/>
      <c r="J281" s="46"/>
      <c r="K281" s="46">
        <v>204</v>
      </c>
      <c r="L281" s="46">
        <v>13</v>
      </c>
      <c r="M281" s="46">
        <v>3</v>
      </c>
      <c r="N281" s="46" t="s">
        <v>30</v>
      </c>
      <c r="O281" s="46">
        <v>2</v>
      </c>
      <c r="P281" s="46"/>
      <c r="Q281" s="46"/>
      <c r="R281" s="46"/>
      <c r="S281" s="46"/>
      <c r="T281" s="46"/>
      <c r="U281" s="46"/>
      <c r="V281" s="46"/>
      <c r="W281" s="46">
        <v>426335.85</v>
      </c>
      <c r="X281" s="46">
        <v>1</v>
      </c>
      <c r="Y281" s="46">
        <v>426335.85</v>
      </c>
      <c r="Z281" s="46"/>
      <c r="AA281" s="46"/>
      <c r="AB281" s="46"/>
    </row>
    <row r="282" spans="1:28" ht="13" x14ac:dyDescent="0.3">
      <c r="A282" s="46">
        <v>50</v>
      </c>
      <c r="B282" s="46">
        <v>0</v>
      </c>
      <c r="C282" s="46">
        <v>0</v>
      </c>
      <c r="D282" s="46">
        <v>1</v>
      </c>
      <c r="E282" s="46">
        <v>205</v>
      </c>
      <c r="F282" s="46">
        <f>ROUND(Source!S267,O282)</f>
        <v>211993.83</v>
      </c>
      <c r="G282" s="46" t="s">
        <v>240</v>
      </c>
      <c r="H282" s="46" t="s">
        <v>241</v>
      </c>
      <c r="I282" s="46"/>
      <c r="J282" s="46"/>
      <c r="K282" s="46">
        <v>205</v>
      </c>
      <c r="L282" s="46">
        <v>14</v>
      </c>
      <c r="M282" s="46">
        <v>3</v>
      </c>
      <c r="N282" s="46" t="s">
        <v>30</v>
      </c>
      <c r="O282" s="46">
        <v>2</v>
      </c>
      <c r="P282" s="46"/>
      <c r="Q282" s="46"/>
      <c r="R282" s="46"/>
      <c r="S282" s="46"/>
      <c r="T282" s="46"/>
      <c r="U282" s="46"/>
      <c r="V282" s="46"/>
      <c r="W282" s="46">
        <v>211993.83</v>
      </c>
      <c r="X282" s="46">
        <v>1</v>
      </c>
      <c r="Y282" s="46">
        <v>211993.83</v>
      </c>
      <c r="Z282" s="46"/>
      <c r="AA282" s="46"/>
      <c r="AB282" s="46"/>
    </row>
    <row r="283" spans="1:28" ht="13" x14ac:dyDescent="0.3">
      <c r="A283" s="46">
        <v>50</v>
      </c>
      <c r="B283" s="46">
        <v>0</v>
      </c>
      <c r="C283" s="46">
        <v>0</v>
      </c>
      <c r="D283" s="46">
        <v>1</v>
      </c>
      <c r="E283" s="46">
        <v>232</v>
      </c>
      <c r="F283" s="46">
        <f>ROUND(Source!BC267,O283)</f>
        <v>0</v>
      </c>
      <c r="G283" s="46" t="s">
        <v>242</v>
      </c>
      <c r="H283" s="46" t="s">
        <v>243</v>
      </c>
      <c r="I283" s="46"/>
      <c r="J283" s="46"/>
      <c r="K283" s="46">
        <v>232</v>
      </c>
      <c r="L283" s="46">
        <v>15</v>
      </c>
      <c r="M283" s="46">
        <v>3</v>
      </c>
      <c r="N283" s="46" t="s">
        <v>30</v>
      </c>
      <c r="O283" s="46">
        <v>2</v>
      </c>
      <c r="P283" s="46"/>
      <c r="Q283" s="46"/>
      <c r="R283" s="46"/>
      <c r="S283" s="46"/>
      <c r="T283" s="46"/>
      <c r="U283" s="46"/>
      <c r="V283" s="46"/>
      <c r="W283" s="46">
        <v>0</v>
      </c>
      <c r="X283" s="46">
        <v>1</v>
      </c>
      <c r="Y283" s="46">
        <v>0</v>
      </c>
      <c r="Z283" s="46"/>
      <c r="AA283" s="46"/>
      <c r="AB283" s="46"/>
    </row>
    <row r="284" spans="1:28" ht="13" x14ac:dyDescent="0.3">
      <c r="A284" s="46">
        <v>50</v>
      </c>
      <c r="B284" s="46">
        <v>0</v>
      </c>
      <c r="C284" s="46">
        <v>0</v>
      </c>
      <c r="D284" s="46">
        <v>1</v>
      </c>
      <c r="E284" s="46">
        <v>214</v>
      </c>
      <c r="F284" s="46">
        <f>ROUND(Source!AS267,O284)</f>
        <v>0</v>
      </c>
      <c r="G284" s="46" t="s">
        <v>244</v>
      </c>
      <c r="H284" s="46" t="s">
        <v>245</v>
      </c>
      <c r="I284" s="46"/>
      <c r="J284" s="46"/>
      <c r="K284" s="46">
        <v>214</v>
      </c>
      <c r="L284" s="46">
        <v>16</v>
      </c>
      <c r="M284" s="46">
        <v>3</v>
      </c>
      <c r="N284" s="46" t="s">
        <v>30</v>
      </c>
      <c r="O284" s="46">
        <v>2</v>
      </c>
      <c r="P284" s="46"/>
      <c r="Q284" s="46"/>
      <c r="R284" s="46"/>
      <c r="S284" s="46"/>
      <c r="T284" s="46"/>
      <c r="U284" s="46"/>
      <c r="V284" s="46"/>
      <c r="W284" s="46">
        <v>0</v>
      </c>
      <c r="X284" s="46">
        <v>1</v>
      </c>
      <c r="Y284" s="46">
        <v>0</v>
      </c>
      <c r="Z284" s="46"/>
      <c r="AA284" s="46"/>
      <c r="AB284" s="46"/>
    </row>
    <row r="285" spans="1:28" ht="13" x14ac:dyDescent="0.3">
      <c r="A285" s="46">
        <v>50</v>
      </c>
      <c r="B285" s="46">
        <v>0</v>
      </c>
      <c r="C285" s="46">
        <v>0</v>
      </c>
      <c r="D285" s="46">
        <v>1</v>
      </c>
      <c r="E285" s="46">
        <v>215</v>
      </c>
      <c r="F285" s="46">
        <f>ROUND(Source!AT267,O285)</f>
        <v>0</v>
      </c>
      <c r="G285" s="46" t="s">
        <v>246</v>
      </c>
      <c r="H285" s="46" t="s">
        <v>247</v>
      </c>
      <c r="I285" s="46"/>
      <c r="J285" s="46"/>
      <c r="K285" s="46">
        <v>215</v>
      </c>
      <c r="L285" s="46">
        <v>17</v>
      </c>
      <c r="M285" s="46">
        <v>3</v>
      </c>
      <c r="N285" s="46" t="s">
        <v>30</v>
      </c>
      <c r="O285" s="46">
        <v>2</v>
      </c>
      <c r="P285" s="46"/>
      <c r="Q285" s="46"/>
      <c r="R285" s="46"/>
      <c r="S285" s="46"/>
      <c r="T285" s="46"/>
      <c r="U285" s="46"/>
      <c r="V285" s="46"/>
      <c r="W285" s="46">
        <v>0</v>
      </c>
      <c r="X285" s="46">
        <v>1</v>
      </c>
      <c r="Y285" s="46">
        <v>0</v>
      </c>
      <c r="Z285" s="46"/>
      <c r="AA285" s="46"/>
      <c r="AB285" s="46"/>
    </row>
    <row r="286" spans="1:28" ht="13" x14ac:dyDescent="0.3">
      <c r="A286" s="46">
        <v>50</v>
      </c>
      <c r="B286" s="46">
        <v>0</v>
      </c>
      <c r="C286" s="46">
        <v>0</v>
      </c>
      <c r="D286" s="46">
        <v>1</v>
      </c>
      <c r="E286" s="46">
        <v>217</v>
      </c>
      <c r="F286" s="46">
        <f>ROUND(Source!AU267,O286)</f>
        <v>2858463.37</v>
      </c>
      <c r="G286" s="46" t="s">
        <v>248</v>
      </c>
      <c r="H286" s="46" t="s">
        <v>249</v>
      </c>
      <c r="I286" s="46"/>
      <c r="J286" s="46"/>
      <c r="K286" s="46">
        <v>217</v>
      </c>
      <c r="L286" s="46">
        <v>18</v>
      </c>
      <c r="M286" s="46">
        <v>3</v>
      </c>
      <c r="N286" s="46" t="s">
        <v>30</v>
      </c>
      <c r="O286" s="46">
        <v>2</v>
      </c>
      <c r="P286" s="46"/>
      <c r="Q286" s="46"/>
      <c r="R286" s="46"/>
      <c r="S286" s="46"/>
      <c r="T286" s="46"/>
      <c r="U286" s="46"/>
      <c r="V286" s="46"/>
      <c r="W286" s="46">
        <v>2905288.37</v>
      </c>
      <c r="X286" s="46">
        <v>1</v>
      </c>
      <c r="Y286" s="46">
        <v>2905288.37</v>
      </c>
      <c r="Z286" s="46"/>
      <c r="AA286" s="46"/>
      <c r="AB286" s="46"/>
    </row>
    <row r="287" spans="1:28" ht="13" x14ac:dyDescent="0.3">
      <c r="A287" s="46">
        <v>50</v>
      </c>
      <c r="B287" s="46">
        <v>0</v>
      </c>
      <c r="C287" s="46">
        <v>0</v>
      </c>
      <c r="D287" s="46">
        <v>1</v>
      </c>
      <c r="E287" s="46">
        <v>230</v>
      </c>
      <c r="F287" s="46">
        <f>ROUND(Source!BA267,O287)</f>
        <v>0</v>
      </c>
      <c r="G287" s="46" t="s">
        <v>250</v>
      </c>
      <c r="H287" s="46" t="s">
        <v>251</v>
      </c>
      <c r="I287" s="46"/>
      <c r="J287" s="46"/>
      <c r="K287" s="46">
        <v>230</v>
      </c>
      <c r="L287" s="46">
        <v>19</v>
      </c>
      <c r="M287" s="46">
        <v>3</v>
      </c>
      <c r="N287" s="46" t="s">
        <v>30</v>
      </c>
      <c r="O287" s="46">
        <v>2</v>
      </c>
      <c r="P287" s="46"/>
      <c r="Q287" s="46"/>
      <c r="R287" s="46"/>
      <c r="S287" s="46"/>
      <c r="T287" s="46"/>
      <c r="U287" s="46"/>
      <c r="V287" s="46"/>
      <c r="W287" s="46">
        <v>0</v>
      </c>
      <c r="X287" s="46">
        <v>1</v>
      </c>
      <c r="Y287" s="46">
        <v>0</v>
      </c>
      <c r="Z287" s="46"/>
      <c r="AA287" s="46"/>
      <c r="AB287" s="46"/>
    </row>
    <row r="288" spans="1:28" ht="13" x14ac:dyDescent="0.3">
      <c r="A288" s="46">
        <v>50</v>
      </c>
      <c r="B288" s="46">
        <v>0</v>
      </c>
      <c r="C288" s="46">
        <v>0</v>
      </c>
      <c r="D288" s="46">
        <v>1</v>
      </c>
      <c r="E288" s="46">
        <v>206</v>
      </c>
      <c r="F288" s="46">
        <f>ROUND(Source!T267,O288)</f>
        <v>0</v>
      </c>
      <c r="G288" s="46" t="s">
        <v>252</v>
      </c>
      <c r="H288" s="46" t="s">
        <v>253</v>
      </c>
      <c r="I288" s="46"/>
      <c r="J288" s="46"/>
      <c r="K288" s="46">
        <v>206</v>
      </c>
      <c r="L288" s="46">
        <v>20</v>
      </c>
      <c r="M288" s="46">
        <v>3</v>
      </c>
      <c r="N288" s="46" t="s">
        <v>30</v>
      </c>
      <c r="O288" s="46">
        <v>2</v>
      </c>
      <c r="P288" s="46"/>
      <c r="Q288" s="46"/>
      <c r="R288" s="46"/>
      <c r="S288" s="46"/>
      <c r="T288" s="46"/>
      <c r="U288" s="46"/>
      <c r="V288" s="46"/>
      <c r="W288" s="46">
        <v>0</v>
      </c>
      <c r="X288" s="46">
        <v>1</v>
      </c>
      <c r="Y288" s="46">
        <v>0</v>
      </c>
      <c r="Z288" s="46"/>
      <c r="AA288" s="46"/>
      <c r="AB288" s="46"/>
    </row>
    <row r="289" spans="1:28" ht="13" x14ac:dyDescent="0.3">
      <c r="A289" s="46">
        <v>50</v>
      </c>
      <c r="B289" s="46">
        <v>0</v>
      </c>
      <c r="C289" s="46">
        <v>0</v>
      </c>
      <c r="D289" s="46">
        <v>1</v>
      </c>
      <c r="E289" s="46">
        <v>207</v>
      </c>
      <c r="F289" s="46">
        <f>Source!U267</f>
        <v>967.32686149999995</v>
      </c>
      <c r="G289" s="46" t="s">
        <v>254</v>
      </c>
      <c r="H289" s="46" t="s">
        <v>255</v>
      </c>
      <c r="I289" s="46"/>
      <c r="J289" s="46"/>
      <c r="K289" s="46">
        <v>207</v>
      </c>
      <c r="L289" s="46">
        <v>21</v>
      </c>
      <c r="M289" s="46">
        <v>3</v>
      </c>
      <c r="N289" s="46" t="s">
        <v>30</v>
      </c>
      <c r="O289" s="46">
        <v>-1</v>
      </c>
      <c r="P289" s="46"/>
      <c r="Q289" s="46"/>
      <c r="R289" s="46"/>
      <c r="S289" s="46"/>
      <c r="T289" s="46"/>
      <c r="U289" s="46"/>
      <c r="V289" s="46"/>
      <c r="W289" s="46">
        <v>967.32686149999995</v>
      </c>
      <c r="X289" s="46">
        <v>1</v>
      </c>
      <c r="Y289" s="46">
        <v>967.32686149999995</v>
      </c>
      <c r="Z289" s="46"/>
      <c r="AA289" s="46"/>
      <c r="AB289" s="46"/>
    </row>
    <row r="290" spans="1:28" ht="13" x14ac:dyDescent="0.3">
      <c r="A290" s="46">
        <v>50</v>
      </c>
      <c r="B290" s="46">
        <v>0</v>
      </c>
      <c r="C290" s="46">
        <v>0</v>
      </c>
      <c r="D290" s="46">
        <v>1</v>
      </c>
      <c r="E290" s="46">
        <v>208</v>
      </c>
      <c r="F290" s="46">
        <f>Source!V267</f>
        <v>0</v>
      </c>
      <c r="G290" s="46" t="s">
        <v>256</v>
      </c>
      <c r="H290" s="46" t="s">
        <v>257</v>
      </c>
      <c r="I290" s="46"/>
      <c r="J290" s="46"/>
      <c r="K290" s="46">
        <v>208</v>
      </c>
      <c r="L290" s="46">
        <v>22</v>
      </c>
      <c r="M290" s="46">
        <v>3</v>
      </c>
      <c r="N290" s="46" t="s">
        <v>30</v>
      </c>
      <c r="O290" s="46">
        <v>-1</v>
      </c>
      <c r="P290" s="46"/>
      <c r="Q290" s="46"/>
      <c r="R290" s="46"/>
      <c r="S290" s="46"/>
      <c r="T290" s="46"/>
      <c r="U290" s="46"/>
      <c r="V290" s="46"/>
      <c r="W290" s="46">
        <v>0</v>
      </c>
      <c r="X290" s="46">
        <v>1</v>
      </c>
      <c r="Y290" s="46">
        <v>0</v>
      </c>
      <c r="Z290" s="46"/>
      <c r="AA290" s="46"/>
      <c r="AB290" s="46"/>
    </row>
    <row r="291" spans="1:28" ht="13" x14ac:dyDescent="0.3">
      <c r="A291" s="46">
        <v>50</v>
      </c>
      <c r="B291" s="46">
        <v>0</v>
      </c>
      <c r="C291" s="46">
        <v>0</v>
      </c>
      <c r="D291" s="46">
        <v>1</v>
      </c>
      <c r="E291" s="46">
        <v>209</v>
      </c>
      <c r="F291" s="46">
        <f>ROUND(Source!W267,O291)</f>
        <v>0</v>
      </c>
      <c r="G291" s="46" t="s">
        <v>258</v>
      </c>
      <c r="H291" s="46" t="s">
        <v>259</v>
      </c>
      <c r="I291" s="46"/>
      <c r="J291" s="46"/>
      <c r="K291" s="46">
        <v>209</v>
      </c>
      <c r="L291" s="46">
        <v>23</v>
      </c>
      <c r="M291" s="46">
        <v>3</v>
      </c>
      <c r="N291" s="46" t="s">
        <v>30</v>
      </c>
      <c r="O291" s="46">
        <v>2</v>
      </c>
      <c r="P291" s="46"/>
      <c r="Q291" s="46"/>
      <c r="R291" s="46"/>
      <c r="S291" s="46"/>
      <c r="T291" s="46"/>
      <c r="U291" s="46"/>
      <c r="V291" s="46"/>
      <c r="W291" s="46">
        <v>0</v>
      </c>
      <c r="X291" s="46">
        <v>1</v>
      </c>
      <c r="Y291" s="46">
        <v>0</v>
      </c>
      <c r="Z291" s="46"/>
      <c r="AA291" s="46"/>
      <c r="AB291" s="46"/>
    </row>
    <row r="292" spans="1:28" ht="13" x14ac:dyDescent="0.3">
      <c r="A292" s="46">
        <v>50</v>
      </c>
      <c r="B292" s="46">
        <v>0</v>
      </c>
      <c r="C292" s="46">
        <v>0</v>
      </c>
      <c r="D292" s="46">
        <v>1</v>
      </c>
      <c r="E292" s="46">
        <v>233</v>
      </c>
      <c r="F292" s="46">
        <f>ROUND(Source!BD267,O292)</f>
        <v>0</v>
      </c>
      <c r="G292" s="46" t="s">
        <v>260</v>
      </c>
      <c r="H292" s="46" t="s">
        <v>261</v>
      </c>
      <c r="I292" s="46"/>
      <c r="J292" s="46"/>
      <c r="K292" s="46">
        <v>233</v>
      </c>
      <c r="L292" s="46">
        <v>24</v>
      </c>
      <c r="M292" s="46">
        <v>3</v>
      </c>
      <c r="N292" s="46" t="s">
        <v>30</v>
      </c>
      <c r="O292" s="46">
        <v>2</v>
      </c>
      <c r="P292" s="46"/>
      <c r="Q292" s="46"/>
      <c r="R292" s="46"/>
      <c r="S292" s="46"/>
      <c r="T292" s="46"/>
      <c r="U292" s="46"/>
      <c r="V292" s="46"/>
      <c r="W292" s="46">
        <v>0</v>
      </c>
      <c r="X292" s="46">
        <v>1</v>
      </c>
      <c r="Y292" s="46">
        <v>0</v>
      </c>
      <c r="Z292" s="46"/>
      <c r="AA292" s="46"/>
      <c r="AB292" s="46"/>
    </row>
    <row r="293" spans="1:28" ht="13" x14ac:dyDescent="0.3">
      <c r="A293" s="46">
        <v>50</v>
      </c>
      <c r="B293" s="46">
        <v>0</v>
      </c>
      <c r="C293" s="46">
        <v>0</v>
      </c>
      <c r="D293" s="46">
        <v>1</v>
      </c>
      <c r="E293" s="46">
        <v>210</v>
      </c>
      <c r="F293" s="46">
        <f>ROUND(Source!X267,O293)</f>
        <v>148395.68</v>
      </c>
      <c r="G293" s="46" t="s">
        <v>262</v>
      </c>
      <c r="H293" s="46" t="s">
        <v>263</v>
      </c>
      <c r="I293" s="46"/>
      <c r="J293" s="46"/>
      <c r="K293" s="46">
        <v>210</v>
      </c>
      <c r="L293" s="46">
        <v>25</v>
      </c>
      <c r="M293" s="46">
        <v>3</v>
      </c>
      <c r="N293" s="46" t="s">
        <v>30</v>
      </c>
      <c r="O293" s="46">
        <v>2</v>
      </c>
      <c r="P293" s="46"/>
      <c r="Q293" s="46"/>
      <c r="R293" s="46"/>
      <c r="S293" s="46"/>
      <c r="T293" s="46"/>
      <c r="U293" s="46"/>
      <c r="V293" s="46"/>
      <c r="W293" s="46">
        <v>148395.68</v>
      </c>
      <c r="X293" s="46">
        <v>1</v>
      </c>
      <c r="Y293" s="46">
        <v>148395.68</v>
      </c>
      <c r="Z293" s="46"/>
      <c r="AA293" s="46"/>
      <c r="AB293" s="46"/>
    </row>
    <row r="294" spans="1:28" ht="13" x14ac:dyDescent="0.3">
      <c r="A294" s="46">
        <v>50</v>
      </c>
      <c r="B294" s="46">
        <v>0</v>
      </c>
      <c r="C294" s="46">
        <v>0</v>
      </c>
      <c r="D294" s="46">
        <v>1</v>
      </c>
      <c r="E294" s="46">
        <v>211</v>
      </c>
      <c r="F294" s="46">
        <f>ROUND(Source!Y267,O294)</f>
        <v>21199.38</v>
      </c>
      <c r="G294" s="46" t="s">
        <v>264</v>
      </c>
      <c r="H294" s="46" t="s">
        <v>265</v>
      </c>
      <c r="I294" s="46"/>
      <c r="J294" s="46"/>
      <c r="K294" s="46">
        <v>211</v>
      </c>
      <c r="L294" s="46">
        <v>26</v>
      </c>
      <c r="M294" s="46">
        <v>3</v>
      </c>
      <c r="N294" s="46" t="s">
        <v>30</v>
      </c>
      <c r="O294" s="46">
        <v>2</v>
      </c>
      <c r="P294" s="46"/>
      <c r="Q294" s="46"/>
      <c r="R294" s="46"/>
      <c r="S294" s="46"/>
      <c r="T294" s="46"/>
      <c r="U294" s="46"/>
      <c r="V294" s="46"/>
      <c r="W294" s="46">
        <v>21199.38</v>
      </c>
      <c r="X294" s="46">
        <v>1</v>
      </c>
      <c r="Y294" s="46">
        <v>21199.38</v>
      </c>
      <c r="Z294" s="46"/>
      <c r="AA294" s="46"/>
      <c r="AB294" s="46"/>
    </row>
    <row r="295" spans="1:28" ht="13" x14ac:dyDescent="0.3">
      <c r="A295" s="46">
        <v>50</v>
      </c>
      <c r="B295" s="46">
        <v>0</v>
      </c>
      <c r="C295" s="46">
        <v>0</v>
      </c>
      <c r="D295" s="46">
        <v>1</v>
      </c>
      <c r="E295" s="46">
        <v>224</v>
      </c>
      <c r="F295" s="46">
        <f>ROUND(Source!AR267,O295)</f>
        <v>2858463.37</v>
      </c>
      <c r="G295" s="46" t="s">
        <v>266</v>
      </c>
      <c r="H295" s="46" t="s">
        <v>267</v>
      </c>
      <c r="I295" s="46"/>
      <c r="J295" s="46"/>
      <c r="K295" s="46">
        <v>224</v>
      </c>
      <c r="L295" s="46">
        <v>27</v>
      </c>
      <c r="M295" s="46">
        <v>3</v>
      </c>
      <c r="N295" s="46" t="s">
        <v>30</v>
      </c>
      <c r="O295" s="46">
        <v>2</v>
      </c>
      <c r="P295" s="46"/>
      <c r="Q295" s="46"/>
      <c r="R295" s="46"/>
      <c r="S295" s="46"/>
      <c r="T295" s="46"/>
      <c r="U295" s="46"/>
      <c r="V295" s="46"/>
      <c r="W295" s="46">
        <v>2905288.37</v>
      </c>
      <c r="X295" s="46">
        <v>1</v>
      </c>
      <c r="Y295" s="46">
        <v>2905288.37</v>
      </c>
      <c r="Z295" s="46"/>
      <c r="AA295" s="46"/>
      <c r="AB295" s="46"/>
    </row>
    <row r="296" spans="1:28" ht="13" x14ac:dyDescent="0.3">
      <c r="A296" s="46">
        <v>50</v>
      </c>
      <c r="B296" s="46">
        <v>1</v>
      </c>
      <c r="C296" s="46">
        <v>0</v>
      </c>
      <c r="D296" s="46">
        <v>2</v>
      </c>
      <c r="E296" s="46">
        <v>0</v>
      </c>
      <c r="F296" s="46">
        <f>ROUND(F295,O296)</f>
        <v>2858463.37</v>
      </c>
      <c r="G296" s="46" t="s">
        <v>268</v>
      </c>
      <c r="H296" s="46" t="s">
        <v>269</v>
      </c>
      <c r="I296" s="46"/>
      <c r="J296" s="46"/>
      <c r="K296" s="46">
        <v>212</v>
      </c>
      <c r="L296" s="46">
        <v>28</v>
      </c>
      <c r="M296" s="46">
        <v>0</v>
      </c>
      <c r="N296" s="46" t="s">
        <v>30</v>
      </c>
      <c r="O296" s="46">
        <v>2</v>
      </c>
      <c r="P296" s="46"/>
      <c r="Q296" s="46"/>
      <c r="R296" s="46"/>
      <c r="S296" s="46"/>
      <c r="T296" s="46"/>
      <c r="U296" s="46"/>
      <c r="V296" s="46"/>
      <c r="W296" s="46">
        <v>2905288.37</v>
      </c>
      <c r="X296" s="46">
        <v>1</v>
      </c>
      <c r="Y296" s="46">
        <v>2905288.37</v>
      </c>
      <c r="Z296" s="46"/>
      <c r="AA296" s="46"/>
      <c r="AB296" s="46"/>
    </row>
    <row r="297" spans="1:28" ht="13" x14ac:dyDescent="0.3">
      <c r="A297" s="46">
        <v>50</v>
      </c>
      <c r="B297" s="46">
        <v>1</v>
      </c>
      <c r="C297" s="46">
        <v>0</v>
      </c>
      <c r="D297" s="46">
        <v>2</v>
      </c>
      <c r="E297" s="46">
        <v>0</v>
      </c>
      <c r="F297" s="46">
        <f>ROUND(F295-F282-F281,O297)</f>
        <v>2220133.69</v>
      </c>
      <c r="G297" s="46" t="s">
        <v>270</v>
      </c>
      <c r="H297" s="46" t="s">
        <v>271</v>
      </c>
      <c r="I297" s="46"/>
      <c r="J297" s="46"/>
      <c r="K297" s="46">
        <v>212</v>
      </c>
      <c r="L297" s="46">
        <v>29</v>
      </c>
      <c r="M297" s="46">
        <v>0</v>
      </c>
      <c r="N297" s="46" t="s">
        <v>30</v>
      </c>
      <c r="O297" s="46">
        <v>2</v>
      </c>
      <c r="P297" s="46"/>
      <c r="Q297" s="46"/>
      <c r="R297" s="46"/>
      <c r="S297" s="46"/>
      <c r="T297" s="46"/>
      <c r="U297" s="46"/>
      <c r="V297" s="46"/>
      <c r="W297" s="46">
        <v>2266958.69</v>
      </c>
      <c r="X297" s="46">
        <v>1</v>
      </c>
      <c r="Y297" s="46">
        <v>2266958.69</v>
      </c>
      <c r="Z297" s="46"/>
      <c r="AA297" s="46"/>
      <c r="AB297" s="46"/>
    </row>
    <row r="298" spans="1:28" ht="13" x14ac:dyDescent="0.3">
      <c r="A298" s="46">
        <v>50</v>
      </c>
      <c r="B298" s="46">
        <v>1</v>
      </c>
      <c r="C298" s="46">
        <v>0</v>
      </c>
      <c r="D298" s="46">
        <v>2</v>
      </c>
      <c r="E298" s="46">
        <v>0</v>
      </c>
      <c r="F298" s="46">
        <f>ROUND(F294,O298)</f>
        <v>21199.38</v>
      </c>
      <c r="G298" s="46" t="s">
        <v>25</v>
      </c>
      <c r="H298" s="46" t="s">
        <v>25</v>
      </c>
      <c r="I298" s="46"/>
      <c r="J298" s="46"/>
      <c r="K298" s="46">
        <v>212</v>
      </c>
      <c r="L298" s="46">
        <v>30</v>
      </c>
      <c r="M298" s="46">
        <v>0</v>
      </c>
      <c r="N298" s="46" t="s">
        <v>30</v>
      </c>
      <c r="O298" s="46">
        <v>2</v>
      </c>
      <c r="P298" s="46"/>
      <c r="Q298" s="46"/>
      <c r="R298" s="46"/>
      <c r="S298" s="46"/>
      <c r="T298" s="46"/>
      <c r="U298" s="46"/>
      <c r="V298" s="46"/>
      <c r="W298" s="46">
        <v>21199.38</v>
      </c>
      <c r="X298" s="46">
        <v>1</v>
      </c>
      <c r="Y298" s="46">
        <v>21199.38</v>
      </c>
      <c r="Z298" s="46"/>
      <c r="AA298" s="46"/>
      <c r="AB298" s="46"/>
    </row>
    <row r="299" spans="1:28" ht="13" x14ac:dyDescent="0.3">
      <c r="A299" s="46">
        <v>50</v>
      </c>
      <c r="B299" s="46">
        <v>1</v>
      </c>
      <c r="C299" s="46">
        <v>0</v>
      </c>
      <c r="D299" s="46">
        <v>2</v>
      </c>
      <c r="E299" s="46">
        <v>0</v>
      </c>
      <c r="F299" s="46">
        <f>ROUND(F304*0.3,O299)</f>
        <v>127900.76</v>
      </c>
      <c r="G299" s="46" t="s">
        <v>272</v>
      </c>
      <c r="H299" s="46" t="s">
        <v>272</v>
      </c>
      <c r="I299" s="46"/>
      <c r="J299" s="46"/>
      <c r="K299" s="46">
        <v>212</v>
      </c>
      <c r="L299" s="46">
        <v>31</v>
      </c>
      <c r="M299" s="46">
        <v>0</v>
      </c>
      <c r="N299" s="46" t="s">
        <v>30</v>
      </c>
      <c r="O299" s="46">
        <v>2</v>
      </c>
      <c r="P299" s="46"/>
      <c r="Q299" s="46"/>
      <c r="R299" s="46"/>
      <c r="S299" s="46"/>
      <c r="T299" s="46"/>
      <c r="U299" s="46"/>
      <c r="V299" s="46"/>
      <c r="W299" s="46">
        <v>127900.76</v>
      </c>
      <c r="X299" s="46">
        <v>1</v>
      </c>
      <c r="Y299" s="46">
        <v>127900.76</v>
      </c>
      <c r="Z299" s="46"/>
      <c r="AA299" s="46"/>
      <c r="AB299" s="46"/>
    </row>
    <row r="300" spans="1:28" ht="13" x14ac:dyDescent="0.3">
      <c r="A300" s="46">
        <v>50</v>
      </c>
      <c r="B300" s="46">
        <v>1</v>
      </c>
      <c r="C300" s="46">
        <v>0</v>
      </c>
      <c r="D300" s="46">
        <v>2</v>
      </c>
      <c r="E300" s="46">
        <v>0</v>
      </c>
      <c r="F300" s="46">
        <f>ROUND(F297-F298-F299,O300)</f>
        <v>2071033.55</v>
      </c>
      <c r="G300" s="46" t="s">
        <v>273</v>
      </c>
      <c r="H300" s="46" t="s">
        <v>274</v>
      </c>
      <c r="I300" s="46"/>
      <c r="J300" s="46"/>
      <c r="K300" s="46">
        <v>212</v>
      </c>
      <c r="L300" s="46">
        <v>32</v>
      </c>
      <c r="M300" s="46">
        <v>0</v>
      </c>
      <c r="N300" s="46" t="s">
        <v>30</v>
      </c>
      <c r="O300" s="46">
        <v>2</v>
      </c>
      <c r="P300" s="46"/>
      <c r="Q300" s="46"/>
      <c r="R300" s="46"/>
      <c r="S300" s="46"/>
      <c r="T300" s="46"/>
      <c r="U300" s="46"/>
      <c r="V300" s="46"/>
      <c r="W300" s="46">
        <v>2117858.5499999998</v>
      </c>
      <c r="X300" s="46">
        <v>1</v>
      </c>
      <c r="Y300" s="46">
        <v>2117858.5499999998</v>
      </c>
      <c r="Z300" s="46"/>
      <c r="AA300" s="46"/>
      <c r="AB300" s="46"/>
    </row>
    <row r="301" spans="1:28" ht="13" x14ac:dyDescent="0.3">
      <c r="A301" s="46">
        <v>50</v>
      </c>
      <c r="B301" s="46">
        <v>1</v>
      </c>
      <c r="C301" s="46">
        <v>0</v>
      </c>
      <c r="D301" s="46">
        <v>2</v>
      </c>
      <c r="E301" s="46">
        <v>0</v>
      </c>
      <c r="F301" s="46">
        <f>ROUND(F300*0.2,O301)</f>
        <v>414206.71</v>
      </c>
      <c r="G301" s="46" t="s">
        <v>42</v>
      </c>
      <c r="H301" s="46" t="s">
        <v>42</v>
      </c>
      <c r="I301" s="46"/>
      <c r="J301" s="46"/>
      <c r="K301" s="46">
        <v>212</v>
      </c>
      <c r="L301" s="46">
        <v>33</v>
      </c>
      <c r="M301" s="46">
        <v>0</v>
      </c>
      <c r="N301" s="46" t="s">
        <v>30</v>
      </c>
      <c r="O301" s="46">
        <v>2</v>
      </c>
      <c r="P301" s="46"/>
      <c r="Q301" s="46"/>
      <c r="R301" s="46"/>
      <c r="S301" s="46"/>
      <c r="T301" s="46"/>
      <c r="U301" s="46"/>
      <c r="V301" s="46"/>
      <c r="W301" s="46">
        <v>423571.71</v>
      </c>
      <c r="X301" s="46">
        <v>1</v>
      </c>
      <c r="Y301" s="46">
        <v>423571.71</v>
      </c>
      <c r="Z301" s="46"/>
      <c r="AA301" s="46"/>
      <c r="AB301" s="46"/>
    </row>
    <row r="302" spans="1:28" ht="13" x14ac:dyDescent="0.3">
      <c r="A302" s="46">
        <v>50</v>
      </c>
      <c r="B302" s="46">
        <v>1</v>
      </c>
      <c r="C302" s="46">
        <v>0</v>
      </c>
      <c r="D302" s="46">
        <v>2</v>
      </c>
      <c r="E302" s="46">
        <v>0</v>
      </c>
      <c r="F302" s="46">
        <f>ROUND(F300+F301,O302)</f>
        <v>2485240.2599999998</v>
      </c>
      <c r="G302" s="46" t="s">
        <v>43</v>
      </c>
      <c r="H302" s="46" t="s">
        <v>275</v>
      </c>
      <c r="I302" s="46"/>
      <c r="J302" s="46"/>
      <c r="K302" s="46">
        <v>212</v>
      </c>
      <c r="L302" s="46">
        <v>34</v>
      </c>
      <c r="M302" s="46">
        <v>0</v>
      </c>
      <c r="N302" s="46" t="s">
        <v>30</v>
      </c>
      <c r="O302" s="46">
        <v>2</v>
      </c>
      <c r="P302" s="46"/>
      <c r="Q302" s="46"/>
      <c r="R302" s="46"/>
      <c r="S302" s="46"/>
      <c r="T302" s="46"/>
      <c r="U302" s="46"/>
      <c r="V302" s="46"/>
      <c r="W302" s="46">
        <v>2541430.2599999998</v>
      </c>
      <c r="X302" s="46">
        <v>1</v>
      </c>
      <c r="Y302" s="46">
        <v>2541430.2599999998</v>
      </c>
      <c r="Z302" s="46"/>
      <c r="AA302" s="46"/>
      <c r="AB302" s="46"/>
    </row>
    <row r="303" spans="1:28" ht="13" x14ac:dyDescent="0.3">
      <c r="A303" s="46">
        <v>50</v>
      </c>
      <c r="B303" s="46">
        <v>1</v>
      </c>
      <c r="C303" s="46">
        <v>0</v>
      </c>
      <c r="D303" s="46">
        <v>2</v>
      </c>
      <c r="E303" s="46">
        <v>0</v>
      </c>
      <c r="F303" s="46">
        <f>ROUND(F282,O303)</f>
        <v>211993.83</v>
      </c>
      <c r="G303" s="46" t="s">
        <v>276</v>
      </c>
      <c r="H303" s="46" t="s">
        <v>277</v>
      </c>
      <c r="I303" s="46"/>
      <c r="J303" s="46"/>
      <c r="K303" s="46">
        <v>212</v>
      </c>
      <c r="L303" s="46">
        <v>35</v>
      </c>
      <c r="M303" s="46">
        <v>0</v>
      </c>
      <c r="N303" s="46" t="s">
        <v>30</v>
      </c>
      <c r="O303" s="46">
        <v>2</v>
      </c>
      <c r="P303" s="46"/>
      <c r="Q303" s="46"/>
      <c r="R303" s="46"/>
      <c r="S303" s="46"/>
      <c r="T303" s="46"/>
      <c r="U303" s="46"/>
      <c r="V303" s="46"/>
      <c r="W303" s="46">
        <v>211993.83</v>
      </c>
      <c r="X303" s="46">
        <v>1</v>
      </c>
      <c r="Y303" s="46">
        <v>211993.83</v>
      </c>
      <c r="Z303" s="46"/>
      <c r="AA303" s="46"/>
      <c r="AB303" s="46"/>
    </row>
    <row r="304" spans="1:28" ht="13" x14ac:dyDescent="0.3">
      <c r="A304" s="46">
        <v>50</v>
      </c>
      <c r="B304" s="46">
        <v>1</v>
      </c>
      <c r="C304" s="46">
        <v>0</v>
      </c>
      <c r="D304" s="46">
        <v>2</v>
      </c>
      <c r="E304" s="46">
        <v>0</v>
      </c>
      <c r="F304" s="46">
        <f>ROUND(F281,O304)</f>
        <v>426335.85</v>
      </c>
      <c r="G304" s="46" t="s">
        <v>278</v>
      </c>
      <c r="H304" s="46" t="s">
        <v>279</v>
      </c>
      <c r="I304" s="46"/>
      <c r="J304" s="46"/>
      <c r="K304" s="46">
        <v>212</v>
      </c>
      <c r="L304" s="46">
        <v>36</v>
      </c>
      <c r="M304" s="46">
        <v>0</v>
      </c>
      <c r="N304" s="46" t="s">
        <v>30</v>
      </c>
      <c r="O304" s="46">
        <v>2</v>
      </c>
      <c r="P304" s="46"/>
      <c r="Q304" s="46"/>
      <c r="R304" s="46"/>
      <c r="S304" s="46"/>
      <c r="T304" s="46"/>
      <c r="U304" s="46"/>
      <c r="V304" s="46"/>
      <c r="W304" s="46">
        <v>426335.85</v>
      </c>
      <c r="X304" s="46">
        <v>1</v>
      </c>
      <c r="Y304" s="46">
        <v>426335.85</v>
      </c>
      <c r="Z304" s="46"/>
      <c r="AA304" s="46"/>
      <c r="AB304" s="46"/>
    </row>
    <row r="305" spans="1:206" ht="13" x14ac:dyDescent="0.3">
      <c r="A305" s="46">
        <v>50</v>
      </c>
      <c r="B305" s="46">
        <v>1</v>
      </c>
      <c r="C305" s="46">
        <v>0</v>
      </c>
      <c r="D305" s="46">
        <v>2</v>
      </c>
      <c r="E305" s="46">
        <v>0</v>
      </c>
      <c r="F305" s="46">
        <f>ROUND(F302+F303+F304,O305)</f>
        <v>3123569.94</v>
      </c>
      <c r="G305" s="46" t="s">
        <v>266</v>
      </c>
      <c r="H305" s="46" t="s">
        <v>280</v>
      </c>
      <c r="I305" s="46"/>
      <c r="J305" s="46"/>
      <c r="K305" s="46">
        <v>212</v>
      </c>
      <c r="L305" s="46">
        <v>37</v>
      </c>
      <c r="M305" s="46">
        <v>0</v>
      </c>
      <c r="N305" s="46" t="s">
        <v>30</v>
      </c>
      <c r="O305" s="46">
        <v>2</v>
      </c>
      <c r="P305" s="46"/>
      <c r="Q305" s="46"/>
      <c r="R305" s="46"/>
      <c r="S305" s="46"/>
      <c r="T305" s="46"/>
      <c r="U305" s="46"/>
      <c r="V305" s="46"/>
      <c r="W305" s="46">
        <v>3179759.94</v>
      </c>
      <c r="X305" s="46">
        <v>1</v>
      </c>
      <c r="Y305" s="46">
        <v>3179759.94</v>
      </c>
      <c r="Z305" s="46"/>
      <c r="AA305" s="46"/>
      <c r="AB305" s="46"/>
    </row>
    <row r="307" spans="1:206" ht="13" x14ac:dyDescent="0.3">
      <c r="A307" s="44">
        <v>51</v>
      </c>
      <c r="B307" s="44">
        <f>B12</f>
        <v>350</v>
      </c>
      <c r="C307" s="44">
        <f>A12</f>
        <v>1</v>
      </c>
      <c r="D307" s="44">
        <f>ROW(A12)</f>
        <v>12</v>
      </c>
      <c r="E307" s="44"/>
      <c r="F307" s="44" t="str">
        <f>IF(F12&lt;&gt;"",F12,"")</f>
        <v>Г43 в ценах 2022г.</v>
      </c>
      <c r="G307" s="44" t="str">
        <f>IF(G12&lt;&gt;"",G12,"")</f>
        <v>Г19 к.1 -ремонт АБП</v>
      </c>
      <c r="H307" s="44">
        <v>0</v>
      </c>
      <c r="I307" s="44"/>
      <c r="J307" s="44"/>
      <c r="K307" s="44"/>
      <c r="L307" s="44"/>
      <c r="M307" s="44"/>
      <c r="N307" s="44"/>
      <c r="O307" s="44">
        <f t="shared" ref="O307:T307" si="151">ROUND(O267,2)</f>
        <v>2587724.33</v>
      </c>
      <c r="P307" s="44">
        <f t="shared" si="151"/>
        <v>1528289.97</v>
      </c>
      <c r="Q307" s="44">
        <f t="shared" si="151"/>
        <v>847440.53</v>
      </c>
      <c r="R307" s="44">
        <f t="shared" si="151"/>
        <v>426335.85</v>
      </c>
      <c r="S307" s="44">
        <f t="shared" si="151"/>
        <v>211993.83</v>
      </c>
      <c r="T307" s="44">
        <f t="shared" si="151"/>
        <v>0</v>
      </c>
      <c r="U307" s="44">
        <f>U267</f>
        <v>967.32686149999995</v>
      </c>
      <c r="V307" s="44">
        <f>V267</f>
        <v>0</v>
      </c>
      <c r="W307" s="44">
        <f>ROUND(W267,2)</f>
        <v>0</v>
      </c>
      <c r="X307" s="44">
        <f>ROUND(X267,2)</f>
        <v>148395.68</v>
      </c>
      <c r="Y307" s="44">
        <f>ROUND(Y267,2)</f>
        <v>21199.38</v>
      </c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  <c r="AL307" s="44"/>
      <c r="AM307" s="44"/>
      <c r="AN307" s="44"/>
      <c r="AO307" s="44">
        <f t="shared" ref="AO307:BD307" si="152">ROUND(AO267,2)</f>
        <v>0</v>
      </c>
      <c r="AP307" s="44">
        <f t="shared" si="152"/>
        <v>0</v>
      </c>
      <c r="AQ307" s="44">
        <f t="shared" si="152"/>
        <v>0</v>
      </c>
      <c r="AR307" s="44">
        <f t="shared" si="152"/>
        <v>2858463.37</v>
      </c>
      <c r="AS307" s="44">
        <f t="shared" si="152"/>
        <v>0</v>
      </c>
      <c r="AT307" s="44">
        <f t="shared" si="152"/>
        <v>0</v>
      </c>
      <c r="AU307" s="44">
        <f t="shared" si="152"/>
        <v>2858463.37</v>
      </c>
      <c r="AV307" s="44">
        <f t="shared" si="152"/>
        <v>1528289.97</v>
      </c>
      <c r="AW307" s="44">
        <f t="shared" si="152"/>
        <v>1528289.97</v>
      </c>
      <c r="AX307" s="44">
        <f t="shared" si="152"/>
        <v>0</v>
      </c>
      <c r="AY307" s="44">
        <f t="shared" si="152"/>
        <v>1528289.97</v>
      </c>
      <c r="AZ307" s="44">
        <f t="shared" si="152"/>
        <v>0</v>
      </c>
      <c r="BA307" s="44">
        <f t="shared" si="152"/>
        <v>0</v>
      </c>
      <c r="BB307" s="44">
        <f t="shared" si="152"/>
        <v>0</v>
      </c>
      <c r="BC307" s="44">
        <f t="shared" si="152"/>
        <v>0</v>
      </c>
      <c r="BD307" s="44">
        <f t="shared" si="152"/>
        <v>0</v>
      </c>
      <c r="BE307" s="44"/>
      <c r="BF307" s="44"/>
      <c r="BG307" s="44"/>
      <c r="BH307" s="44"/>
      <c r="BI307" s="44"/>
      <c r="BJ307" s="44"/>
      <c r="BK307" s="44"/>
      <c r="BL307" s="44"/>
      <c r="BM307" s="44"/>
      <c r="BN307" s="44"/>
      <c r="BO307" s="44"/>
      <c r="BP307" s="44"/>
      <c r="BQ307" s="44"/>
      <c r="BR307" s="44"/>
      <c r="BS307" s="44"/>
      <c r="BT307" s="44"/>
      <c r="BU307" s="44"/>
      <c r="BV307" s="44"/>
      <c r="BW307" s="44"/>
      <c r="BX307" s="44"/>
      <c r="BY307" s="44"/>
      <c r="BZ307" s="44"/>
      <c r="CA307" s="44"/>
      <c r="CB307" s="44"/>
      <c r="CC307" s="44"/>
      <c r="CD307" s="44"/>
      <c r="CE307" s="44"/>
      <c r="CF307" s="44"/>
      <c r="CG307" s="44"/>
      <c r="CH307" s="44"/>
      <c r="CI307" s="44"/>
      <c r="CJ307" s="44"/>
      <c r="CK307" s="44"/>
      <c r="CL307" s="44"/>
      <c r="CM307" s="44"/>
      <c r="CN307" s="44"/>
      <c r="CO307" s="44"/>
      <c r="CP307" s="44"/>
      <c r="CQ307" s="44"/>
      <c r="CR307" s="44"/>
      <c r="CS307" s="44"/>
      <c r="CT307" s="44"/>
      <c r="CU307" s="44"/>
      <c r="CV307" s="44"/>
      <c r="CW307" s="44"/>
      <c r="CX307" s="44"/>
      <c r="CY307" s="44"/>
      <c r="CZ307" s="44"/>
      <c r="DA307" s="44"/>
      <c r="DB307" s="44"/>
      <c r="DC307" s="44"/>
      <c r="DD307" s="44"/>
      <c r="DE307" s="44"/>
      <c r="DF307" s="44"/>
      <c r="DG307" s="45"/>
      <c r="DH307" s="45"/>
      <c r="DI307" s="45"/>
      <c r="DJ307" s="45"/>
      <c r="DK307" s="45"/>
      <c r="DL307" s="45"/>
      <c r="DM307" s="45"/>
      <c r="DN307" s="45"/>
      <c r="DO307" s="45"/>
      <c r="DP307" s="45"/>
      <c r="DQ307" s="45"/>
      <c r="DR307" s="45"/>
      <c r="DS307" s="45"/>
      <c r="DT307" s="45"/>
      <c r="DU307" s="45"/>
      <c r="DV307" s="45"/>
      <c r="DW307" s="45"/>
      <c r="DX307" s="45"/>
      <c r="DY307" s="45"/>
      <c r="DZ307" s="45"/>
      <c r="EA307" s="45"/>
      <c r="EB307" s="45"/>
      <c r="EC307" s="45"/>
      <c r="ED307" s="45"/>
      <c r="EE307" s="45"/>
      <c r="EF307" s="45"/>
      <c r="EG307" s="45"/>
      <c r="EH307" s="45"/>
      <c r="EI307" s="45"/>
      <c r="EJ307" s="45"/>
      <c r="EK307" s="45"/>
      <c r="EL307" s="45"/>
      <c r="EM307" s="45"/>
      <c r="EN307" s="45"/>
      <c r="EO307" s="45"/>
      <c r="EP307" s="45"/>
      <c r="EQ307" s="45"/>
      <c r="ER307" s="45"/>
      <c r="ES307" s="45"/>
      <c r="ET307" s="45"/>
      <c r="EU307" s="45"/>
      <c r="EV307" s="45"/>
      <c r="EW307" s="45"/>
      <c r="EX307" s="45"/>
      <c r="EY307" s="45"/>
      <c r="EZ307" s="45"/>
      <c r="FA307" s="45"/>
      <c r="FB307" s="45"/>
      <c r="FC307" s="45"/>
      <c r="FD307" s="45"/>
      <c r="FE307" s="45"/>
      <c r="FF307" s="45"/>
      <c r="FG307" s="45"/>
      <c r="FH307" s="45"/>
      <c r="FI307" s="45"/>
      <c r="FJ307" s="45"/>
      <c r="FK307" s="45"/>
      <c r="FL307" s="45"/>
      <c r="FM307" s="45"/>
      <c r="FN307" s="45"/>
      <c r="FO307" s="45"/>
      <c r="FP307" s="45"/>
      <c r="FQ307" s="45"/>
      <c r="FR307" s="45"/>
      <c r="FS307" s="45"/>
      <c r="FT307" s="45"/>
      <c r="FU307" s="45"/>
      <c r="FV307" s="45"/>
      <c r="FW307" s="45"/>
      <c r="FX307" s="45"/>
      <c r="FY307" s="45"/>
      <c r="FZ307" s="45"/>
      <c r="GA307" s="45"/>
      <c r="GB307" s="45"/>
      <c r="GC307" s="45"/>
      <c r="GD307" s="45"/>
      <c r="GE307" s="45"/>
      <c r="GF307" s="45"/>
      <c r="GG307" s="45"/>
      <c r="GH307" s="45"/>
      <c r="GI307" s="45"/>
      <c r="GJ307" s="45"/>
      <c r="GK307" s="45"/>
      <c r="GL307" s="45"/>
      <c r="GM307" s="45"/>
      <c r="GN307" s="45"/>
      <c r="GO307" s="45"/>
      <c r="GP307" s="45"/>
      <c r="GQ307" s="45"/>
      <c r="GR307" s="45"/>
      <c r="GS307" s="45"/>
      <c r="GT307" s="45"/>
      <c r="GU307" s="45"/>
      <c r="GV307" s="45"/>
      <c r="GW307" s="45"/>
      <c r="GX307" s="45">
        <v>0</v>
      </c>
    </row>
    <row r="309" spans="1:206" ht="13" x14ac:dyDescent="0.3">
      <c r="A309" s="46">
        <v>50</v>
      </c>
      <c r="B309" s="46">
        <v>0</v>
      </c>
      <c r="C309" s="46">
        <v>0</v>
      </c>
      <c r="D309" s="46">
        <v>1</v>
      </c>
      <c r="E309" s="46">
        <v>201</v>
      </c>
      <c r="F309" s="46">
        <f>ROUND(Source!O307,O309)</f>
        <v>2587724.33</v>
      </c>
      <c r="G309" s="46" t="s">
        <v>214</v>
      </c>
      <c r="H309" s="46" t="s">
        <v>215</v>
      </c>
      <c r="I309" s="46"/>
      <c r="J309" s="46"/>
      <c r="K309" s="46">
        <v>201</v>
      </c>
      <c r="L309" s="46">
        <v>1</v>
      </c>
      <c r="M309" s="46">
        <v>3</v>
      </c>
      <c r="N309" s="46" t="s">
        <v>30</v>
      </c>
      <c r="O309" s="46">
        <v>2</v>
      </c>
      <c r="P309" s="46"/>
      <c r="Q309" s="46"/>
      <c r="R309" s="46"/>
      <c r="S309" s="46"/>
      <c r="T309" s="46"/>
      <c r="U309" s="46"/>
      <c r="V309" s="46"/>
      <c r="W309" s="46">
        <v>2634549.33</v>
      </c>
      <c r="X309" s="46">
        <v>1</v>
      </c>
      <c r="Y309" s="46">
        <v>2634549.33</v>
      </c>
      <c r="Z309" s="46"/>
      <c r="AA309" s="46"/>
      <c r="AB309" s="46"/>
    </row>
    <row r="310" spans="1:206" ht="13" x14ac:dyDescent="0.3">
      <c r="A310" s="46">
        <v>50</v>
      </c>
      <c r="B310" s="46">
        <v>0</v>
      </c>
      <c r="C310" s="46">
        <v>0</v>
      </c>
      <c r="D310" s="46">
        <v>1</v>
      </c>
      <c r="E310" s="46">
        <v>202</v>
      </c>
      <c r="F310" s="46">
        <f>ROUND(Source!P307,O310)</f>
        <v>1528289.97</v>
      </c>
      <c r="G310" s="46" t="s">
        <v>216</v>
      </c>
      <c r="H310" s="46" t="s">
        <v>217</v>
      </c>
      <c r="I310" s="46"/>
      <c r="J310" s="46"/>
      <c r="K310" s="46">
        <v>202</v>
      </c>
      <c r="L310" s="46">
        <v>2</v>
      </c>
      <c r="M310" s="46">
        <v>3</v>
      </c>
      <c r="N310" s="46" t="s">
        <v>30</v>
      </c>
      <c r="O310" s="46">
        <v>2</v>
      </c>
      <c r="P310" s="46"/>
      <c r="Q310" s="46"/>
      <c r="R310" s="46"/>
      <c r="S310" s="46"/>
      <c r="T310" s="46"/>
      <c r="U310" s="46"/>
      <c r="V310" s="46"/>
      <c r="W310" s="46">
        <v>1575114.97</v>
      </c>
      <c r="X310" s="46">
        <v>1</v>
      </c>
      <c r="Y310" s="46">
        <v>1575114.97</v>
      </c>
      <c r="Z310" s="46"/>
      <c r="AA310" s="46"/>
      <c r="AB310" s="46"/>
    </row>
    <row r="311" spans="1:206" ht="13" x14ac:dyDescent="0.3">
      <c r="A311" s="46">
        <v>50</v>
      </c>
      <c r="B311" s="46">
        <v>0</v>
      </c>
      <c r="C311" s="46">
        <v>0</v>
      </c>
      <c r="D311" s="46">
        <v>1</v>
      </c>
      <c r="E311" s="46">
        <v>222</v>
      </c>
      <c r="F311" s="46">
        <f>ROUND(Source!AO307,O311)</f>
        <v>0</v>
      </c>
      <c r="G311" s="46" t="s">
        <v>218</v>
      </c>
      <c r="H311" s="46" t="s">
        <v>219</v>
      </c>
      <c r="I311" s="46"/>
      <c r="J311" s="46"/>
      <c r="K311" s="46">
        <v>222</v>
      </c>
      <c r="L311" s="46">
        <v>3</v>
      </c>
      <c r="M311" s="46">
        <v>3</v>
      </c>
      <c r="N311" s="46" t="s">
        <v>30</v>
      </c>
      <c r="O311" s="46">
        <v>2</v>
      </c>
      <c r="P311" s="46"/>
      <c r="Q311" s="46"/>
      <c r="R311" s="46"/>
      <c r="S311" s="46"/>
      <c r="T311" s="46"/>
      <c r="U311" s="46"/>
      <c r="V311" s="46"/>
      <c r="W311" s="46">
        <v>0</v>
      </c>
      <c r="X311" s="46">
        <v>1</v>
      </c>
      <c r="Y311" s="46">
        <v>0</v>
      </c>
      <c r="Z311" s="46"/>
      <c r="AA311" s="46"/>
      <c r="AB311" s="46"/>
    </row>
    <row r="312" spans="1:206" ht="13" x14ac:dyDescent="0.3">
      <c r="A312" s="46">
        <v>50</v>
      </c>
      <c r="B312" s="46">
        <v>0</v>
      </c>
      <c r="C312" s="46">
        <v>0</v>
      </c>
      <c r="D312" s="46">
        <v>1</v>
      </c>
      <c r="E312" s="46">
        <v>225</v>
      </c>
      <c r="F312" s="46">
        <f>ROUND(Source!AV307,O312)</f>
        <v>1528289.97</v>
      </c>
      <c r="G312" s="46" t="s">
        <v>220</v>
      </c>
      <c r="H312" s="46" t="s">
        <v>221</v>
      </c>
      <c r="I312" s="46"/>
      <c r="J312" s="46"/>
      <c r="K312" s="46">
        <v>225</v>
      </c>
      <c r="L312" s="46">
        <v>4</v>
      </c>
      <c r="M312" s="46">
        <v>3</v>
      </c>
      <c r="N312" s="46" t="s">
        <v>30</v>
      </c>
      <c r="O312" s="46">
        <v>2</v>
      </c>
      <c r="P312" s="46"/>
      <c r="Q312" s="46"/>
      <c r="R312" s="46"/>
      <c r="S312" s="46"/>
      <c r="T312" s="46"/>
      <c r="U312" s="46"/>
      <c r="V312" s="46"/>
      <c r="W312" s="46">
        <v>1575114.97</v>
      </c>
      <c r="X312" s="46">
        <v>1</v>
      </c>
      <c r="Y312" s="46">
        <v>1575114.97</v>
      </c>
      <c r="Z312" s="46"/>
      <c r="AA312" s="46"/>
      <c r="AB312" s="46"/>
    </row>
    <row r="313" spans="1:206" ht="13" x14ac:dyDescent="0.3">
      <c r="A313" s="46">
        <v>50</v>
      </c>
      <c r="B313" s="46">
        <v>0</v>
      </c>
      <c r="C313" s="46">
        <v>0</v>
      </c>
      <c r="D313" s="46">
        <v>1</v>
      </c>
      <c r="E313" s="46">
        <v>226</v>
      </c>
      <c r="F313" s="46">
        <f>ROUND(Source!AW307,O313)</f>
        <v>1528289.97</v>
      </c>
      <c r="G313" s="46" t="s">
        <v>222</v>
      </c>
      <c r="H313" s="46" t="s">
        <v>223</v>
      </c>
      <c r="I313" s="46"/>
      <c r="J313" s="46"/>
      <c r="K313" s="46">
        <v>226</v>
      </c>
      <c r="L313" s="46">
        <v>5</v>
      </c>
      <c r="M313" s="46">
        <v>3</v>
      </c>
      <c r="N313" s="46" t="s">
        <v>30</v>
      </c>
      <c r="O313" s="46">
        <v>2</v>
      </c>
      <c r="P313" s="46"/>
      <c r="Q313" s="46"/>
      <c r="R313" s="46"/>
      <c r="S313" s="46"/>
      <c r="T313" s="46"/>
      <c r="U313" s="46"/>
      <c r="V313" s="46"/>
      <c r="W313" s="46">
        <v>1575114.97</v>
      </c>
      <c r="X313" s="46">
        <v>1</v>
      </c>
      <c r="Y313" s="46">
        <v>1575114.97</v>
      </c>
      <c r="Z313" s="46"/>
      <c r="AA313" s="46"/>
      <c r="AB313" s="46"/>
    </row>
    <row r="314" spans="1:206" ht="13" x14ac:dyDescent="0.3">
      <c r="A314" s="46">
        <v>50</v>
      </c>
      <c r="B314" s="46">
        <v>0</v>
      </c>
      <c r="C314" s="46">
        <v>0</v>
      </c>
      <c r="D314" s="46">
        <v>1</v>
      </c>
      <c r="E314" s="46">
        <v>227</v>
      </c>
      <c r="F314" s="46">
        <f>ROUND(Source!AX307,O314)</f>
        <v>0</v>
      </c>
      <c r="G314" s="46" t="s">
        <v>224</v>
      </c>
      <c r="H314" s="46" t="s">
        <v>225</v>
      </c>
      <c r="I314" s="46"/>
      <c r="J314" s="46"/>
      <c r="K314" s="46">
        <v>227</v>
      </c>
      <c r="L314" s="46">
        <v>6</v>
      </c>
      <c r="M314" s="46">
        <v>3</v>
      </c>
      <c r="N314" s="46" t="s">
        <v>30</v>
      </c>
      <c r="O314" s="46">
        <v>2</v>
      </c>
      <c r="P314" s="46"/>
      <c r="Q314" s="46"/>
      <c r="R314" s="46"/>
      <c r="S314" s="46"/>
      <c r="T314" s="46"/>
      <c r="U314" s="46"/>
      <c r="V314" s="46"/>
      <c r="W314" s="46">
        <v>0</v>
      </c>
      <c r="X314" s="46">
        <v>1</v>
      </c>
      <c r="Y314" s="46">
        <v>0</v>
      </c>
      <c r="Z314" s="46"/>
      <c r="AA314" s="46"/>
      <c r="AB314" s="46"/>
    </row>
    <row r="315" spans="1:206" ht="13" x14ac:dyDescent="0.3">
      <c r="A315" s="46">
        <v>50</v>
      </c>
      <c r="B315" s="46">
        <v>0</v>
      </c>
      <c r="C315" s="46">
        <v>0</v>
      </c>
      <c r="D315" s="46">
        <v>1</v>
      </c>
      <c r="E315" s="46">
        <v>228</v>
      </c>
      <c r="F315" s="46">
        <f>ROUND(Source!AY307,O315)</f>
        <v>1528289.97</v>
      </c>
      <c r="G315" s="46" t="s">
        <v>226</v>
      </c>
      <c r="H315" s="46" t="s">
        <v>227</v>
      </c>
      <c r="I315" s="46"/>
      <c r="J315" s="46"/>
      <c r="K315" s="46">
        <v>228</v>
      </c>
      <c r="L315" s="46">
        <v>7</v>
      </c>
      <c r="M315" s="46">
        <v>3</v>
      </c>
      <c r="N315" s="46" t="s">
        <v>30</v>
      </c>
      <c r="O315" s="46">
        <v>2</v>
      </c>
      <c r="P315" s="46"/>
      <c r="Q315" s="46"/>
      <c r="R315" s="46"/>
      <c r="S315" s="46"/>
      <c r="T315" s="46"/>
      <c r="U315" s="46"/>
      <c r="V315" s="46"/>
      <c r="W315" s="46">
        <v>1575114.97</v>
      </c>
      <c r="X315" s="46">
        <v>1</v>
      </c>
      <c r="Y315" s="46">
        <v>1575114.97</v>
      </c>
      <c r="Z315" s="46"/>
      <c r="AA315" s="46"/>
      <c r="AB315" s="46"/>
    </row>
    <row r="316" spans="1:206" ht="13" x14ac:dyDescent="0.3">
      <c r="A316" s="46">
        <v>50</v>
      </c>
      <c r="B316" s="46">
        <v>0</v>
      </c>
      <c r="C316" s="46">
        <v>0</v>
      </c>
      <c r="D316" s="46">
        <v>1</v>
      </c>
      <c r="E316" s="46">
        <v>216</v>
      </c>
      <c r="F316" s="46">
        <f>ROUND(Source!AP307,O316)</f>
        <v>0</v>
      </c>
      <c r="G316" s="46" t="s">
        <v>228</v>
      </c>
      <c r="H316" s="46" t="s">
        <v>229</v>
      </c>
      <c r="I316" s="46"/>
      <c r="J316" s="46"/>
      <c r="K316" s="46">
        <v>216</v>
      </c>
      <c r="L316" s="46">
        <v>8</v>
      </c>
      <c r="M316" s="46">
        <v>3</v>
      </c>
      <c r="N316" s="46" t="s">
        <v>30</v>
      </c>
      <c r="O316" s="46">
        <v>2</v>
      </c>
      <c r="P316" s="46"/>
      <c r="Q316" s="46"/>
      <c r="R316" s="46"/>
      <c r="S316" s="46"/>
      <c r="T316" s="46"/>
      <c r="U316" s="46"/>
      <c r="V316" s="46"/>
      <c r="W316" s="46">
        <v>0</v>
      </c>
      <c r="X316" s="46">
        <v>1</v>
      </c>
      <c r="Y316" s="46">
        <v>0</v>
      </c>
      <c r="Z316" s="46"/>
      <c r="AA316" s="46"/>
      <c r="AB316" s="46"/>
    </row>
    <row r="317" spans="1:206" ht="13" x14ac:dyDescent="0.3">
      <c r="A317" s="46">
        <v>50</v>
      </c>
      <c r="B317" s="46">
        <v>0</v>
      </c>
      <c r="C317" s="46">
        <v>0</v>
      </c>
      <c r="D317" s="46">
        <v>1</v>
      </c>
      <c r="E317" s="46">
        <v>223</v>
      </c>
      <c r="F317" s="46">
        <f>ROUND(Source!AQ307,O317)</f>
        <v>0</v>
      </c>
      <c r="G317" s="46" t="s">
        <v>230</v>
      </c>
      <c r="H317" s="46" t="s">
        <v>231</v>
      </c>
      <c r="I317" s="46"/>
      <c r="J317" s="46"/>
      <c r="K317" s="46">
        <v>223</v>
      </c>
      <c r="L317" s="46">
        <v>9</v>
      </c>
      <c r="M317" s="46">
        <v>3</v>
      </c>
      <c r="N317" s="46" t="s">
        <v>30</v>
      </c>
      <c r="O317" s="46">
        <v>2</v>
      </c>
      <c r="P317" s="46"/>
      <c r="Q317" s="46"/>
      <c r="R317" s="46"/>
      <c r="S317" s="46"/>
      <c r="T317" s="46"/>
      <c r="U317" s="46"/>
      <c r="V317" s="46"/>
      <c r="W317" s="46">
        <v>0</v>
      </c>
      <c r="X317" s="46">
        <v>1</v>
      </c>
      <c r="Y317" s="46">
        <v>0</v>
      </c>
      <c r="Z317" s="46"/>
      <c r="AA317" s="46"/>
      <c r="AB317" s="46"/>
    </row>
    <row r="318" spans="1:206" ht="13" x14ac:dyDescent="0.3">
      <c r="A318" s="46">
        <v>50</v>
      </c>
      <c r="B318" s="46">
        <v>0</v>
      </c>
      <c r="C318" s="46">
        <v>0</v>
      </c>
      <c r="D318" s="46">
        <v>1</v>
      </c>
      <c r="E318" s="46">
        <v>229</v>
      </c>
      <c r="F318" s="46">
        <f>ROUND(Source!AZ307,O318)</f>
        <v>0</v>
      </c>
      <c r="G318" s="46" t="s">
        <v>232</v>
      </c>
      <c r="H318" s="46" t="s">
        <v>233</v>
      </c>
      <c r="I318" s="46"/>
      <c r="J318" s="46"/>
      <c r="K318" s="46">
        <v>229</v>
      </c>
      <c r="L318" s="46">
        <v>10</v>
      </c>
      <c r="M318" s="46">
        <v>3</v>
      </c>
      <c r="N318" s="46" t="s">
        <v>30</v>
      </c>
      <c r="O318" s="46">
        <v>2</v>
      </c>
      <c r="P318" s="46"/>
      <c r="Q318" s="46"/>
      <c r="R318" s="46"/>
      <c r="S318" s="46"/>
      <c r="T318" s="46"/>
      <c r="U318" s="46"/>
      <c r="V318" s="46"/>
      <c r="W318" s="46">
        <v>0</v>
      </c>
      <c r="X318" s="46">
        <v>1</v>
      </c>
      <c r="Y318" s="46">
        <v>0</v>
      </c>
      <c r="Z318" s="46"/>
      <c r="AA318" s="46"/>
      <c r="AB318" s="46"/>
    </row>
    <row r="319" spans="1:206" ht="13" x14ac:dyDescent="0.3">
      <c r="A319" s="46">
        <v>50</v>
      </c>
      <c r="B319" s="46">
        <v>0</v>
      </c>
      <c r="C319" s="46">
        <v>0</v>
      </c>
      <c r="D319" s="46">
        <v>1</v>
      </c>
      <c r="E319" s="46">
        <v>203</v>
      </c>
      <c r="F319" s="46">
        <f>ROUND(Source!Q307,O319)</f>
        <v>847440.53</v>
      </c>
      <c r="G319" s="46" t="s">
        <v>234</v>
      </c>
      <c r="H319" s="46" t="s">
        <v>235</v>
      </c>
      <c r="I319" s="46"/>
      <c r="J319" s="46"/>
      <c r="K319" s="46">
        <v>203</v>
      </c>
      <c r="L319" s="46">
        <v>11</v>
      </c>
      <c r="M319" s="46">
        <v>3</v>
      </c>
      <c r="N319" s="46" t="s">
        <v>30</v>
      </c>
      <c r="O319" s="46">
        <v>2</v>
      </c>
      <c r="P319" s="46"/>
      <c r="Q319" s="46"/>
      <c r="R319" s="46"/>
      <c r="S319" s="46"/>
      <c r="T319" s="46"/>
      <c r="U319" s="46"/>
      <c r="V319" s="46"/>
      <c r="W319" s="46">
        <v>847440.53</v>
      </c>
      <c r="X319" s="46">
        <v>1</v>
      </c>
      <c r="Y319" s="46">
        <v>847440.53</v>
      </c>
      <c r="Z319" s="46"/>
      <c r="AA319" s="46"/>
      <c r="AB319" s="46"/>
    </row>
    <row r="320" spans="1:206" ht="13" x14ac:dyDescent="0.3">
      <c r="A320" s="46">
        <v>50</v>
      </c>
      <c r="B320" s="46">
        <v>0</v>
      </c>
      <c r="C320" s="46">
        <v>0</v>
      </c>
      <c r="D320" s="46">
        <v>1</v>
      </c>
      <c r="E320" s="46">
        <v>231</v>
      </c>
      <c r="F320" s="46">
        <f>ROUND(Source!BB307,O320)</f>
        <v>0</v>
      </c>
      <c r="G320" s="46" t="s">
        <v>236</v>
      </c>
      <c r="H320" s="46" t="s">
        <v>237</v>
      </c>
      <c r="I320" s="46"/>
      <c r="J320" s="46"/>
      <c r="K320" s="46">
        <v>231</v>
      </c>
      <c r="L320" s="46">
        <v>12</v>
      </c>
      <c r="M320" s="46">
        <v>3</v>
      </c>
      <c r="N320" s="46" t="s">
        <v>30</v>
      </c>
      <c r="O320" s="46">
        <v>2</v>
      </c>
      <c r="P320" s="46"/>
      <c r="Q320" s="46"/>
      <c r="R320" s="46"/>
      <c r="S320" s="46"/>
      <c r="T320" s="46"/>
      <c r="U320" s="46"/>
      <c r="V320" s="46"/>
      <c r="W320" s="46">
        <v>0</v>
      </c>
      <c r="X320" s="46">
        <v>1</v>
      </c>
      <c r="Y320" s="46">
        <v>0</v>
      </c>
      <c r="Z320" s="46"/>
      <c r="AA320" s="46"/>
      <c r="AB320" s="46"/>
    </row>
    <row r="321" spans="1:28" ht="13" x14ac:dyDescent="0.3">
      <c r="A321" s="46">
        <v>50</v>
      </c>
      <c r="B321" s="46">
        <v>0</v>
      </c>
      <c r="C321" s="46">
        <v>0</v>
      </c>
      <c r="D321" s="46">
        <v>1</v>
      </c>
      <c r="E321" s="46">
        <v>204</v>
      </c>
      <c r="F321" s="46">
        <f>ROUND(Source!R307,O321)</f>
        <v>426335.85</v>
      </c>
      <c r="G321" s="46" t="s">
        <v>238</v>
      </c>
      <c r="H321" s="46" t="s">
        <v>239</v>
      </c>
      <c r="I321" s="46"/>
      <c r="J321" s="46"/>
      <c r="K321" s="46">
        <v>204</v>
      </c>
      <c r="L321" s="46">
        <v>13</v>
      </c>
      <c r="M321" s="46">
        <v>3</v>
      </c>
      <c r="N321" s="46" t="s">
        <v>30</v>
      </c>
      <c r="O321" s="46">
        <v>2</v>
      </c>
      <c r="P321" s="46"/>
      <c r="Q321" s="46"/>
      <c r="R321" s="46"/>
      <c r="S321" s="46"/>
      <c r="T321" s="46"/>
      <c r="U321" s="46"/>
      <c r="V321" s="46"/>
      <c r="W321" s="46">
        <v>426335.85</v>
      </c>
      <c r="X321" s="46">
        <v>1</v>
      </c>
      <c r="Y321" s="46">
        <v>426335.85</v>
      </c>
      <c r="Z321" s="46"/>
      <c r="AA321" s="46"/>
      <c r="AB321" s="46"/>
    </row>
    <row r="322" spans="1:28" ht="13" x14ac:dyDescent="0.3">
      <c r="A322" s="46">
        <v>50</v>
      </c>
      <c r="B322" s="46">
        <v>0</v>
      </c>
      <c r="C322" s="46">
        <v>0</v>
      </c>
      <c r="D322" s="46">
        <v>1</v>
      </c>
      <c r="E322" s="46">
        <v>205</v>
      </c>
      <c r="F322" s="46">
        <f>ROUND(Source!S307,O322)</f>
        <v>211993.83</v>
      </c>
      <c r="G322" s="46" t="s">
        <v>240</v>
      </c>
      <c r="H322" s="46" t="s">
        <v>241</v>
      </c>
      <c r="I322" s="46"/>
      <c r="J322" s="46"/>
      <c r="K322" s="46">
        <v>205</v>
      </c>
      <c r="L322" s="46">
        <v>14</v>
      </c>
      <c r="M322" s="46">
        <v>3</v>
      </c>
      <c r="N322" s="46" t="s">
        <v>30</v>
      </c>
      <c r="O322" s="46">
        <v>2</v>
      </c>
      <c r="P322" s="46"/>
      <c r="Q322" s="46"/>
      <c r="R322" s="46"/>
      <c r="S322" s="46"/>
      <c r="T322" s="46"/>
      <c r="U322" s="46"/>
      <c r="V322" s="46"/>
      <c r="W322" s="46">
        <v>211993.83</v>
      </c>
      <c r="X322" s="46">
        <v>1</v>
      </c>
      <c r="Y322" s="46">
        <v>211993.83</v>
      </c>
      <c r="Z322" s="46"/>
      <c r="AA322" s="46"/>
      <c r="AB322" s="46"/>
    </row>
    <row r="323" spans="1:28" ht="13" x14ac:dyDescent="0.3">
      <c r="A323" s="46">
        <v>50</v>
      </c>
      <c r="B323" s="46">
        <v>0</v>
      </c>
      <c r="C323" s="46">
        <v>0</v>
      </c>
      <c r="D323" s="46">
        <v>1</v>
      </c>
      <c r="E323" s="46">
        <v>232</v>
      </c>
      <c r="F323" s="46">
        <f>ROUND(Source!BC307,O323)</f>
        <v>0</v>
      </c>
      <c r="G323" s="46" t="s">
        <v>242</v>
      </c>
      <c r="H323" s="46" t="s">
        <v>243</v>
      </c>
      <c r="I323" s="46"/>
      <c r="J323" s="46"/>
      <c r="K323" s="46">
        <v>232</v>
      </c>
      <c r="L323" s="46">
        <v>15</v>
      </c>
      <c r="M323" s="46">
        <v>3</v>
      </c>
      <c r="N323" s="46" t="s">
        <v>30</v>
      </c>
      <c r="O323" s="46">
        <v>2</v>
      </c>
      <c r="P323" s="46"/>
      <c r="Q323" s="46"/>
      <c r="R323" s="46"/>
      <c r="S323" s="46"/>
      <c r="T323" s="46"/>
      <c r="U323" s="46"/>
      <c r="V323" s="46"/>
      <c r="W323" s="46">
        <v>0</v>
      </c>
      <c r="X323" s="46">
        <v>1</v>
      </c>
      <c r="Y323" s="46">
        <v>0</v>
      </c>
      <c r="Z323" s="46"/>
      <c r="AA323" s="46"/>
      <c r="AB323" s="46"/>
    </row>
    <row r="324" spans="1:28" ht="13" x14ac:dyDescent="0.3">
      <c r="A324" s="46">
        <v>50</v>
      </c>
      <c r="B324" s="46">
        <v>0</v>
      </c>
      <c r="C324" s="46">
        <v>0</v>
      </c>
      <c r="D324" s="46">
        <v>1</v>
      </c>
      <c r="E324" s="46">
        <v>214</v>
      </c>
      <c r="F324" s="46">
        <f>ROUND(Source!AS307,O324)</f>
        <v>0</v>
      </c>
      <c r="G324" s="46" t="s">
        <v>244</v>
      </c>
      <c r="H324" s="46" t="s">
        <v>245</v>
      </c>
      <c r="I324" s="46"/>
      <c r="J324" s="46"/>
      <c r="K324" s="46">
        <v>214</v>
      </c>
      <c r="L324" s="46">
        <v>16</v>
      </c>
      <c r="M324" s="46">
        <v>3</v>
      </c>
      <c r="N324" s="46" t="s">
        <v>30</v>
      </c>
      <c r="O324" s="46">
        <v>2</v>
      </c>
      <c r="P324" s="46"/>
      <c r="Q324" s="46"/>
      <c r="R324" s="46"/>
      <c r="S324" s="46"/>
      <c r="T324" s="46"/>
      <c r="U324" s="46"/>
      <c r="V324" s="46"/>
      <c r="W324" s="46">
        <v>0</v>
      </c>
      <c r="X324" s="46">
        <v>1</v>
      </c>
      <c r="Y324" s="46">
        <v>0</v>
      </c>
      <c r="Z324" s="46"/>
      <c r="AA324" s="46"/>
      <c r="AB324" s="46"/>
    </row>
    <row r="325" spans="1:28" ht="13" x14ac:dyDescent="0.3">
      <c r="A325" s="46">
        <v>50</v>
      </c>
      <c r="B325" s="46">
        <v>0</v>
      </c>
      <c r="C325" s="46">
        <v>0</v>
      </c>
      <c r="D325" s="46">
        <v>1</v>
      </c>
      <c r="E325" s="46">
        <v>215</v>
      </c>
      <c r="F325" s="46">
        <f>ROUND(Source!AT307,O325)</f>
        <v>0</v>
      </c>
      <c r="G325" s="46" t="s">
        <v>246</v>
      </c>
      <c r="H325" s="46" t="s">
        <v>247</v>
      </c>
      <c r="I325" s="46"/>
      <c r="J325" s="46"/>
      <c r="K325" s="46">
        <v>215</v>
      </c>
      <c r="L325" s="46">
        <v>17</v>
      </c>
      <c r="M325" s="46">
        <v>3</v>
      </c>
      <c r="N325" s="46" t="s">
        <v>30</v>
      </c>
      <c r="O325" s="46">
        <v>2</v>
      </c>
      <c r="P325" s="46"/>
      <c r="Q325" s="46"/>
      <c r="R325" s="46"/>
      <c r="S325" s="46"/>
      <c r="T325" s="46"/>
      <c r="U325" s="46"/>
      <c r="V325" s="46"/>
      <c r="W325" s="46">
        <v>0</v>
      </c>
      <c r="X325" s="46">
        <v>1</v>
      </c>
      <c r="Y325" s="46">
        <v>0</v>
      </c>
      <c r="Z325" s="46"/>
      <c r="AA325" s="46"/>
      <c r="AB325" s="46"/>
    </row>
    <row r="326" spans="1:28" ht="13" x14ac:dyDescent="0.3">
      <c r="A326" s="46">
        <v>50</v>
      </c>
      <c r="B326" s="46">
        <v>0</v>
      </c>
      <c r="C326" s="46">
        <v>0</v>
      </c>
      <c r="D326" s="46">
        <v>1</v>
      </c>
      <c r="E326" s="46">
        <v>217</v>
      </c>
      <c r="F326" s="46">
        <f>ROUND(Source!AU307,O326)</f>
        <v>2858463.37</v>
      </c>
      <c r="G326" s="46" t="s">
        <v>248</v>
      </c>
      <c r="H326" s="46" t="s">
        <v>249</v>
      </c>
      <c r="I326" s="46"/>
      <c r="J326" s="46"/>
      <c r="K326" s="46">
        <v>217</v>
      </c>
      <c r="L326" s="46">
        <v>18</v>
      </c>
      <c r="M326" s="46">
        <v>3</v>
      </c>
      <c r="N326" s="46" t="s">
        <v>30</v>
      </c>
      <c r="O326" s="46">
        <v>2</v>
      </c>
      <c r="P326" s="46"/>
      <c r="Q326" s="46"/>
      <c r="R326" s="46"/>
      <c r="S326" s="46"/>
      <c r="T326" s="46"/>
      <c r="U326" s="46"/>
      <c r="V326" s="46"/>
      <c r="W326" s="46">
        <v>2905288.37</v>
      </c>
      <c r="X326" s="46">
        <v>1</v>
      </c>
      <c r="Y326" s="46">
        <v>2905288.37</v>
      </c>
      <c r="Z326" s="46"/>
      <c r="AA326" s="46"/>
      <c r="AB326" s="46"/>
    </row>
    <row r="327" spans="1:28" ht="13" x14ac:dyDescent="0.3">
      <c r="A327" s="46">
        <v>50</v>
      </c>
      <c r="B327" s="46">
        <v>0</v>
      </c>
      <c r="C327" s="46">
        <v>0</v>
      </c>
      <c r="D327" s="46">
        <v>1</v>
      </c>
      <c r="E327" s="46">
        <v>230</v>
      </c>
      <c r="F327" s="46">
        <f>ROUND(Source!BA307,O327)</f>
        <v>0</v>
      </c>
      <c r="G327" s="46" t="s">
        <v>250</v>
      </c>
      <c r="H327" s="46" t="s">
        <v>251</v>
      </c>
      <c r="I327" s="46"/>
      <c r="J327" s="46"/>
      <c r="K327" s="46">
        <v>230</v>
      </c>
      <c r="L327" s="46">
        <v>19</v>
      </c>
      <c r="M327" s="46">
        <v>3</v>
      </c>
      <c r="N327" s="46" t="s">
        <v>30</v>
      </c>
      <c r="O327" s="46">
        <v>2</v>
      </c>
      <c r="P327" s="46"/>
      <c r="Q327" s="46"/>
      <c r="R327" s="46"/>
      <c r="S327" s="46"/>
      <c r="T327" s="46"/>
      <c r="U327" s="46"/>
      <c r="V327" s="46"/>
      <c r="W327" s="46">
        <v>0</v>
      </c>
      <c r="X327" s="46">
        <v>1</v>
      </c>
      <c r="Y327" s="46">
        <v>0</v>
      </c>
      <c r="Z327" s="46"/>
      <c r="AA327" s="46"/>
      <c r="AB327" s="46"/>
    </row>
    <row r="328" spans="1:28" ht="13" x14ac:dyDescent="0.3">
      <c r="A328" s="46">
        <v>50</v>
      </c>
      <c r="B328" s="46">
        <v>0</v>
      </c>
      <c r="C328" s="46">
        <v>0</v>
      </c>
      <c r="D328" s="46">
        <v>1</v>
      </c>
      <c r="E328" s="46">
        <v>206</v>
      </c>
      <c r="F328" s="46">
        <f>ROUND(Source!T307,O328)</f>
        <v>0</v>
      </c>
      <c r="G328" s="46" t="s">
        <v>252</v>
      </c>
      <c r="H328" s="46" t="s">
        <v>253</v>
      </c>
      <c r="I328" s="46"/>
      <c r="J328" s="46"/>
      <c r="K328" s="46">
        <v>206</v>
      </c>
      <c r="L328" s="46">
        <v>20</v>
      </c>
      <c r="M328" s="46">
        <v>3</v>
      </c>
      <c r="N328" s="46" t="s">
        <v>30</v>
      </c>
      <c r="O328" s="46">
        <v>2</v>
      </c>
      <c r="P328" s="46"/>
      <c r="Q328" s="46"/>
      <c r="R328" s="46"/>
      <c r="S328" s="46"/>
      <c r="T328" s="46"/>
      <c r="U328" s="46"/>
      <c r="V328" s="46"/>
      <c r="W328" s="46">
        <v>0</v>
      </c>
      <c r="X328" s="46">
        <v>1</v>
      </c>
      <c r="Y328" s="46">
        <v>0</v>
      </c>
      <c r="Z328" s="46"/>
      <c r="AA328" s="46"/>
      <c r="AB328" s="46"/>
    </row>
    <row r="329" spans="1:28" ht="13" x14ac:dyDescent="0.3">
      <c r="A329" s="46">
        <v>50</v>
      </c>
      <c r="B329" s="46">
        <v>0</v>
      </c>
      <c r="C329" s="46">
        <v>0</v>
      </c>
      <c r="D329" s="46">
        <v>1</v>
      </c>
      <c r="E329" s="46">
        <v>207</v>
      </c>
      <c r="F329" s="46">
        <f>Source!U307</f>
        <v>967.32686149999995</v>
      </c>
      <c r="G329" s="46" t="s">
        <v>254</v>
      </c>
      <c r="H329" s="46" t="s">
        <v>255</v>
      </c>
      <c r="I329" s="46"/>
      <c r="J329" s="46"/>
      <c r="K329" s="46">
        <v>207</v>
      </c>
      <c r="L329" s="46">
        <v>21</v>
      </c>
      <c r="M329" s="46">
        <v>3</v>
      </c>
      <c r="N329" s="46" t="s">
        <v>30</v>
      </c>
      <c r="O329" s="46">
        <v>-1</v>
      </c>
      <c r="P329" s="46"/>
      <c r="Q329" s="46"/>
      <c r="R329" s="46"/>
      <c r="S329" s="46"/>
      <c r="T329" s="46"/>
      <c r="U329" s="46"/>
      <c r="V329" s="46"/>
      <c r="W329" s="46">
        <v>967.32686149999995</v>
      </c>
      <c r="X329" s="46">
        <v>1</v>
      </c>
      <c r="Y329" s="46">
        <v>967.32686149999995</v>
      </c>
      <c r="Z329" s="46"/>
      <c r="AA329" s="46"/>
      <c r="AB329" s="46"/>
    </row>
    <row r="330" spans="1:28" ht="13" x14ac:dyDescent="0.3">
      <c r="A330" s="46">
        <v>50</v>
      </c>
      <c r="B330" s="46">
        <v>0</v>
      </c>
      <c r="C330" s="46">
        <v>0</v>
      </c>
      <c r="D330" s="46">
        <v>1</v>
      </c>
      <c r="E330" s="46">
        <v>208</v>
      </c>
      <c r="F330" s="46">
        <f>Source!V307</f>
        <v>0</v>
      </c>
      <c r="G330" s="46" t="s">
        <v>256</v>
      </c>
      <c r="H330" s="46" t="s">
        <v>257</v>
      </c>
      <c r="I330" s="46"/>
      <c r="J330" s="46"/>
      <c r="K330" s="46">
        <v>208</v>
      </c>
      <c r="L330" s="46">
        <v>22</v>
      </c>
      <c r="M330" s="46">
        <v>3</v>
      </c>
      <c r="N330" s="46" t="s">
        <v>30</v>
      </c>
      <c r="O330" s="46">
        <v>-1</v>
      </c>
      <c r="P330" s="46"/>
      <c r="Q330" s="46"/>
      <c r="R330" s="46"/>
      <c r="S330" s="46"/>
      <c r="T330" s="46"/>
      <c r="U330" s="46"/>
      <c r="V330" s="46"/>
      <c r="W330" s="46">
        <v>0</v>
      </c>
      <c r="X330" s="46">
        <v>1</v>
      </c>
      <c r="Y330" s="46">
        <v>0</v>
      </c>
      <c r="Z330" s="46"/>
      <c r="AA330" s="46"/>
      <c r="AB330" s="46"/>
    </row>
    <row r="331" spans="1:28" ht="13" x14ac:dyDescent="0.3">
      <c r="A331" s="46">
        <v>50</v>
      </c>
      <c r="B331" s="46">
        <v>0</v>
      </c>
      <c r="C331" s="46">
        <v>0</v>
      </c>
      <c r="D331" s="46">
        <v>1</v>
      </c>
      <c r="E331" s="46">
        <v>209</v>
      </c>
      <c r="F331" s="46">
        <f>ROUND(Source!W307,O331)</f>
        <v>0</v>
      </c>
      <c r="G331" s="46" t="s">
        <v>258</v>
      </c>
      <c r="H331" s="46" t="s">
        <v>259</v>
      </c>
      <c r="I331" s="46"/>
      <c r="J331" s="46"/>
      <c r="K331" s="46">
        <v>209</v>
      </c>
      <c r="L331" s="46">
        <v>23</v>
      </c>
      <c r="M331" s="46">
        <v>3</v>
      </c>
      <c r="N331" s="46" t="s">
        <v>30</v>
      </c>
      <c r="O331" s="46">
        <v>2</v>
      </c>
      <c r="P331" s="46"/>
      <c r="Q331" s="46"/>
      <c r="R331" s="46"/>
      <c r="S331" s="46"/>
      <c r="T331" s="46"/>
      <c r="U331" s="46"/>
      <c r="V331" s="46"/>
      <c r="W331" s="46">
        <v>0</v>
      </c>
      <c r="X331" s="46">
        <v>1</v>
      </c>
      <c r="Y331" s="46">
        <v>0</v>
      </c>
      <c r="Z331" s="46"/>
      <c r="AA331" s="46"/>
      <c r="AB331" s="46"/>
    </row>
    <row r="332" spans="1:28" ht="13" x14ac:dyDescent="0.3">
      <c r="A332" s="46">
        <v>50</v>
      </c>
      <c r="B332" s="46">
        <v>0</v>
      </c>
      <c r="C332" s="46">
        <v>0</v>
      </c>
      <c r="D332" s="46">
        <v>1</v>
      </c>
      <c r="E332" s="46">
        <v>233</v>
      </c>
      <c r="F332" s="46">
        <f>ROUND(Source!BD307,O332)</f>
        <v>0</v>
      </c>
      <c r="G332" s="46" t="s">
        <v>260</v>
      </c>
      <c r="H332" s="46" t="s">
        <v>261</v>
      </c>
      <c r="I332" s="46"/>
      <c r="J332" s="46"/>
      <c r="K332" s="46">
        <v>233</v>
      </c>
      <c r="L332" s="46">
        <v>24</v>
      </c>
      <c r="M332" s="46">
        <v>3</v>
      </c>
      <c r="N332" s="46" t="s">
        <v>30</v>
      </c>
      <c r="O332" s="46">
        <v>2</v>
      </c>
      <c r="P332" s="46"/>
      <c r="Q332" s="46"/>
      <c r="R332" s="46"/>
      <c r="S332" s="46"/>
      <c r="T332" s="46"/>
      <c r="U332" s="46"/>
      <c r="V332" s="46"/>
      <c r="W332" s="46">
        <v>0</v>
      </c>
      <c r="X332" s="46">
        <v>1</v>
      </c>
      <c r="Y332" s="46">
        <v>0</v>
      </c>
      <c r="Z332" s="46"/>
      <c r="AA332" s="46"/>
      <c r="AB332" s="46"/>
    </row>
    <row r="333" spans="1:28" ht="13" x14ac:dyDescent="0.3">
      <c r="A333" s="46">
        <v>50</v>
      </c>
      <c r="B333" s="46">
        <v>0</v>
      </c>
      <c r="C333" s="46">
        <v>0</v>
      </c>
      <c r="D333" s="46">
        <v>1</v>
      </c>
      <c r="E333" s="46">
        <v>210</v>
      </c>
      <c r="F333" s="46">
        <f>ROUND(Source!X307,O333)</f>
        <v>148395.68</v>
      </c>
      <c r="G333" s="46" t="s">
        <v>262</v>
      </c>
      <c r="H333" s="46" t="s">
        <v>263</v>
      </c>
      <c r="I333" s="46"/>
      <c r="J333" s="46"/>
      <c r="K333" s="46">
        <v>210</v>
      </c>
      <c r="L333" s="46">
        <v>25</v>
      </c>
      <c r="M333" s="46">
        <v>3</v>
      </c>
      <c r="N333" s="46" t="s">
        <v>30</v>
      </c>
      <c r="O333" s="46">
        <v>2</v>
      </c>
      <c r="P333" s="46"/>
      <c r="Q333" s="46"/>
      <c r="R333" s="46"/>
      <c r="S333" s="46"/>
      <c r="T333" s="46"/>
      <c r="U333" s="46"/>
      <c r="V333" s="46"/>
      <c r="W333" s="46">
        <v>148395.68</v>
      </c>
      <c r="X333" s="46">
        <v>1</v>
      </c>
      <c r="Y333" s="46">
        <v>148395.68</v>
      </c>
      <c r="Z333" s="46"/>
      <c r="AA333" s="46"/>
      <c r="AB333" s="46"/>
    </row>
    <row r="334" spans="1:28" ht="13" x14ac:dyDescent="0.3">
      <c r="A334" s="46">
        <v>50</v>
      </c>
      <c r="B334" s="46">
        <v>0</v>
      </c>
      <c r="C334" s="46">
        <v>0</v>
      </c>
      <c r="D334" s="46">
        <v>1</v>
      </c>
      <c r="E334" s="46">
        <v>211</v>
      </c>
      <c r="F334" s="46">
        <f>ROUND(Source!Y307,O334)</f>
        <v>21199.38</v>
      </c>
      <c r="G334" s="46" t="s">
        <v>264</v>
      </c>
      <c r="H334" s="46" t="s">
        <v>265</v>
      </c>
      <c r="I334" s="46"/>
      <c r="J334" s="46"/>
      <c r="K334" s="46">
        <v>211</v>
      </c>
      <c r="L334" s="46">
        <v>26</v>
      </c>
      <c r="M334" s="46">
        <v>3</v>
      </c>
      <c r="N334" s="46" t="s">
        <v>30</v>
      </c>
      <c r="O334" s="46">
        <v>2</v>
      </c>
      <c r="P334" s="46"/>
      <c r="Q334" s="46"/>
      <c r="R334" s="46"/>
      <c r="S334" s="46"/>
      <c r="T334" s="46"/>
      <c r="U334" s="46"/>
      <c r="V334" s="46"/>
      <c r="W334" s="46">
        <v>21199.38</v>
      </c>
      <c r="X334" s="46">
        <v>1</v>
      </c>
      <c r="Y334" s="46">
        <v>21199.38</v>
      </c>
      <c r="Z334" s="46"/>
      <c r="AA334" s="46"/>
      <c r="AB334" s="46"/>
    </row>
    <row r="335" spans="1:28" ht="13" x14ac:dyDescent="0.3">
      <c r="A335" s="46">
        <v>50</v>
      </c>
      <c r="B335" s="46">
        <v>0</v>
      </c>
      <c r="C335" s="46">
        <v>0</v>
      </c>
      <c r="D335" s="46">
        <v>1</v>
      </c>
      <c r="E335" s="46">
        <v>224</v>
      </c>
      <c r="F335" s="46">
        <f>ROUND(Source!AR307,O335)</f>
        <v>2858463.37</v>
      </c>
      <c r="G335" s="46" t="s">
        <v>266</v>
      </c>
      <c r="H335" s="46" t="s">
        <v>267</v>
      </c>
      <c r="I335" s="46"/>
      <c r="J335" s="46"/>
      <c r="K335" s="46">
        <v>224</v>
      </c>
      <c r="L335" s="46">
        <v>27</v>
      </c>
      <c r="M335" s="46">
        <v>3</v>
      </c>
      <c r="N335" s="46" t="s">
        <v>30</v>
      </c>
      <c r="O335" s="46">
        <v>2</v>
      </c>
      <c r="P335" s="46"/>
      <c r="Q335" s="46"/>
      <c r="R335" s="46"/>
      <c r="S335" s="46"/>
      <c r="T335" s="46"/>
      <c r="U335" s="46"/>
      <c r="V335" s="46"/>
      <c r="W335" s="46">
        <v>2905288.37</v>
      </c>
      <c r="X335" s="46">
        <v>1</v>
      </c>
      <c r="Y335" s="46">
        <v>2905288.37</v>
      </c>
      <c r="Z335" s="46"/>
      <c r="AA335" s="46"/>
      <c r="AB335" s="46"/>
    </row>
    <row r="336" spans="1:28" ht="13" x14ac:dyDescent="0.3">
      <c r="A336" s="46">
        <v>50</v>
      </c>
      <c r="B336" s="46">
        <v>1</v>
      </c>
      <c r="C336" s="46">
        <v>0</v>
      </c>
      <c r="D336" s="46">
        <v>2</v>
      </c>
      <c r="E336" s="46">
        <v>0</v>
      </c>
      <c r="F336" s="46">
        <f>ROUND(F335,O336)</f>
        <v>2858463.37</v>
      </c>
      <c r="G336" s="46" t="s">
        <v>268</v>
      </c>
      <c r="H336" s="46" t="s">
        <v>269</v>
      </c>
      <c r="I336" s="46"/>
      <c r="J336" s="46"/>
      <c r="K336" s="46">
        <v>212</v>
      </c>
      <c r="L336" s="46">
        <v>28</v>
      </c>
      <c r="M336" s="46">
        <v>0</v>
      </c>
      <c r="N336" s="46" t="s">
        <v>30</v>
      </c>
      <c r="O336" s="46">
        <v>2</v>
      </c>
      <c r="P336" s="46"/>
      <c r="Q336" s="46"/>
      <c r="R336" s="46"/>
      <c r="S336" s="46"/>
      <c r="T336" s="46"/>
      <c r="U336" s="46"/>
      <c r="V336" s="46"/>
      <c r="W336" s="46">
        <v>2905288.37</v>
      </c>
      <c r="X336" s="46">
        <v>1</v>
      </c>
      <c r="Y336" s="46">
        <v>2905288.37</v>
      </c>
      <c r="Z336" s="46"/>
      <c r="AA336" s="46"/>
      <c r="AB336" s="46"/>
    </row>
    <row r="337" spans="1:28" ht="13" x14ac:dyDescent="0.3">
      <c r="A337" s="46">
        <v>50</v>
      </c>
      <c r="B337" s="46">
        <v>1</v>
      </c>
      <c r="C337" s="46">
        <v>0</v>
      </c>
      <c r="D337" s="46">
        <v>2</v>
      </c>
      <c r="E337" s="46">
        <v>0</v>
      </c>
      <c r="F337" s="46">
        <f>ROUND(F335-F322-F321,O337)</f>
        <v>2220133.69</v>
      </c>
      <c r="G337" s="46" t="s">
        <v>270</v>
      </c>
      <c r="H337" s="46" t="s">
        <v>271</v>
      </c>
      <c r="I337" s="46"/>
      <c r="J337" s="46"/>
      <c r="K337" s="46">
        <v>212</v>
      </c>
      <c r="L337" s="46">
        <v>29</v>
      </c>
      <c r="M337" s="46">
        <v>0</v>
      </c>
      <c r="N337" s="46" t="s">
        <v>30</v>
      </c>
      <c r="O337" s="46">
        <v>2</v>
      </c>
      <c r="P337" s="46"/>
      <c r="Q337" s="46"/>
      <c r="R337" s="46"/>
      <c r="S337" s="46"/>
      <c r="T337" s="46"/>
      <c r="U337" s="46"/>
      <c r="V337" s="46"/>
      <c r="W337" s="46">
        <v>2266958.69</v>
      </c>
      <c r="X337" s="46">
        <v>1</v>
      </c>
      <c r="Y337" s="46">
        <v>2266958.69</v>
      </c>
      <c r="Z337" s="46"/>
      <c r="AA337" s="46"/>
      <c r="AB337" s="46"/>
    </row>
    <row r="338" spans="1:28" ht="13" x14ac:dyDescent="0.3">
      <c r="A338" s="46">
        <v>50</v>
      </c>
      <c r="B338" s="46">
        <v>1</v>
      </c>
      <c r="C338" s="46">
        <v>0</v>
      </c>
      <c r="D338" s="46">
        <v>2</v>
      </c>
      <c r="E338" s="46">
        <v>0</v>
      </c>
      <c r="F338" s="46">
        <f>ROUND(F334,O338)</f>
        <v>21199.38</v>
      </c>
      <c r="G338" s="46" t="s">
        <v>25</v>
      </c>
      <c r="H338" s="46" t="s">
        <v>25</v>
      </c>
      <c r="I338" s="46"/>
      <c r="J338" s="46"/>
      <c r="K338" s="46">
        <v>212</v>
      </c>
      <c r="L338" s="46">
        <v>30</v>
      </c>
      <c r="M338" s="46">
        <v>0</v>
      </c>
      <c r="N338" s="46" t="s">
        <v>30</v>
      </c>
      <c r="O338" s="46">
        <v>2</v>
      </c>
      <c r="P338" s="46"/>
      <c r="Q338" s="46"/>
      <c r="R338" s="46"/>
      <c r="S338" s="46"/>
      <c r="T338" s="46"/>
      <c r="U338" s="46"/>
      <c r="V338" s="46"/>
      <c r="W338" s="46">
        <v>21199.38</v>
      </c>
      <c r="X338" s="46">
        <v>1</v>
      </c>
      <c r="Y338" s="46">
        <v>21199.38</v>
      </c>
      <c r="Z338" s="46"/>
      <c r="AA338" s="46"/>
      <c r="AB338" s="46"/>
    </row>
    <row r="339" spans="1:28" ht="13" x14ac:dyDescent="0.3">
      <c r="A339" s="46">
        <v>50</v>
      </c>
      <c r="B339" s="46">
        <v>1</v>
      </c>
      <c r="C339" s="46">
        <v>0</v>
      </c>
      <c r="D339" s="46">
        <v>2</v>
      </c>
      <c r="E339" s="46">
        <v>0</v>
      </c>
      <c r="F339" s="46">
        <f>ROUND(F344*0.3,O339)</f>
        <v>127900.76</v>
      </c>
      <c r="G339" s="46" t="s">
        <v>272</v>
      </c>
      <c r="H339" s="46" t="s">
        <v>272</v>
      </c>
      <c r="I339" s="46"/>
      <c r="J339" s="46"/>
      <c r="K339" s="46">
        <v>212</v>
      </c>
      <c r="L339" s="46">
        <v>31</v>
      </c>
      <c r="M339" s="46">
        <v>0</v>
      </c>
      <c r="N339" s="46" t="s">
        <v>30</v>
      </c>
      <c r="O339" s="46">
        <v>2</v>
      </c>
      <c r="P339" s="46"/>
      <c r="Q339" s="46"/>
      <c r="R339" s="46"/>
      <c r="S339" s="46"/>
      <c r="T339" s="46"/>
      <c r="U339" s="46"/>
      <c r="V339" s="46"/>
      <c r="W339" s="46">
        <v>127900.76</v>
      </c>
      <c r="X339" s="46">
        <v>1</v>
      </c>
      <c r="Y339" s="46">
        <v>127900.76</v>
      </c>
      <c r="Z339" s="46"/>
      <c r="AA339" s="46"/>
      <c r="AB339" s="46"/>
    </row>
    <row r="340" spans="1:28" ht="13" x14ac:dyDescent="0.3">
      <c r="A340" s="46">
        <v>50</v>
      </c>
      <c r="B340" s="46">
        <v>1</v>
      </c>
      <c r="C340" s="46">
        <v>0</v>
      </c>
      <c r="D340" s="46">
        <v>2</v>
      </c>
      <c r="E340" s="46">
        <v>0</v>
      </c>
      <c r="F340" s="46">
        <f>ROUND(F337-F338-F339,O340)</f>
        <v>2071033.55</v>
      </c>
      <c r="G340" s="46" t="s">
        <v>273</v>
      </c>
      <c r="H340" s="46" t="s">
        <v>274</v>
      </c>
      <c r="I340" s="46"/>
      <c r="J340" s="46"/>
      <c r="K340" s="46">
        <v>212</v>
      </c>
      <c r="L340" s="46">
        <v>32</v>
      </c>
      <c r="M340" s="46">
        <v>0</v>
      </c>
      <c r="N340" s="46" t="s">
        <v>30</v>
      </c>
      <c r="O340" s="46">
        <v>2</v>
      </c>
      <c r="P340" s="46"/>
      <c r="Q340" s="46"/>
      <c r="R340" s="46"/>
      <c r="S340" s="46"/>
      <c r="T340" s="46"/>
      <c r="U340" s="46"/>
      <c r="V340" s="46"/>
      <c r="W340" s="46">
        <v>2117858.5499999998</v>
      </c>
      <c r="X340" s="46">
        <v>1</v>
      </c>
      <c r="Y340" s="46">
        <v>2117858.5499999998</v>
      </c>
      <c r="Z340" s="46"/>
      <c r="AA340" s="46"/>
      <c r="AB340" s="46"/>
    </row>
    <row r="341" spans="1:28" ht="13" x14ac:dyDescent="0.3">
      <c r="A341" s="46">
        <v>50</v>
      </c>
      <c r="B341" s="46">
        <v>1</v>
      </c>
      <c r="C341" s="46">
        <v>0</v>
      </c>
      <c r="D341" s="46">
        <v>2</v>
      </c>
      <c r="E341" s="46">
        <v>0</v>
      </c>
      <c r="F341" s="46">
        <f>ROUND(F340*0.2,O341)</f>
        <v>414206.71</v>
      </c>
      <c r="G341" s="46" t="s">
        <v>42</v>
      </c>
      <c r="H341" s="46" t="s">
        <v>42</v>
      </c>
      <c r="I341" s="46"/>
      <c r="J341" s="46"/>
      <c r="K341" s="46">
        <v>212</v>
      </c>
      <c r="L341" s="46">
        <v>33</v>
      </c>
      <c r="M341" s="46">
        <v>0</v>
      </c>
      <c r="N341" s="46" t="s">
        <v>30</v>
      </c>
      <c r="O341" s="46">
        <v>2</v>
      </c>
      <c r="P341" s="46"/>
      <c r="Q341" s="46"/>
      <c r="R341" s="46"/>
      <c r="S341" s="46"/>
      <c r="T341" s="46"/>
      <c r="U341" s="46"/>
      <c r="V341" s="46"/>
      <c r="W341" s="46">
        <v>423571.71</v>
      </c>
      <c r="X341" s="46">
        <v>1</v>
      </c>
      <c r="Y341" s="46">
        <v>423571.71</v>
      </c>
      <c r="Z341" s="46"/>
      <c r="AA341" s="46"/>
      <c r="AB341" s="46"/>
    </row>
    <row r="342" spans="1:28" ht="13" x14ac:dyDescent="0.3">
      <c r="A342" s="46">
        <v>50</v>
      </c>
      <c r="B342" s="46">
        <v>1</v>
      </c>
      <c r="C342" s="46">
        <v>0</v>
      </c>
      <c r="D342" s="46">
        <v>2</v>
      </c>
      <c r="E342" s="46">
        <v>0</v>
      </c>
      <c r="F342" s="46">
        <f>ROUND(F340+F341,O342)</f>
        <v>2485240.2599999998</v>
      </c>
      <c r="G342" s="46" t="s">
        <v>43</v>
      </c>
      <c r="H342" s="46" t="s">
        <v>275</v>
      </c>
      <c r="I342" s="46"/>
      <c r="J342" s="46"/>
      <c r="K342" s="46">
        <v>212</v>
      </c>
      <c r="L342" s="46">
        <v>34</v>
      </c>
      <c r="M342" s="46">
        <v>0</v>
      </c>
      <c r="N342" s="46" t="s">
        <v>30</v>
      </c>
      <c r="O342" s="46">
        <v>2</v>
      </c>
      <c r="P342" s="46"/>
      <c r="Q342" s="46"/>
      <c r="R342" s="46"/>
      <c r="S342" s="46"/>
      <c r="T342" s="46"/>
      <c r="U342" s="46"/>
      <c r="V342" s="46"/>
      <c r="W342" s="46">
        <v>2541430.2599999998</v>
      </c>
      <c r="X342" s="46">
        <v>1</v>
      </c>
      <c r="Y342" s="46">
        <v>2541430.2599999998</v>
      </c>
      <c r="Z342" s="46"/>
      <c r="AA342" s="46"/>
      <c r="AB342" s="46"/>
    </row>
    <row r="343" spans="1:28" ht="13" x14ac:dyDescent="0.3">
      <c r="A343" s="46">
        <v>50</v>
      </c>
      <c r="B343" s="46">
        <v>1</v>
      </c>
      <c r="C343" s="46">
        <v>0</v>
      </c>
      <c r="D343" s="46">
        <v>2</v>
      </c>
      <c r="E343" s="46">
        <v>0</v>
      </c>
      <c r="F343" s="46">
        <f>ROUND(F322,O343)</f>
        <v>211993.83</v>
      </c>
      <c r="G343" s="46" t="s">
        <v>276</v>
      </c>
      <c r="H343" s="46" t="s">
        <v>277</v>
      </c>
      <c r="I343" s="46"/>
      <c r="J343" s="46"/>
      <c r="K343" s="46">
        <v>212</v>
      </c>
      <c r="L343" s="46">
        <v>35</v>
      </c>
      <c r="M343" s="46">
        <v>0</v>
      </c>
      <c r="N343" s="46" t="s">
        <v>30</v>
      </c>
      <c r="O343" s="46">
        <v>2</v>
      </c>
      <c r="P343" s="46"/>
      <c r="Q343" s="46"/>
      <c r="R343" s="46"/>
      <c r="S343" s="46"/>
      <c r="T343" s="46"/>
      <c r="U343" s="46"/>
      <c r="V343" s="46"/>
      <c r="W343" s="46">
        <v>211993.83</v>
      </c>
      <c r="X343" s="46">
        <v>1</v>
      </c>
      <c r="Y343" s="46">
        <v>211993.83</v>
      </c>
      <c r="Z343" s="46"/>
      <c r="AA343" s="46"/>
      <c r="AB343" s="46"/>
    </row>
    <row r="344" spans="1:28" ht="13" x14ac:dyDescent="0.3">
      <c r="A344" s="46">
        <v>50</v>
      </c>
      <c r="B344" s="46">
        <v>1</v>
      </c>
      <c r="C344" s="46">
        <v>0</v>
      </c>
      <c r="D344" s="46">
        <v>2</v>
      </c>
      <c r="E344" s="46">
        <v>0</v>
      </c>
      <c r="F344" s="46">
        <f>ROUND(F321,O344)</f>
        <v>426335.85</v>
      </c>
      <c r="G344" s="46" t="s">
        <v>278</v>
      </c>
      <c r="H344" s="46" t="s">
        <v>279</v>
      </c>
      <c r="I344" s="46"/>
      <c r="J344" s="46"/>
      <c r="K344" s="46">
        <v>212</v>
      </c>
      <c r="L344" s="46">
        <v>36</v>
      </c>
      <c r="M344" s="46">
        <v>0</v>
      </c>
      <c r="N344" s="46" t="s">
        <v>30</v>
      </c>
      <c r="O344" s="46">
        <v>2</v>
      </c>
      <c r="P344" s="46"/>
      <c r="Q344" s="46"/>
      <c r="R344" s="46"/>
      <c r="S344" s="46"/>
      <c r="T344" s="46"/>
      <c r="U344" s="46"/>
      <c r="V344" s="46"/>
      <c r="W344" s="46">
        <v>426335.85</v>
      </c>
      <c r="X344" s="46">
        <v>1</v>
      </c>
      <c r="Y344" s="46">
        <v>426335.85</v>
      </c>
      <c r="Z344" s="46"/>
      <c r="AA344" s="46"/>
      <c r="AB344" s="46"/>
    </row>
    <row r="345" spans="1:28" ht="13" x14ac:dyDescent="0.3">
      <c r="A345" s="46">
        <v>50</v>
      </c>
      <c r="B345" s="46">
        <v>1</v>
      </c>
      <c r="C345" s="46">
        <v>0</v>
      </c>
      <c r="D345" s="46">
        <v>2</v>
      </c>
      <c r="E345" s="46">
        <v>0</v>
      </c>
      <c r="F345" s="46">
        <f>ROUND(F342+F343+F344,O345)</f>
        <v>3123569.94</v>
      </c>
      <c r="G345" s="46" t="s">
        <v>266</v>
      </c>
      <c r="H345" s="46" t="s">
        <v>280</v>
      </c>
      <c r="I345" s="46"/>
      <c r="J345" s="46"/>
      <c r="K345" s="46">
        <v>212</v>
      </c>
      <c r="L345" s="46">
        <v>37</v>
      </c>
      <c r="M345" s="46">
        <v>0</v>
      </c>
      <c r="N345" s="46" t="s">
        <v>30</v>
      </c>
      <c r="O345" s="46">
        <v>2</v>
      </c>
      <c r="P345" s="46"/>
      <c r="Q345" s="46"/>
      <c r="R345" s="46"/>
      <c r="S345" s="46"/>
      <c r="T345" s="46"/>
      <c r="U345" s="46"/>
      <c r="V345" s="46"/>
      <c r="W345" s="46">
        <v>3179759.94</v>
      </c>
      <c r="X345" s="46">
        <v>1</v>
      </c>
      <c r="Y345" s="46">
        <v>3179759.94</v>
      </c>
      <c r="Z345" s="46"/>
      <c r="AA345" s="46"/>
      <c r="AB345" s="46"/>
    </row>
    <row r="348" spans="1:28" x14ac:dyDescent="0.25">
      <c r="A348" s="2">
        <v>-1</v>
      </c>
    </row>
    <row r="350" spans="1:28" ht="13" x14ac:dyDescent="0.3">
      <c r="A350" s="45">
        <v>75</v>
      </c>
      <c r="B350" s="45" t="s">
        <v>357</v>
      </c>
      <c r="C350" s="45">
        <v>2021</v>
      </c>
      <c r="D350" s="45">
        <v>0</v>
      </c>
      <c r="E350" s="45">
        <v>10</v>
      </c>
      <c r="F350" s="45">
        <v>0</v>
      </c>
      <c r="G350" s="45">
        <v>0</v>
      </c>
      <c r="H350" s="45">
        <v>1</v>
      </c>
      <c r="I350" s="45">
        <v>0</v>
      </c>
      <c r="J350" s="45">
        <v>1</v>
      </c>
      <c r="K350" s="45">
        <v>78</v>
      </c>
      <c r="L350" s="45">
        <v>30</v>
      </c>
      <c r="M350" s="45">
        <v>0</v>
      </c>
      <c r="N350" s="45">
        <v>52261502</v>
      </c>
      <c r="O350" s="45">
        <v>1</v>
      </c>
    </row>
    <row r="354" spans="1:5" x14ac:dyDescent="0.25">
      <c r="A354" s="2">
        <v>65</v>
      </c>
      <c r="C354" s="2">
        <v>1</v>
      </c>
      <c r="D354" s="2">
        <v>0</v>
      </c>
      <c r="E354" s="2">
        <v>245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9D954-3478-489C-88F2-816EA1B505C4}">
  <dimension ref="A1:EC61"/>
  <sheetViews>
    <sheetView workbookViewId="0"/>
  </sheetViews>
  <sheetFormatPr defaultColWidth="9.1796875" defaultRowHeight="12.5" x14ac:dyDescent="0.25"/>
  <cols>
    <col min="1" max="256" width="9.1796875" style="2" customWidth="1"/>
    <col min="257" max="16384" width="9.1796875" style="2"/>
  </cols>
  <sheetData>
    <row r="1" spans="1:133" x14ac:dyDescent="0.25">
      <c r="A1" s="2">
        <v>0</v>
      </c>
      <c r="B1" s="2" t="s">
        <v>162</v>
      </c>
      <c r="D1" s="2" t="s">
        <v>358</v>
      </c>
      <c r="F1" s="2">
        <v>0</v>
      </c>
      <c r="G1" s="2">
        <v>0</v>
      </c>
      <c r="H1" s="2">
        <v>0</v>
      </c>
      <c r="I1" s="2" t="s">
        <v>164</v>
      </c>
      <c r="J1" s="2" t="s">
        <v>30</v>
      </c>
      <c r="K1" s="2">
        <v>1</v>
      </c>
      <c r="L1" s="2">
        <v>53533</v>
      </c>
      <c r="M1" s="2">
        <v>10</v>
      </c>
      <c r="N1" s="2">
        <v>11</v>
      </c>
      <c r="O1" s="2">
        <v>5</v>
      </c>
      <c r="P1" s="2">
        <v>1</v>
      </c>
      <c r="Q1" s="2">
        <v>0</v>
      </c>
    </row>
    <row r="12" spans="1:133" ht="13" x14ac:dyDescent="0.3">
      <c r="A12" s="43">
        <v>1</v>
      </c>
      <c r="B12" s="43">
        <v>61</v>
      </c>
      <c r="C12" s="43">
        <v>0</v>
      </c>
      <c r="D12" s="43"/>
      <c r="E12" s="43">
        <v>0</v>
      </c>
      <c r="F12" s="43" t="s">
        <v>165</v>
      </c>
      <c r="G12" s="43" t="s">
        <v>166</v>
      </c>
      <c r="H12" s="43" t="s">
        <v>30</v>
      </c>
      <c r="I12" s="43">
        <v>0</v>
      </c>
      <c r="J12" s="43" t="s">
        <v>30</v>
      </c>
      <c r="K12" s="43">
        <v>0</v>
      </c>
      <c r="L12" s="43">
        <v>0</v>
      </c>
      <c r="M12" s="43">
        <v>2</v>
      </c>
      <c r="N12" s="43"/>
      <c r="O12" s="43">
        <v>0</v>
      </c>
      <c r="P12" s="43">
        <v>0</v>
      </c>
      <c r="Q12" s="43">
        <v>0</v>
      </c>
      <c r="R12" s="43">
        <v>108</v>
      </c>
      <c r="S12" s="43"/>
      <c r="T12" s="43">
        <v>1</v>
      </c>
      <c r="U12" s="43" t="s">
        <v>30</v>
      </c>
      <c r="V12" s="43">
        <v>0</v>
      </c>
      <c r="W12" s="43" t="s">
        <v>30</v>
      </c>
      <c r="X12" s="43" t="s">
        <v>30</v>
      </c>
      <c r="Y12" s="43" t="s">
        <v>30</v>
      </c>
      <c r="Z12" s="43" t="s">
        <v>30</v>
      </c>
      <c r="AA12" s="43" t="s">
        <v>30</v>
      </c>
      <c r="AB12" s="43" t="s">
        <v>30</v>
      </c>
      <c r="AC12" s="43" t="s">
        <v>30</v>
      </c>
      <c r="AD12" s="43" t="s">
        <v>30</v>
      </c>
      <c r="AE12" s="43" t="s">
        <v>30</v>
      </c>
      <c r="AF12" s="43" t="s">
        <v>30</v>
      </c>
      <c r="AG12" s="43" t="s">
        <v>30</v>
      </c>
      <c r="AH12" s="43" t="s">
        <v>30</v>
      </c>
      <c r="AI12" s="43" t="s">
        <v>30</v>
      </c>
      <c r="AJ12" s="43" t="s">
        <v>30</v>
      </c>
      <c r="AK12" s="43"/>
      <c r="AL12" s="43" t="s">
        <v>30</v>
      </c>
      <c r="AM12" s="43" t="s">
        <v>30</v>
      </c>
      <c r="AN12" s="43" t="s">
        <v>30</v>
      </c>
      <c r="AO12" s="43"/>
      <c r="AP12" s="43" t="s">
        <v>30</v>
      </c>
      <c r="AQ12" s="43" t="s">
        <v>30</v>
      </c>
      <c r="AR12" s="43" t="s">
        <v>30</v>
      </c>
      <c r="AS12" s="43"/>
      <c r="AT12" s="43"/>
      <c r="AU12" s="43"/>
      <c r="AV12" s="43"/>
      <c r="AW12" s="43"/>
      <c r="AX12" s="43" t="s">
        <v>30</v>
      </c>
      <c r="AY12" s="43" t="s">
        <v>30</v>
      </c>
      <c r="AZ12" s="43" t="s">
        <v>30</v>
      </c>
      <c r="BA12" s="43"/>
      <c r="BB12" s="43">
        <v>0</v>
      </c>
      <c r="BC12" s="43"/>
      <c r="BD12" s="43"/>
      <c r="BE12" s="43"/>
      <c r="BF12" s="43"/>
      <c r="BG12" s="43"/>
      <c r="BH12" s="43" t="s">
        <v>167</v>
      </c>
      <c r="BI12" s="43" t="s">
        <v>168</v>
      </c>
      <c r="BJ12" s="43">
        <v>1</v>
      </c>
      <c r="BK12" s="43">
        <v>1</v>
      </c>
      <c r="BL12" s="43">
        <v>0</v>
      </c>
      <c r="BM12" s="43">
        <v>0</v>
      </c>
      <c r="BN12" s="43">
        <v>1</v>
      </c>
      <c r="BO12" s="43">
        <v>0</v>
      </c>
      <c r="BP12" s="43">
        <v>6</v>
      </c>
      <c r="BQ12" s="43">
        <v>2</v>
      </c>
      <c r="BR12" s="43">
        <v>1</v>
      </c>
      <c r="BS12" s="43">
        <v>1</v>
      </c>
      <c r="BT12" s="43">
        <v>0</v>
      </c>
      <c r="BU12" s="43">
        <v>0</v>
      </c>
      <c r="BV12" s="43">
        <v>0</v>
      </c>
      <c r="BW12" s="43">
        <v>0</v>
      </c>
      <c r="BX12" s="43">
        <v>0</v>
      </c>
      <c r="BY12" s="43" t="s">
        <v>169</v>
      </c>
      <c r="BZ12" s="43" t="s">
        <v>170</v>
      </c>
      <c r="CA12" s="43" t="s">
        <v>171</v>
      </c>
      <c r="CB12" s="43" t="s">
        <v>171</v>
      </c>
      <c r="CC12" s="43" t="s">
        <v>171</v>
      </c>
      <c r="CD12" s="43" t="s">
        <v>171</v>
      </c>
      <c r="CE12" s="43" t="s">
        <v>172</v>
      </c>
      <c r="CF12" s="43">
        <v>0</v>
      </c>
      <c r="CG12" s="43">
        <v>0</v>
      </c>
      <c r="CH12" s="43">
        <v>8</v>
      </c>
      <c r="CI12" s="43" t="s">
        <v>30</v>
      </c>
      <c r="CJ12" s="43" t="s">
        <v>30</v>
      </c>
      <c r="CK12" s="43">
        <v>0</v>
      </c>
      <c r="CL12" s="43"/>
      <c r="CM12" s="43"/>
      <c r="CN12" s="43"/>
      <c r="CO12" s="43"/>
      <c r="CP12" s="43"/>
      <c r="CQ12" s="43"/>
      <c r="CR12" s="43"/>
      <c r="CS12" s="43"/>
      <c r="CT12" s="43"/>
      <c r="CU12" s="43"/>
      <c r="CV12" s="43"/>
      <c r="CW12" s="43"/>
      <c r="CX12" s="43"/>
      <c r="CY12" s="43"/>
      <c r="CZ12" s="43"/>
      <c r="DA12" s="43"/>
      <c r="DB12" s="43"/>
      <c r="DC12" s="43"/>
      <c r="DD12" s="43"/>
      <c r="DE12" s="43"/>
      <c r="DF12" s="43"/>
      <c r="DG12" s="43"/>
      <c r="DH12" s="43"/>
      <c r="DI12" s="43"/>
      <c r="DJ12" s="43"/>
      <c r="DK12" s="43"/>
      <c r="DL12" s="43"/>
      <c r="DM12" s="43"/>
      <c r="DN12" s="43"/>
      <c r="DO12" s="43"/>
      <c r="DP12" s="43"/>
      <c r="DQ12" s="43"/>
      <c r="DR12" s="43"/>
      <c r="DS12" s="43"/>
      <c r="DT12" s="43"/>
      <c r="DU12" s="43"/>
      <c r="DV12" s="43"/>
      <c r="DW12" s="43"/>
      <c r="DX12" s="43"/>
      <c r="DY12" s="43"/>
      <c r="DZ12" s="43"/>
      <c r="EA12" s="43"/>
      <c r="EB12" s="43"/>
      <c r="EC12" s="43">
        <v>0</v>
      </c>
    </row>
    <row r="14" spans="1:133" ht="13" x14ac:dyDescent="0.3">
      <c r="A14" s="43">
        <v>22</v>
      </c>
      <c r="B14" s="43">
        <v>1</v>
      </c>
      <c r="C14" s="43">
        <v>0</v>
      </c>
      <c r="D14" s="43">
        <v>52261502</v>
      </c>
      <c r="E14" s="43">
        <v>0</v>
      </c>
      <c r="F14" s="43">
        <v>2</v>
      </c>
      <c r="G14" s="43">
        <v>1</v>
      </c>
      <c r="H14" s="43"/>
      <c r="I14" s="43"/>
      <c r="J14" s="43"/>
      <c r="K14" s="43"/>
      <c r="L14" s="43"/>
      <c r="M14" s="43"/>
      <c r="N14" s="43"/>
      <c r="O14" s="43"/>
    </row>
    <row r="16" spans="1:133" x14ac:dyDescent="0.25">
      <c r="A16" s="47">
        <v>3</v>
      </c>
      <c r="B16" s="47">
        <v>0</v>
      </c>
      <c r="C16" s="47" t="s">
        <v>173</v>
      </c>
      <c r="D16" s="47" t="s">
        <v>173</v>
      </c>
      <c r="E16" s="48">
        <f>ROUND((Source!F284)/1000,2)</f>
        <v>0</v>
      </c>
      <c r="F16" s="48">
        <f>ROUND((Source!F285)/1000,2)</f>
        <v>0</v>
      </c>
      <c r="G16" s="48">
        <f>ROUND((Source!F276)/1000,2)</f>
        <v>0</v>
      </c>
      <c r="H16" s="48">
        <f>ROUND((Source!F286)/1000+(Source!F287)/1000,2)</f>
        <v>2858.46</v>
      </c>
      <c r="I16" s="48">
        <f>E16+F16+G16+H16</f>
        <v>2858.46</v>
      </c>
      <c r="J16" s="48">
        <f>ROUND((Source!F282+Source!F281)/1000,2)</f>
        <v>638.33000000000004</v>
      </c>
      <c r="AI16" s="47">
        <v>0</v>
      </c>
      <c r="AJ16" s="47">
        <v>0</v>
      </c>
      <c r="AK16" s="47" t="s">
        <v>30</v>
      </c>
      <c r="AL16" s="47" t="s">
        <v>30</v>
      </c>
      <c r="AM16" s="47" t="s">
        <v>30</v>
      </c>
      <c r="AN16" s="47">
        <v>0</v>
      </c>
      <c r="AO16" s="47" t="s">
        <v>30</v>
      </c>
      <c r="AP16" s="47" t="s">
        <v>30</v>
      </c>
      <c r="AT16" s="48">
        <v>2634549.33</v>
      </c>
      <c r="AU16" s="48">
        <v>1575114.97</v>
      </c>
      <c r="AV16" s="48">
        <v>0</v>
      </c>
      <c r="AW16" s="48">
        <v>0</v>
      </c>
      <c r="AX16" s="48">
        <v>0</v>
      </c>
      <c r="AY16" s="48">
        <v>847440.53</v>
      </c>
      <c r="AZ16" s="48">
        <v>426335.85</v>
      </c>
      <c r="BA16" s="48">
        <v>211993.83</v>
      </c>
      <c r="BB16" s="48">
        <v>0</v>
      </c>
      <c r="BC16" s="48">
        <v>0</v>
      </c>
      <c r="BD16" s="48">
        <v>2905288.37</v>
      </c>
      <c r="BE16" s="48">
        <v>0</v>
      </c>
      <c r="BF16" s="48">
        <v>967.32686149999995</v>
      </c>
      <c r="BG16" s="48">
        <v>0</v>
      </c>
      <c r="BH16" s="48">
        <v>0</v>
      </c>
      <c r="BI16" s="48">
        <v>148395.68</v>
      </c>
      <c r="BJ16" s="48">
        <v>21199.38</v>
      </c>
      <c r="BK16" s="48">
        <v>2905288.37</v>
      </c>
    </row>
    <row r="18" spans="1:19" ht="13" x14ac:dyDescent="0.3">
      <c r="A18" s="2">
        <v>51</v>
      </c>
      <c r="E18" s="49">
        <f>SUMIF(A16:A17,3,E16:E17)</f>
        <v>0</v>
      </c>
      <c r="F18" s="49">
        <f>SUMIF(A16:A17,3,F16:F17)</f>
        <v>0</v>
      </c>
      <c r="G18" s="49">
        <f>SUMIF(A16:A17,3,G16:G17)</f>
        <v>0</v>
      </c>
      <c r="H18" s="49">
        <f>SUMIF(A16:A17,3,H16:H17)</f>
        <v>2858.46</v>
      </c>
      <c r="I18" s="49">
        <f>SUMIF(A16:A17,3,I16:I17)</f>
        <v>2858.46</v>
      </c>
      <c r="J18" s="49">
        <f>SUMIF(A16:A17,3,J16:J17)</f>
        <v>638.33000000000004</v>
      </c>
      <c r="K18" s="49"/>
      <c r="L18" s="49"/>
      <c r="M18" s="49"/>
      <c r="N18" s="49"/>
      <c r="O18" s="49"/>
      <c r="P18" s="49"/>
      <c r="Q18" s="49"/>
      <c r="R18" s="49"/>
      <c r="S18" s="49"/>
    </row>
    <row r="20" spans="1:19" ht="13" x14ac:dyDescent="0.3">
      <c r="A20" s="46">
        <v>50</v>
      </c>
      <c r="B20" s="46">
        <v>0</v>
      </c>
      <c r="C20" s="46">
        <v>0</v>
      </c>
      <c r="D20" s="46">
        <v>1</v>
      </c>
      <c r="E20" s="46">
        <v>201</v>
      </c>
      <c r="F20" s="46">
        <v>2634549.33</v>
      </c>
      <c r="G20" s="46" t="s">
        <v>214</v>
      </c>
      <c r="H20" s="46" t="s">
        <v>215</v>
      </c>
      <c r="I20" s="46"/>
      <c r="J20" s="46"/>
      <c r="K20" s="46">
        <v>201</v>
      </c>
      <c r="L20" s="46">
        <v>1</v>
      </c>
      <c r="M20" s="46">
        <v>3</v>
      </c>
      <c r="N20" s="46" t="s">
        <v>30</v>
      </c>
      <c r="O20" s="46">
        <v>2</v>
      </c>
      <c r="P20" s="46"/>
    </row>
    <row r="21" spans="1:19" ht="13" x14ac:dyDescent="0.3">
      <c r="A21" s="46">
        <v>50</v>
      </c>
      <c r="B21" s="46">
        <v>0</v>
      </c>
      <c r="C21" s="46">
        <v>0</v>
      </c>
      <c r="D21" s="46">
        <v>1</v>
      </c>
      <c r="E21" s="46">
        <v>202</v>
      </c>
      <c r="F21" s="46">
        <v>1575114.97</v>
      </c>
      <c r="G21" s="46" t="s">
        <v>216</v>
      </c>
      <c r="H21" s="46" t="s">
        <v>217</v>
      </c>
      <c r="I21" s="46"/>
      <c r="J21" s="46"/>
      <c r="K21" s="46">
        <v>202</v>
      </c>
      <c r="L21" s="46">
        <v>2</v>
      </c>
      <c r="M21" s="46">
        <v>3</v>
      </c>
      <c r="N21" s="46" t="s">
        <v>30</v>
      </c>
      <c r="O21" s="46">
        <v>2</v>
      </c>
      <c r="P21" s="46"/>
    </row>
    <row r="22" spans="1:19" ht="13" x14ac:dyDescent="0.3">
      <c r="A22" s="46">
        <v>50</v>
      </c>
      <c r="B22" s="46">
        <v>0</v>
      </c>
      <c r="C22" s="46">
        <v>0</v>
      </c>
      <c r="D22" s="46">
        <v>1</v>
      </c>
      <c r="E22" s="46">
        <v>222</v>
      </c>
      <c r="F22" s="46">
        <v>0</v>
      </c>
      <c r="G22" s="46" t="s">
        <v>218</v>
      </c>
      <c r="H22" s="46" t="s">
        <v>219</v>
      </c>
      <c r="I22" s="46"/>
      <c r="J22" s="46"/>
      <c r="K22" s="46">
        <v>222</v>
      </c>
      <c r="L22" s="46">
        <v>3</v>
      </c>
      <c r="M22" s="46">
        <v>3</v>
      </c>
      <c r="N22" s="46" t="s">
        <v>30</v>
      </c>
      <c r="O22" s="46">
        <v>2</v>
      </c>
      <c r="P22" s="46"/>
    </row>
    <row r="23" spans="1:19" ht="13" x14ac:dyDescent="0.3">
      <c r="A23" s="46">
        <v>50</v>
      </c>
      <c r="B23" s="46">
        <v>0</v>
      </c>
      <c r="C23" s="46">
        <v>0</v>
      </c>
      <c r="D23" s="46">
        <v>1</v>
      </c>
      <c r="E23" s="46">
        <v>225</v>
      </c>
      <c r="F23" s="46">
        <v>1575114.97</v>
      </c>
      <c r="G23" s="46" t="s">
        <v>220</v>
      </c>
      <c r="H23" s="46" t="s">
        <v>221</v>
      </c>
      <c r="I23" s="46"/>
      <c r="J23" s="46"/>
      <c r="K23" s="46">
        <v>225</v>
      </c>
      <c r="L23" s="46">
        <v>4</v>
      </c>
      <c r="M23" s="46">
        <v>3</v>
      </c>
      <c r="N23" s="46" t="s">
        <v>30</v>
      </c>
      <c r="O23" s="46">
        <v>2</v>
      </c>
      <c r="P23" s="46"/>
    </row>
    <row r="24" spans="1:19" ht="13" x14ac:dyDescent="0.3">
      <c r="A24" s="46">
        <v>50</v>
      </c>
      <c r="B24" s="46">
        <v>0</v>
      </c>
      <c r="C24" s="46">
        <v>0</v>
      </c>
      <c r="D24" s="46">
        <v>1</v>
      </c>
      <c r="E24" s="46">
        <v>226</v>
      </c>
      <c r="F24" s="46">
        <v>1575114.97</v>
      </c>
      <c r="G24" s="46" t="s">
        <v>222</v>
      </c>
      <c r="H24" s="46" t="s">
        <v>223</v>
      </c>
      <c r="I24" s="46"/>
      <c r="J24" s="46"/>
      <c r="K24" s="46">
        <v>226</v>
      </c>
      <c r="L24" s="46">
        <v>5</v>
      </c>
      <c r="M24" s="46">
        <v>3</v>
      </c>
      <c r="N24" s="46" t="s">
        <v>30</v>
      </c>
      <c r="O24" s="46">
        <v>2</v>
      </c>
      <c r="P24" s="46"/>
    </row>
    <row r="25" spans="1:19" ht="13" x14ac:dyDescent="0.3">
      <c r="A25" s="46">
        <v>50</v>
      </c>
      <c r="B25" s="46">
        <v>0</v>
      </c>
      <c r="C25" s="46">
        <v>0</v>
      </c>
      <c r="D25" s="46">
        <v>1</v>
      </c>
      <c r="E25" s="46">
        <v>227</v>
      </c>
      <c r="F25" s="46">
        <v>0</v>
      </c>
      <c r="G25" s="46" t="s">
        <v>224</v>
      </c>
      <c r="H25" s="46" t="s">
        <v>225</v>
      </c>
      <c r="I25" s="46"/>
      <c r="J25" s="46"/>
      <c r="K25" s="46">
        <v>227</v>
      </c>
      <c r="L25" s="46">
        <v>6</v>
      </c>
      <c r="M25" s="46">
        <v>3</v>
      </c>
      <c r="N25" s="46" t="s">
        <v>30</v>
      </c>
      <c r="O25" s="46">
        <v>2</v>
      </c>
      <c r="P25" s="46"/>
    </row>
    <row r="26" spans="1:19" ht="13" x14ac:dyDescent="0.3">
      <c r="A26" s="46">
        <v>50</v>
      </c>
      <c r="B26" s="46">
        <v>0</v>
      </c>
      <c r="C26" s="46">
        <v>0</v>
      </c>
      <c r="D26" s="46">
        <v>1</v>
      </c>
      <c r="E26" s="46">
        <v>228</v>
      </c>
      <c r="F26" s="46">
        <v>1575114.97</v>
      </c>
      <c r="G26" s="46" t="s">
        <v>226</v>
      </c>
      <c r="H26" s="46" t="s">
        <v>227</v>
      </c>
      <c r="I26" s="46"/>
      <c r="J26" s="46"/>
      <c r="K26" s="46">
        <v>228</v>
      </c>
      <c r="L26" s="46">
        <v>7</v>
      </c>
      <c r="M26" s="46">
        <v>3</v>
      </c>
      <c r="N26" s="46" t="s">
        <v>30</v>
      </c>
      <c r="O26" s="46">
        <v>2</v>
      </c>
      <c r="P26" s="46"/>
    </row>
    <row r="27" spans="1:19" ht="13" x14ac:dyDescent="0.3">
      <c r="A27" s="46">
        <v>50</v>
      </c>
      <c r="B27" s="46">
        <v>0</v>
      </c>
      <c r="C27" s="46">
        <v>0</v>
      </c>
      <c r="D27" s="46">
        <v>1</v>
      </c>
      <c r="E27" s="46">
        <v>216</v>
      </c>
      <c r="F27" s="46">
        <v>0</v>
      </c>
      <c r="G27" s="46" t="s">
        <v>228</v>
      </c>
      <c r="H27" s="46" t="s">
        <v>229</v>
      </c>
      <c r="I27" s="46"/>
      <c r="J27" s="46"/>
      <c r="K27" s="46">
        <v>216</v>
      </c>
      <c r="L27" s="46">
        <v>8</v>
      </c>
      <c r="M27" s="46">
        <v>3</v>
      </c>
      <c r="N27" s="46" t="s">
        <v>30</v>
      </c>
      <c r="O27" s="46">
        <v>2</v>
      </c>
      <c r="P27" s="46"/>
    </row>
    <row r="28" spans="1:19" ht="13" x14ac:dyDescent="0.3">
      <c r="A28" s="46">
        <v>50</v>
      </c>
      <c r="B28" s="46">
        <v>0</v>
      </c>
      <c r="C28" s="46">
        <v>0</v>
      </c>
      <c r="D28" s="46">
        <v>1</v>
      </c>
      <c r="E28" s="46">
        <v>223</v>
      </c>
      <c r="F28" s="46">
        <v>0</v>
      </c>
      <c r="G28" s="46" t="s">
        <v>230</v>
      </c>
      <c r="H28" s="46" t="s">
        <v>231</v>
      </c>
      <c r="I28" s="46"/>
      <c r="J28" s="46"/>
      <c r="K28" s="46">
        <v>223</v>
      </c>
      <c r="L28" s="46">
        <v>9</v>
      </c>
      <c r="M28" s="46">
        <v>3</v>
      </c>
      <c r="N28" s="46" t="s">
        <v>30</v>
      </c>
      <c r="O28" s="46">
        <v>2</v>
      </c>
      <c r="P28" s="46"/>
    </row>
    <row r="29" spans="1:19" ht="13" x14ac:dyDescent="0.3">
      <c r="A29" s="46">
        <v>50</v>
      </c>
      <c r="B29" s="46">
        <v>0</v>
      </c>
      <c r="C29" s="46">
        <v>0</v>
      </c>
      <c r="D29" s="46">
        <v>1</v>
      </c>
      <c r="E29" s="46">
        <v>229</v>
      </c>
      <c r="F29" s="46">
        <v>0</v>
      </c>
      <c r="G29" s="46" t="s">
        <v>232</v>
      </c>
      <c r="H29" s="46" t="s">
        <v>233</v>
      </c>
      <c r="I29" s="46"/>
      <c r="J29" s="46"/>
      <c r="K29" s="46">
        <v>229</v>
      </c>
      <c r="L29" s="46">
        <v>10</v>
      </c>
      <c r="M29" s="46">
        <v>3</v>
      </c>
      <c r="N29" s="46" t="s">
        <v>30</v>
      </c>
      <c r="O29" s="46">
        <v>2</v>
      </c>
      <c r="P29" s="46"/>
    </row>
    <row r="30" spans="1:19" ht="13" x14ac:dyDescent="0.3">
      <c r="A30" s="46">
        <v>50</v>
      </c>
      <c r="B30" s="46">
        <v>0</v>
      </c>
      <c r="C30" s="46">
        <v>0</v>
      </c>
      <c r="D30" s="46">
        <v>1</v>
      </c>
      <c r="E30" s="46">
        <v>203</v>
      </c>
      <c r="F30" s="46">
        <v>847440.53</v>
      </c>
      <c r="G30" s="46" t="s">
        <v>234</v>
      </c>
      <c r="H30" s="46" t="s">
        <v>235</v>
      </c>
      <c r="I30" s="46"/>
      <c r="J30" s="46"/>
      <c r="K30" s="46">
        <v>203</v>
      </c>
      <c r="L30" s="46">
        <v>11</v>
      </c>
      <c r="M30" s="46">
        <v>3</v>
      </c>
      <c r="N30" s="46" t="s">
        <v>30</v>
      </c>
      <c r="O30" s="46">
        <v>2</v>
      </c>
      <c r="P30" s="46"/>
    </row>
    <row r="31" spans="1:19" ht="13" x14ac:dyDescent="0.3">
      <c r="A31" s="46">
        <v>50</v>
      </c>
      <c r="B31" s="46">
        <v>0</v>
      </c>
      <c r="C31" s="46">
        <v>0</v>
      </c>
      <c r="D31" s="46">
        <v>1</v>
      </c>
      <c r="E31" s="46">
        <v>231</v>
      </c>
      <c r="F31" s="46">
        <v>0</v>
      </c>
      <c r="G31" s="46" t="s">
        <v>236</v>
      </c>
      <c r="H31" s="46" t="s">
        <v>237</v>
      </c>
      <c r="I31" s="46"/>
      <c r="J31" s="46"/>
      <c r="K31" s="46">
        <v>231</v>
      </c>
      <c r="L31" s="46">
        <v>12</v>
      </c>
      <c r="M31" s="46">
        <v>3</v>
      </c>
      <c r="N31" s="46" t="s">
        <v>30</v>
      </c>
      <c r="O31" s="46">
        <v>2</v>
      </c>
      <c r="P31" s="46"/>
    </row>
    <row r="32" spans="1:19" ht="13" x14ac:dyDescent="0.3">
      <c r="A32" s="46">
        <v>50</v>
      </c>
      <c r="B32" s="46">
        <v>0</v>
      </c>
      <c r="C32" s="46">
        <v>0</v>
      </c>
      <c r="D32" s="46">
        <v>1</v>
      </c>
      <c r="E32" s="46">
        <v>204</v>
      </c>
      <c r="F32" s="46">
        <v>426335.85</v>
      </c>
      <c r="G32" s="46" t="s">
        <v>238</v>
      </c>
      <c r="H32" s="46" t="s">
        <v>239</v>
      </c>
      <c r="I32" s="46"/>
      <c r="J32" s="46"/>
      <c r="K32" s="46">
        <v>204</v>
      </c>
      <c r="L32" s="46">
        <v>13</v>
      </c>
      <c r="M32" s="46">
        <v>3</v>
      </c>
      <c r="N32" s="46" t="s">
        <v>30</v>
      </c>
      <c r="O32" s="46">
        <v>2</v>
      </c>
      <c r="P32" s="46"/>
    </row>
    <row r="33" spans="1:16" ht="13" x14ac:dyDescent="0.3">
      <c r="A33" s="46">
        <v>50</v>
      </c>
      <c r="B33" s="46">
        <v>0</v>
      </c>
      <c r="C33" s="46">
        <v>0</v>
      </c>
      <c r="D33" s="46">
        <v>1</v>
      </c>
      <c r="E33" s="46">
        <v>205</v>
      </c>
      <c r="F33" s="46">
        <v>211993.83</v>
      </c>
      <c r="G33" s="46" t="s">
        <v>240</v>
      </c>
      <c r="H33" s="46" t="s">
        <v>241</v>
      </c>
      <c r="I33" s="46"/>
      <c r="J33" s="46"/>
      <c r="K33" s="46">
        <v>205</v>
      </c>
      <c r="L33" s="46">
        <v>14</v>
      </c>
      <c r="M33" s="46">
        <v>3</v>
      </c>
      <c r="N33" s="46" t="s">
        <v>30</v>
      </c>
      <c r="O33" s="46">
        <v>2</v>
      </c>
      <c r="P33" s="46"/>
    </row>
    <row r="34" spans="1:16" ht="13" x14ac:dyDescent="0.3">
      <c r="A34" s="46">
        <v>50</v>
      </c>
      <c r="B34" s="46">
        <v>0</v>
      </c>
      <c r="C34" s="46">
        <v>0</v>
      </c>
      <c r="D34" s="46">
        <v>1</v>
      </c>
      <c r="E34" s="46">
        <v>232</v>
      </c>
      <c r="F34" s="46">
        <v>0</v>
      </c>
      <c r="G34" s="46" t="s">
        <v>242</v>
      </c>
      <c r="H34" s="46" t="s">
        <v>243</v>
      </c>
      <c r="I34" s="46"/>
      <c r="J34" s="46"/>
      <c r="K34" s="46">
        <v>232</v>
      </c>
      <c r="L34" s="46">
        <v>15</v>
      </c>
      <c r="M34" s="46">
        <v>3</v>
      </c>
      <c r="N34" s="46" t="s">
        <v>30</v>
      </c>
      <c r="O34" s="46">
        <v>2</v>
      </c>
      <c r="P34" s="46"/>
    </row>
    <row r="35" spans="1:16" ht="13" x14ac:dyDescent="0.3">
      <c r="A35" s="46">
        <v>50</v>
      </c>
      <c r="B35" s="46">
        <v>0</v>
      </c>
      <c r="C35" s="46">
        <v>0</v>
      </c>
      <c r="D35" s="46">
        <v>1</v>
      </c>
      <c r="E35" s="46">
        <v>214</v>
      </c>
      <c r="F35" s="46">
        <v>0</v>
      </c>
      <c r="G35" s="46" t="s">
        <v>244</v>
      </c>
      <c r="H35" s="46" t="s">
        <v>245</v>
      </c>
      <c r="I35" s="46"/>
      <c r="J35" s="46"/>
      <c r="K35" s="46">
        <v>214</v>
      </c>
      <c r="L35" s="46">
        <v>16</v>
      </c>
      <c r="M35" s="46">
        <v>3</v>
      </c>
      <c r="N35" s="46" t="s">
        <v>30</v>
      </c>
      <c r="O35" s="46">
        <v>2</v>
      </c>
      <c r="P35" s="46"/>
    </row>
    <row r="36" spans="1:16" ht="13" x14ac:dyDescent="0.3">
      <c r="A36" s="46">
        <v>50</v>
      </c>
      <c r="B36" s="46">
        <v>0</v>
      </c>
      <c r="C36" s="46">
        <v>0</v>
      </c>
      <c r="D36" s="46">
        <v>1</v>
      </c>
      <c r="E36" s="46">
        <v>215</v>
      </c>
      <c r="F36" s="46">
        <v>0</v>
      </c>
      <c r="G36" s="46" t="s">
        <v>246</v>
      </c>
      <c r="H36" s="46" t="s">
        <v>247</v>
      </c>
      <c r="I36" s="46"/>
      <c r="J36" s="46"/>
      <c r="K36" s="46">
        <v>215</v>
      </c>
      <c r="L36" s="46">
        <v>17</v>
      </c>
      <c r="M36" s="46">
        <v>3</v>
      </c>
      <c r="N36" s="46" t="s">
        <v>30</v>
      </c>
      <c r="O36" s="46">
        <v>2</v>
      </c>
      <c r="P36" s="46"/>
    </row>
    <row r="37" spans="1:16" ht="13" x14ac:dyDescent="0.3">
      <c r="A37" s="46">
        <v>50</v>
      </c>
      <c r="B37" s="46">
        <v>0</v>
      </c>
      <c r="C37" s="46">
        <v>0</v>
      </c>
      <c r="D37" s="46">
        <v>1</v>
      </c>
      <c r="E37" s="46">
        <v>217</v>
      </c>
      <c r="F37" s="46">
        <v>2905288.37</v>
      </c>
      <c r="G37" s="46" t="s">
        <v>248</v>
      </c>
      <c r="H37" s="46" t="s">
        <v>249</v>
      </c>
      <c r="I37" s="46"/>
      <c r="J37" s="46"/>
      <c r="K37" s="46">
        <v>217</v>
      </c>
      <c r="L37" s="46">
        <v>18</v>
      </c>
      <c r="M37" s="46">
        <v>3</v>
      </c>
      <c r="N37" s="46" t="s">
        <v>30</v>
      </c>
      <c r="O37" s="46">
        <v>2</v>
      </c>
      <c r="P37" s="46"/>
    </row>
    <row r="38" spans="1:16" ht="13" x14ac:dyDescent="0.3">
      <c r="A38" s="46">
        <v>50</v>
      </c>
      <c r="B38" s="46">
        <v>0</v>
      </c>
      <c r="C38" s="46">
        <v>0</v>
      </c>
      <c r="D38" s="46">
        <v>1</v>
      </c>
      <c r="E38" s="46">
        <v>230</v>
      </c>
      <c r="F38" s="46">
        <v>0</v>
      </c>
      <c r="G38" s="46" t="s">
        <v>250</v>
      </c>
      <c r="H38" s="46" t="s">
        <v>251</v>
      </c>
      <c r="I38" s="46"/>
      <c r="J38" s="46"/>
      <c r="K38" s="46">
        <v>230</v>
      </c>
      <c r="L38" s="46">
        <v>19</v>
      </c>
      <c r="M38" s="46">
        <v>3</v>
      </c>
      <c r="N38" s="46" t="s">
        <v>30</v>
      </c>
      <c r="O38" s="46">
        <v>2</v>
      </c>
      <c r="P38" s="46"/>
    </row>
    <row r="39" spans="1:16" ht="13" x14ac:dyDescent="0.3">
      <c r="A39" s="46">
        <v>50</v>
      </c>
      <c r="B39" s="46">
        <v>0</v>
      </c>
      <c r="C39" s="46">
        <v>0</v>
      </c>
      <c r="D39" s="46">
        <v>1</v>
      </c>
      <c r="E39" s="46">
        <v>206</v>
      </c>
      <c r="F39" s="46">
        <v>0</v>
      </c>
      <c r="G39" s="46" t="s">
        <v>252</v>
      </c>
      <c r="H39" s="46" t="s">
        <v>253</v>
      </c>
      <c r="I39" s="46"/>
      <c r="J39" s="46"/>
      <c r="K39" s="46">
        <v>206</v>
      </c>
      <c r="L39" s="46">
        <v>20</v>
      </c>
      <c r="M39" s="46">
        <v>3</v>
      </c>
      <c r="N39" s="46" t="s">
        <v>30</v>
      </c>
      <c r="O39" s="46">
        <v>2</v>
      </c>
      <c r="P39" s="46"/>
    </row>
    <row r="40" spans="1:16" ht="13" x14ac:dyDescent="0.3">
      <c r="A40" s="46">
        <v>50</v>
      </c>
      <c r="B40" s="46">
        <v>0</v>
      </c>
      <c r="C40" s="46">
        <v>0</v>
      </c>
      <c r="D40" s="46">
        <v>1</v>
      </c>
      <c r="E40" s="46">
        <v>207</v>
      </c>
      <c r="F40" s="46">
        <v>967.32686149999995</v>
      </c>
      <c r="G40" s="46" t="s">
        <v>254</v>
      </c>
      <c r="H40" s="46" t="s">
        <v>255</v>
      </c>
      <c r="I40" s="46"/>
      <c r="J40" s="46"/>
      <c r="K40" s="46">
        <v>207</v>
      </c>
      <c r="L40" s="46">
        <v>21</v>
      </c>
      <c r="M40" s="46">
        <v>3</v>
      </c>
      <c r="N40" s="46" t="s">
        <v>30</v>
      </c>
      <c r="O40" s="46">
        <v>-1</v>
      </c>
      <c r="P40" s="46"/>
    </row>
    <row r="41" spans="1:16" ht="13" x14ac:dyDescent="0.3">
      <c r="A41" s="46">
        <v>50</v>
      </c>
      <c r="B41" s="46">
        <v>0</v>
      </c>
      <c r="C41" s="46">
        <v>0</v>
      </c>
      <c r="D41" s="46">
        <v>1</v>
      </c>
      <c r="E41" s="46">
        <v>208</v>
      </c>
      <c r="F41" s="46">
        <v>0</v>
      </c>
      <c r="G41" s="46" t="s">
        <v>256</v>
      </c>
      <c r="H41" s="46" t="s">
        <v>257</v>
      </c>
      <c r="I41" s="46"/>
      <c r="J41" s="46"/>
      <c r="K41" s="46">
        <v>208</v>
      </c>
      <c r="L41" s="46">
        <v>22</v>
      </c>
      <c r="M41" s="46">
        <v>3</v>
      </c>
      <c r="N41" s="46" t="s">
        <v>30</v>
      </c>
      <c r="O41" s="46">
        <v>-1</v>
      </c>
      <c r="P41" s="46"/>
    </row>
    <row r="42" spans="1:16" ht="13" x14ac:dyDescent="0.3">
      <c r="A42" s="46">
        <v>50</v>
      </c>
      <c r="B42" s="46">
        <v>0</v>
      </c>
      <c r="C42" s="46">
        <v>0</v>
      </c>
      <c r="D42" s="46">
        <v>1</v>
      </c>
      <c r="E42" s="46">
        <v>209</v>
      </c>
      <c r="F42" s="46">
        <v>0</v>
      </c>
      <c r="G42" s="46" t="s">
        <v>258</v>
      </c>
      <c r="H42" s="46" t="s">
        <v>259</v>
      </c>
      <c r="I42" s="46"/>
      <c r="J42" s="46"/>
      <c r="K42" s="46">
        <v>209</v>
      </c>
      <c r="L42" s="46">
        <v>23</v>
      </c>
      <c r="M42" s="46">
        <v>3</v>
      </c>
      <c r="N42" s="46" t="s">
        <v>30</v>
      </c>
      <c r="O42" s="46">
        <v>2</v>
      </c>
      <c r="P42" s="46"/>
    </row>
    <row r="43" spans="1:16" ht="13" x14ac:dyDescent="0.3">
      <c r="A43" s="46">
        <v>50</v>
      </c>
      <c r="B43" s="46">
        <v>0</v>
      </c>
      <c r="C43" s="46">
        <v>0</v>
      </c>
      <c r="D43" s="46">
        <v>1</v>
      </c>
      <c r="E43" s="46">
        <v>233</v>
      </c>
      <c r="F43" s="46">
        <v>0</v>
      </c>
      <c r="G43" s="46" t="s">
        <v>260</v>
      </c>
      <c r="H43" s="46" t="s">
        <v>261</v>
      </c>
      <c r="I43" s="46"/>
      <c r="J43" s="46"/>
      <c r="K43" s="46">
        <v>233</v>
      </c>
      <c r="L43" s="46">
        <v>24</v>
      </c>
      <c r="M43" s="46">
        <v>3</v>
      </c>
      <c r="N43" s="46" t="s">
        <v>30</v>
      </c>
      <c r="O43" s="46">
        <v>2</v>
      </c>
      <c r="P43" s="46"/>
    </row>
    <row r="44" spans="1:16" ht="13" x14ac:dyDescent="0.3">
      <c r="A44" s="46">
        <v>50</v>
      </c>
      <c r="B44" s="46">
        <v>0</v>
      </c>
      <c r="C44" s="46">
        <v>0</v>
      </c>
      <c r="D44" s="46">
        <v>1</v>
      </c>
      <c r="E44" s="46">
        <v>210</v>
      </c>
      <c r="F44" s="46">
        <v>148395.68</v>
      </c>
      <c r="G44" s="46" t="s">
        <v>262</v>
      </c>
      <c r="H44" s="46" t="s">
        <v>263</v>
      </c>
      <c r="I44" s="46"/>
      <c r="J44" s="46"/>
      <c r="K44" s="46">
        <v>210</v>
      </c>
      <c r="L44" s="46">
        <v>25</v>
      </c>
      <c r="M44" s="46">
        <v>3</v>
      </c>
      <c r="N44" s="46" t="s">
        <v>30</v>
      </c>
      <c r="O44" s="46">
        <v>2</v>
      </c>
      <c r="P44" s="46"/>
    </row>
    <row r="45" spans="1:16" ht="13" x14ac:dyDescent="0.3">
      <c r="A45" s="46">
        <v>50</v>
      </c>
      <c r="B45" s="46">
        <v>0</v>
      </c>
      <c r="C45" s="46">
        <v>0</v>
      </c>
      <c r="D45" s="46">
        <v>1</v>
      </c>
      <c r="E45" s="46">
        <v>211</v>
      </c>
      <c r="F45" s="46">
        <v>21199.38</v>
      </c>
      <c r="G45" s="46" t="s">
        <v>264</v>
      </c>
      <c r="H45" s="46" t="s">
        <v>265</v>
      </c>
      <c r="I45" s="46"/>
      <c r="J45" s="46"/>
      <c r="K45" s="46">
        <v>211</v>
      </c>
      <c r="L45" s="46">
        <v>26</v>
      </c>
      <c r="M45" s="46">
        <v>3</v>
      </c>
      <c r="N45" s="46" t="s">
        <v>30</v>
      </c>
      <c r="O45" s="46">
        <v>2</v>
      </c>
      <c r="P45" s="46"/>
    </row>
    <row r="46" spans="1:16" ht="13" x14ac:dyDescent="0.3">
      <c r="A46" s="46">
        <v>50</v>
      </c>
      <c r="B46" s="46">
        <v>0</v>
      </c>
      <c r="C46" s="46">
        <v>0</v>
      </c>
      <c r="D46" s="46">
        <v>1</v>
      </c>
      <c r="E46" s="46">
        <v>224</v>
      </c>
      <c r="F46" s="46">
        <v>2905288.37</v>
      </c>
      <c r="G46" s="46" t="s">
        <v>266</v>
      </c>
      <c r="H46" s="46" t="s">
        <v>267</v>
      </c>
      <c r="I46" s="46"/>
      <c r="J46" s="46"/>
      <c r="K46" s="46">
        <v>224</v>
      </c>
      <c r="L46" s="46">
        <v>27</v>
      </c>
      <c r="M46" s="46">
        <v>3</v>
      </c>
      <c r="N46" s="46" t="s">
        <v>30</v>
      </c>
      <c r="O46" s="46">
        <v>2</v>
      </c>
      <c r="P46" s="46"/>
    </row>
    <row r="47" spans="1:16" ht="13" x14ac:dyDescent="0.3">
      <c r="A47" s="46">
        <v>50</v>
      </c>
      <c r="B47" s="46">
        <v>1</v>
      </c>
      <c r="C47" s="46">
        <v>0</v>
      </c>
      <c r="D47" s="46">
        <v>2</v>
      </c>
      <c r="E47" s="46">
        <v>0</v>
      </c>
      <c r="F47" s="46">
        <v>2905288.37</v>
      </c>
      <c r="G47" s="46" t="s">
        <v>268</v>
      </c>
      <c r="H47" s="46" t="s">
        <v>269</v>
      </c>
      <c r="I47" s="46"/>
      <c r="J47" s="46"/>
      <c r="K47" s="46">
        <v>212</v>
      </c>
      <c r="L47" s="46">
        <v>28</v>
      </c>
      <c r="M47" s="46">
        <v>0</v>
      </c>
      <c r="N47" s="46" t="s">
        <v>30</v>
      </c>
      <c r="O47" s="46">
        <v>2</v>
      </c>
      <c r="P47" s="46"/>
    </row>
    <row r="48" spans="1:16" ht="13" x14ac:dyDescent="0.3">
      <c r="A48" s="46">
        <v>50</v>
      </c>
      <c r="B48" s="46">
        <v>1</v>
      </c>
      <c r="C48" s="46">
        <v>0</v>
      </c>
      <c r="D48" s="46">
        <v>2</v>
      </c>
      <c r="E48" s="46">
        <v>0</v>
      </c>
      <c r="F48" s="46">
        <v>2266958.69</v>
      </c>
      <c r="G48" s="46" t="s">
        <v>270</v>
      </c>
      <c r="H48" s="46" t="s">
        <v>271</v>
      </c>
      <c r="I48" s="46"/>
      <c r="J48" s="46"/>
      <c r="K48" s="46">
        <v>212</v>
      </c>
      <c r="L48" s="46">
        <v>29</v>
      </c>
      <c r="M48" s="46">
        <v>0</v>
      </c>
      <c r="N48" s="46" t="s">
        <v>30</v>
      </c>
      <c r="O48" s="46">
        <v>2</v>
      </c>
      <c r="P48" s="46"/>
    </row>
    <row r="49" spans="1:16" ht="13" x14ac:dyDescent="0.3">
      <c r="A49" s="46">
        <v>50</v>
      </c>
      <c r="B49" s="46">
        <v>1</v>
      </c>
      <c r="C49" s="46">
        <v>0</v>
      </c>
      <c r="D49" s="46">
        <v>2</v>
      </c>
      <c r="E49" s="46">
        <v>0</v>
      </c>
      <c r="F49" s="46">
        <v>21199.38</v>
      </c>
      <c r="G49" s="46" t="s">
        <v>25</v>
      </c>
      <c r="H49" s="46" t="s">
        <v>25</v>
      </c>
      <c r="I49" s="46"/>
      <c r="J49" s="46"/>
      <c r="K49" s="46">
        <v>212</v>
      </c>
      <c r="L49" s="46">
        <v>30</v>
      </c>
      <c r="M49" s="46">
        <v>0</v>
      </c>
      <c r="N49" s="46" t="s">
        <v>30</v>
      </c>
      <c r="O49" s="46">
        <v>2</v>
      </c>
      <c r="P49" s="46"/>
    </row>
    <row r="50" spans="1:16" ht="13" x14ac:dyDescent="0.3">
      <c r="A50" s="46">
        <v>50</v>
      </c>
      <c r="B50" s="46">
        <v>1</v>
      </c>
      <c r="C50" s="46">
        <v>0</v>
      </c>
      <c r="D50" s="46">
        <v>2</v>
      </c>
      <c r="E50" s="46">
        <v>0</v>
      </c>
      <c r="F50" s="46">
        <v>127900.76</v>
      </c>
      <c r="G50" s="46" t="s">
        <v>272</v>
      </c>
      <c r="H50" s="46" t="s">
        <v>272</v>
      </c>
      <c r="I50" s="46"/>
      <c r="J50" s="46"/>
      <c r="K50" s="46">
        <v>212</v>
      </c>
      <c r="L50" s="46">
        <v>31</v>
      </c>
      <c r="M50" s="46">
        <v>0</v>
      </c>
      <c r="N50" s="46" t="s">
        <v>30</v>
      </c>
      <c r="O50" s="46">
        <v>2</v>
      </c>
      <c r="P50" s="46"/>
    </row>
    <row r="51" spans="1:16" ht="13" x14ac:dyDescent="0.3">
      <c r="A51" s="46">
        <v>50</v>
      </c>
      <c r="B51" s="46">
        <v>1</v>
      </c>
      <c r="C51" s="46">
        <v>0</v>
      </c>
      <c r="D51" s="46">
        <v>2</v>
      </c>
      <c r="E51" s="46">
        <v>0</v>
      </c>
      <c r="F51" s="46">
        <v>2117858.5499999998</v>
      </c>
      <c r="G51" s="46" t="s">
        <v>273</v>
      </c>
      <c r="H51" s="46" t="s">
        <v>274</v>
      </c>
      <c r="I51" s="46"/>
      <c r="J51" s="46"/>
      <c r="K51" s="46">
        <v>212</v>
      </c>
      <c r="L51" s="46">
        <v>32</v>
      </c>
      <c r="M51" s="46">
        <v>0</v>
      </c>
      <c r="N51" s="46" t="s">
        <v>30</v>
      </c>
      <c r="O51" s="46">
        <v>2</v>
      </c>
      <c r="P51" s="46"/>
    </row>
    <row r="52" spans="1:16" ht="13" x14ac:dyDescent="0.3">
      <c r="A52" s="46">
        <v>50</v>
      </c>
      <c r="B52" s="46">
        <v>1</v>
      </c>
      <c r="C52" s="46">
        <v>0</v>
      </c>
      <c r="D52" s="46">
        <v>2</v>
      </c>
      <c r="E52" s="46">
        <v>0</v>
      </c>
      <c r="F52" s="46">
        <v>423571.71</v>
      </c>
      <c r="G52" s="46" t="s">
        <v>42</v>
      </c>
      <c r="H52" s="46" t="s">
        <v>42</v>
      </c>
      <c r="I52" s="46"/>
      <c r="J52" s="46"/>
      <c r="K52" s="46">
        <v>212</v>
      </c>
      <c r="L52" s="46">
        <v>33</v>
      </c>
      <c r="M52" s="46">
        <v>0</v>
      </c>
      <c r="N52" s="46" t="s">
        <v>30</v>
      </c>
      <c r="O52" s="46">
        <v>2</v>
      </c>
      <c r="P52" s="46"/>
    </row>
    <row r="53" spans="1:16" ht="13" x14ac:dyDescent="0.3">
      <c r="A53" s="46">
        <v>50</v>
      </c>
      <c r="B53" s="46">
        <v>1</v>
      </c>
      <c r="C53" s="46">
        <v>0</v>
      </c>
      <c r="D53" s="46">
        <v>2</v>
      </c>
      <c r="E53" s="46">
        <v>0</v>
      </c>
      <c r="F53" s="46">
        <v>2541430.2599999998</v>
      </c>
      <c r="G53" s="46" t="s">
        <v>43</v>
      </c>
      <c r="H53" s="46" t="s">
        <v>275</v>
      </c>
      <c r="I53" s="46"/>
      <c r="J53" s="46"/>
      <c r="K53" s="46">
        <v>212</v>
      </c>
      <c r="L53" s="46">
        <v>34</v>
      </c>
      <c r="M53" s="46">
        <v>0</v>
      </c>
      <c r="N53" s="46" t="s">
        <v>30</v>
      </c>
      <c r="O53" s="46">
        <v>2</v>
      </c>
      <c r="P53" s="46"/>
    </row>
    <row r="54" spans="1:16" ht="13" x14ac:dyDescent="0.3">
      <c r="A54" s="46">
        <v>50</v>
      </c>
      <c r="B54" s="46">
        <v>1</v>
      </c>
      <c r="C54" s="46">
        <v>0</v>
      </c>
      <c r="D54" s="46">
        <v>2</v>
      </c>
      <c r="E54" s="46">
        <v>0</v>
      </c>
      <c r="F54" s="46">
        <v>211993.83</v>
      </c>
      <c r="G54" s="46" t="s">
        <v>276</v>
      </c>
      <c r="H54" s="46" t="s">
        <v>277</v>
      </c>
      <c r="I54" s="46"/>
      <c r="J54" s="46"/>
      <c r="K54" s="46">
        <v>212</v>
      </c>
      <c r="L54" s="46">
        <v>35</v>
      </c>
      <c r="M54" s="46">
        <v>0</v>
      </c>
      <c r="N54" s="46" t="s">
        <v>30</v>
      </c>
      <c r="O54" s="46">
        <v>2</v>
      </c>
      <c r="P54" s="46"/>
    </row>
    <row r="55" spans="1:16" ht="13" x14ac:dyDescent="0.3">
      <c r="A55" s="46">
        <v>50</v>
      </c>
      <c r="B55" s="46">
        <v>1</v>
      </c>
      <c r="C55" s="46">
        <v>0</v>
      </c>
      <c r="D55" s="46">
        <v>2</v>
      </c>
      <c r="E55" s="46">
        <v>0</v>
      </c>
      <c r="F55" s="46">
        <v>426335.85</v>
      </c>
      <c r="G55" s="46" t="s">
        <v>278</v>
      </c>
      <c r="H55" s="46" t="s">
        <v>279</v>
      </c>
      <c r="I55" s="46"/>
      <c r="J55" s="46"/>
      <c r="K55" s="46">
        <v>212</v>
      </c>
      <c r="L55" s="46">
        <v>36</v>
      </c>
      <c r="M55" s="46">
        <v>0</v>
      </c>
      <c r="N55" s="46" t="s">
        <v>30</v>
      </c>
      <c r="O55" s="46">
        <v>2</v>
      </c>
      <c r="P55" s="46"/>
    </row>
    <row r="56" spans="1:16" ht="13" x14ac:dyDescent="0.3">
      <c r="A56" s="46">
        <v>50</v>
      </c>
      <c r="B56" s="46">
        <v>1</v>
      </c>
      <c r="C56" s="46">
        <v>0</v>
      </c>
      <c r="D56" s="46">
        <v>2</v>
      </c>
      <c r="E56" s="46">
        <v>0</v>
      </c>
      <c r="F56" s="46">
        <v>3179759.94</v>
      </c>
      <c r="G56" s="46" t="s">
        <v>266</v>
      </c>
      <c r="H56" s="46" t="s">
        <v>280</v>
      </c>
      <c r="I56" s="46"/>
      <c r="J56" s="46"/>
      <c r="K56" s="46">
        <v>212</v>
      </c>
      <c r="L56" s="46">
        <v>37</v>
      </c>
      <c r="M56" s="46">
        <v>0</v>
      </c>
      <c r="N56" s="46" t="s">
        <v>30</v>
      </c>
      <c r="O56" s="46">
        <v>2</v>
      </c>
      <c r="P56" s="46"/>
    </row>
    <row r="58" spans="1:16" x14ac:dyDescent="0.25">
      <c r="A58" s="2">
        <v>-1</v>
      </c>
    </row>
    <row r="61" spans="1:16" ht="13" x14ac:dyDescent="0.3">
      <c r="A61" s="45">
        <v>75</v>
      </c>
      <c r="B61" s="45" t="s">
        <v>357</v>
      </c>
      <c r="C61" s="45">
        <v>2021</v>
      </c>
      <c r="D61" s="45">
        <v>0</v>
      </c>
      <c r="E61" s="45">
        <v>10</v>
      </c>
      <c r="F61" s="45">
        <v>0</v>
      </c>
      <c r="G61" s="45">
        <v>0</v>
      </c>
      <c r="H61" s="45">
        <v>1</v>
      </c>
      <c r="I61" s="45">
        <v>0</v>
      </c>
      <c r="J61" s="45">
        <v>1</v>
      </c>
      <c r="K61" s="45">
        <v>78</v>
      </c>
      <c r="L61" s="45">
        <v>30</v>
      </c>
      <c r="M61" s="45">
        <v>0</v>
      </c>
      <c r="N61" s="45">
        <v>52261502</v>
      </c>
      <c r="O61" s="45">
        <v>1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E13DD-0295-4E0B-9147-0F1076220C33}">
  <dimension ref="A1:DC95"/>
  <sheetViews>
    <sheetView workbookViewId="0"/>
  </sheetViews>
  <sheetFormatPr defaultColWidth="9.1796875" defaultRowHeight="12.5" x14ac:dyDescent="0.25"/>
  <cols>
    <col min="1" max="256" width="9.1796875" style="2" customWidth="1"/>
    <col min="257" max="16384" width="9.1796875" style="2"/>
  </cols>
  <sheetData>
    <row r="1" spans="1:107" x14ac:dyDescent="0.25">
      <c r="A1" s="2">
        <f>ROW(Source!A28)</f>
        <v>28</v>
      </c>
      <c r="B1" s="2">
        <v>52261502</v>
      </c>
      <c r="C1" s="2">
        <v>52261737</v>
      </c>
      <c r="D1" s="2">
        <v>49677488</v>
      </c>
      <c r="E1" s="2">
        <v>29</v>
      </c>
      <c r="F1" s="2">
        <v>1</v>
      </c>
      <c r="G1" s="2">
        <v>29</v>
      </c>
      <c r="H1" s="2">
        <v>1</v>
      </c>
      <c r="I1" s="2" t="s">
        <v>359</v>
      </c>
      <c r="J1" s="2" t="s">
        <v>30</v>
      </c>
      <c r="K1" s="2" t="s">
        <v>360</v>
      </c>
      <c r="L1" s="2">
        <v>1191</v>
      </c>
      <c r="N1" s="2">
        <v>1013</v>
      </c>
      <c r="O1" s="2" t="s">
        <v>361</v>
      </c>
      <c r="P1" s="2" t="s">
        <v>361</v>
      </c>
      <c r="Q1" s="2">
        <v>1</v>
      </c>
      <c r="W1" s="2">
        <v>0</v>
      </c>
      <c r="X1" s="2">
        <v>476480486</v>
      </c>
      <c r="Y1" s="2">
        <v>0.79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1</v>
      </c>
      <c r="AJ1" s="2">
        <v>1</v>
      </c>
      <c r="AK1" s="2">
        <v>1</v>
      </c>
      <c r="AL1" s="2">
        <v>1</v>
      </c>
      <c r="AN1" s="2">
        <v>0</v>
      </c>
      <c r="AO1" s="2">
        <v>1</v>
      </c>
      <c r="AP1" s="2">
        <v>0</v>
      </c>
      <c r="AQ1" s="2">
        <v>0</v>
      </c>
      <c r="AR1" s="2">
        <v>0</v>
      </c>
      <c r="AS1" s="2" t="s">
        <v>30</v>
      </c>
      <c r="AT1" s="2">
        <v>0.79</v>
      </c>
      <c r="AU1" s="2" t="s">
        <v>30</v>
      </c>
      <c r="AV1" s="2">
        <v>1</v>
      </c>
      <c r="AW1" s="2">
        <v>2</v>
      </c>
      <c r="AX1" s="2">
        <v>52261746</v>
      </c>
      <c r="AY1" s="2">
        <v>1</v>
      </c>
      <c r="AZ1" s="2">
        <v>0</v>
      </c>
      <c r="BA1" s="2">
        <v>1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  <c r="BJ1" s="2">
        <v>0</v>
      </c>
      <c r="BK1" s="2">
        <v>0</v>
      </c>
      <c r="BL1" s="2">
        <v>0</v>
      </c>
      <c r="BM1" s="2">
        <v>0</v>
      </c>
      <c r="BN1" s="2">
        <v>0</v>
      </c>
      <c r="BO1" s="2">
        <v>0</v>
      </c>
      <c r="BP1" s="2">
        <v>0</v>
      </c>
      <c r="BQ1" s="2">
        <v>0</v>
      </c>
      <c r="BR1" s="2">
        <v>0</v>
      </c>
      <c r="BS1" s="2">
        <v>0</v>
      </c>
      <c r="BT1" s="2">
        <v>0</v>
      </c>
      <c r="BU1" s="2">
        <v>0</v>
      </c>
      <c r="BV1" s="2">
        <v>0</v>
      </c>
      <c r="BW1" s="2">
        <v>0</v>
      </c>
      <c r="CX1" s="2">
        <f>Y1*Source!I28</f>
        <v>19.852699999999999</v>
      </c>
      <c r="CY1" s="2">
        <f>AD1</f>
        <v>0</v>
      </c>
      <c r="CZ1" s="2">
        <f>AH1</f>
        <v>0</v>
      </c>
      <c r="DA1" s="2">
        <f>AL1</f>
        <v>1</v>
      </c>
      <c r="DB1" s="2">
        <f t="shared" ref="DB1:DB25" si="0">ROUND(ROUND(AT1*CZ1,2),6)</f>
        <v>0</v>
      </c>
      <c r="DC1" s="2">
        <f t="shared" ref="DC1:DC25" si="1">ROUND(ROUND(AT1*AG1,2),6)</f>
        <v>0</v>
      </c>
    </row>
    <row r="2" spans="1:107" x14ac:dyDescent="0.25">
      <c r="A2" s="2">
        <f>ROW(Source!A28)</f>
        <v>28</v>
      </c>
      <c r="B2" s="2">
        <v>52261502</v>
      </c>
      <c r="C2" s="2">
        <v>52261737</v>
      </c>
      <c r="D2" s="2">
        <v>49678760</v>
      </c>
      <c r="E2" s="2">
        <v>1</v>
      </c>
      <c r="F2" s="2">
        <v>1</v>
      </c>
      <c r="G2" s="2">
        <v>29</v>
      </c>
      <c r="H2" s="2">
        <v>2</v>
      </c>
      <c r="I2" s="2" t="s">
        <v>80</v>
      </c>
      <c r="J2" s="2" t="s">
        <v>362</v>
      </c>
      <c r="K2" s="2" t="s">
        <v>81</v>
      </c>
      <c r="L2" s="2">
        <v>1368</v>
      </c>
      <c r="N2" s="2">
        <v>1011</v>
      </c>
      <c r="O2" s="2" t="s">
        <v>82</v>
      </c>
      <c r="P2" s="2" t="s">
        <v>82</v>
      </c>
      <c r="Q2" s="2">
        <v>1</v>
      </c>
      <c r="W2" s="2">
        <v>0</v>
      </c>
      <c r="X2" s="2">
        <v>-619466489</v>
      </c>
      <c r="Y2" s="2">
        <v>0.13</v>
      </c>
      <c r="AA2" s="2">
        <v>0</v>
      </c>
      <c r="AB2" s="2">
        <v>1208.6099999999999</v>
      </c>
      <c r="AC2" s="2">
        <v>484.58</v>
      </c>
      <c r="AD2" s="2">
        <v>0</v>
      </c>
      <c r="AE2" s="2">
        <v>0</v>
      </c>
      <c r="AF2" s="2">
        <v>1208.6099999999999</v>
      </c>
      <c r="AG2" s="2">
        <v>484.58</v>
      </c>
      <c r="AH2" s="2">
        <v>0</v>
      </c>
      <c r="AI2" s="2">
        <v>1</v>
      </c>
      <c r="AJ2" s="2">
        <v>1</v>
      </c>
      <c r="AK2" s="2">
        <v>1</v>
      </c>
      <c r="AL2" s="2">
        <v>1</v>
      </c>
      <c r="AN2" s="2">
        <v>0</v>
      </c>
      <c r="AO2" s="2">
        <v>1</v>
      </c>
      <c r="AP2" s="2">
        <v>0</v>
      </c>
      <c r="AQ2" s="2">
        <v>0</v>
      </c>
      <c r="AR2" s="2">
        <v>0</v>
      </c>
      <c r="AS2" s="2" t="s">
        <v>30</v>
      </c>
      <c r="AT2" s="2">
        <v>0.13</v>
      </c>
      <c r="AU2" s="2" t="s">
        <v>30</v>
      </c>
      <c r="AV2" s="2">
        <v>0</v>
      </c>
      <c r="AW2" s="2">
        <v>2</v>
      </c>
      <c r="AX2" s="2">
        <v>52261748</v>
      </c>
      <c r="AY2" s="2">
        <v>1</v>
      </c>
      <c r="AZ2" s="2">
        <v>0</v>
      </c>
      <c r="BA2" s="2">
        <v>2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CX2" s="2">
        <f>Y2*Source!I28</f>
        <v>3.2669000000000001</v>
      </c>
      <c r="CY2" s="2">
        <f>AB2</f>
        <v>1208.6099999999999</v>
      </c>
      <c r="CZ2" s="2">
        <f>AF2</f>
        <v>1208.6099999999999</v>
      </c>
      <c r="DA2" s="2">
        <f>AJ2</f>
        <v>1</v>
      </c>
      <c r="DB2" s="2">
        <f t="shared" si="0"/>
        <v>157.12</v>
      </c>
      <c r="DC2" s="2">
        <f t="shared" si="1"/>
        <v>63</v>
      </c>
    </row>
    <row r="3" spans="1:107" x14ac:dyDescent="0.25">
      <c r="A3" s="2">
        <f>ROW(Source!A28)</f>
        <v>28</v>
      </c>
      <c r="B3" s="2">
        <v>52261502</v>
      </c>
      <c r="C3" s="2">
        <v>52261737</v>
      </c>
      <c r="D3" s="2">
        <v>49678446</v>
      </c>
      <c r="E3" s="2">
        <v>1</v>
      </c>
      <c r="F3" s="2">
        <v>1</v>
      </c>
      <c r="G3" s="2">
        <v>29</v>
      </c>
      <c r="H3" s="2">
        <v>2</v>
      </c>
      <c r="I3" s="2" t="s">
        <v>83</v>
      </c>
      <c r="J3" s="2" t="s">
        <v>363</v>
      </c>
      <c r="K3" s="2" t="s">
        <v>84</v>
      </c>
      <c r="L3" s="2">
        <v>1368</v>
      </c>
      <c r="N3" s="2">
        <v>1011</v>
      </c>
      <c r="O3" s="2" t="s">
        <v>82</v>
      </c>
      <c r="P3" s="2" t="s">
        <v>82</v>
      </c>
      <c r="Q3" s="2">
        <v>1</v>
      </c>
      <c r="W3" s="2">
        <v>0</v>
      </c>
      <c r="X3" s="2">
        <v>1628374589</v>
      </c>
      <c r="Y3" s="2">
        <v>0.13</v>
      </c>
      <c r="AA3" s="2">
        <v>0</v>
      </c>
      <c r="AB3" s="2">
        <v>987.45</v>
      </c>
      <c r="AC3" s="2">
        <v>437.55</v>
      </c>
      <c r="AD3" s="2">
        <v>0</v>
      </c>
      <c r="AE3" s="2">
        <v>0</v>
      </c>
      <c r="AF3" s="2">
        <v>987.45</v>
      </c>
      <c r="AG3" s="2">
        <v>437.55</v>
      </c>
      <c r="AH3" s="2">
        <v>0</v>
      </c>
      <c r="AI3" s="2">
        <v>1</v>
      </c>
      <c r="AJ3" s="2">
        <v>1</v>
      </c>
      <c r="AK3" s="2">
        <v>1</v>
      </c>
      <c r="AL3" s="2">
        <v>1</v>
      </c>
      <c r="AN3" s="2">
        <v>0</v>
      </c>
      <c r="AO3" s="2">
        <v>1</v>
      </c>
      <c r="AP3" s="2">
        <v>0</v>
      </c>
      <c r="AQ3" s="2">
        <v>0</v>
      </c>
      <c r="AR3" s="2">
        <v>0</v>
      </c>
      <c r="AS3" s="2" t="s">
        <v>30</v>
      </c>
      <c r="AT3" s="2">
        <v>0.13</v>
      </c>
      <c r="AU3" s="2" t="s">
        <v>30</v>
      </c>
      <c r="AV3" s="2">
        <v>0</v>
      </c>
      <c r="AW3" s="2">
        <v>2</v>
      </c>
      <c r="AX3" s="2">
        <v>52261747</v>
      </c>
      <c r="AY3" s="2">
        <v>1</v>
      </c>
      <c r="AZ3" s="2">
        <v>0</v>
      </c>
      <c r="BA3" s="2">
        <v>3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CX3" s="2">
        <f>Y3*Source!I28</f>
        <v>3.2669000000000001</v>
      </c>
      <c r="CY3" s="2">
        <f>AB3</f>
        <v>987.45</v>
      </c>
      <c r="CZ3" s="2">
        <f>AF3</f>
        <v>987.45</v>
      </c>
      <c r="DA3" s="2">
        <f>AJ3</f>
        <v>1</v>
      </c>
      <c r="DB3" s="2">
        <f t="shared" si="0"/>
        <v>128.37</v>
      </c>
      <c r="DC3" s="2">
        <f t="shared" si="1"/>
        <v>56.88</v>
      </c>
    </row>
    <row r="4" spans="1:107" x14ac:dyDescent="0.25">
      <c r="A4" s="2">
        <f>ROW(Source!A28)</f>
        <v>28</v>
      </c>
      <c r="B4" s="2">
        <v>52261502</v>
      </c>
      <c r="C4" s="2">
        <v>52261737</v>
      </c>
      <c r="D4" s="2">
        <v>49679291</v>
      </c>
      <c r="E4" s="2">
        <v>1</v>
      </c>
      <c r="F4" s="2">
        <v>1</v>
      </c>
      <c r="G4" s="2">
        <v>29</v>
      </c>
      <c r="H4" s="2">
        <v>2</v>
      </c>
      <c r="I4" s="2" t="s">
        <v>91</v>
      </c>
      <c r="J4" s="2" t="s">
        <v>364</v>
      </c>
      <c r="K4" s="2" t="s">
        <v>92</v>
      </c>
      <c r="L4" s="2">
        <v>1368</v>
      </c>
      <c r="N4" s="2">
        <v>1011</v>
      </c>
      <c r="O4" s="2" t="s">
        <v>82</v>
      </c>
      <c r="P4" s="2" t="s">
        <v>82</v>
      </c>
      <c r="Q4" s="2">
        <v>1</v>
      </c>
      <c r="W4" s="2">
        <v>0</v>
      </c>
      <c r="X4" s="2">
        <v>-417828855</v>
      </c>
      <c r="Y4" s="2">
        <v>0.26</v>
      </c>
      <c r="AA4" s="2">
        <v>0</v>
      </c>
      <c r="AB4" s="2">
        <v>6.02</v>
      </c>
      <c r="AC4" s="2">
        <v>0.02</v>
      </c>
      <c r="AD4" s="2">
        <v>0</v>
      </c>
      <c r="AE4" s="2">
        <v>0</v>
      </c>
      <c r="AF4" s="2">
        <v>6.02</v>
      </c>
      <c r="AG4" s="2">
        <v>0.02</v>
      </c>
      <c r="AH4" s="2">
        <v>0</v>
      </c>
      <c r="AI4" s="2">
        <v>1</v>
      </c>
      <c r="AJ4" s="2">
        <v>1</v>
      </c>
      <c r="AK4" s="2">
        <v>1</v>
      </c>
      <c r="AL4" s="2">
        <v>1</v>
      </c>
      <c r="AN4" s="2">
        <v>0</v>
      </c>
      <c r="AO4" s="2">
        <v>1</v>
      </c>
      <c r="AP4" s="2">
        <v>0</v>
      </c>
      <c r="AQ4" s="2">
        <v>0</v>
      </c>
      <c r="AR4" s="2">
        <v>0</v>
      </c>
      <c r="AS4" s="2" t="s">
        <v>30</v>
      </c>
      <c r="AT4" s="2">
        <v>0.26</v>
      </c>
      <c r="AU4" s="2" t="s">
        <v>30</v>
      </c>
      <c r="AV4" s="2">
        <v>0</v>
      </c>
      <c r="AW4" s="2">
        <v>2</v>
      </c>
      <c r="AX4" s="2">
        <v>52261749</v>
      </c>
      <c r="AY4" s="2">
        <v>1</v>
      </c>
      <c r="AZ4" s="2">
        <v>0</v>
      </c>
      <c r="BA4" s="2">
        <v>4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CX4" s="2">
        <f>Y4*Source!I28</f>
        <v>6.5338000000000003</v>
      </c>
      <c r="CY4" s="2">
        <f>AB4</f>
        <v>6.02</v>
      </c>
      <c r="CZ4" s="2">
        <f>AF4</f>
        <v>6.02</v>
      </c>
      <c r="DA4" s="2">
        <f>AJ4</f>
        <v>1</v>
      </c>
      <c r="DB4" s="2">
        <f t="shared" si="0"/>
        <v>1.57</v>
      </c>
      <c r="DC4" s="2">
        <f t="shared" si="1"/>
        <v>0.01</v>
      </c>
    </row>
    <row r="5" spans="1:107" x14ac:dyDescent="0.25">
      <c r="A5" s="2">
        <f>ROW(Source!A28)</f>
        <v>28</v>
      </c>
      <c r="B5" s="2">
        <v>52261502</v>
      </c>
      <c r="C5" s="2">
        <v>52261737</v>
      </c>
      <c r="D5" s="2">
        <v>49678662</v>
      </c>
      <c r="E5" s="2">
        <v>1</v>
      </c>
      <c r="F5" s="2">
        <v>1</v>
      </c>
      <c r="G5" s="2">
        <v>29</v>
      </c>
      <c r="H5" s="2">
        <v>2</v>
      </c>
      <c r="I5" s="2" t="s">
        <v>93</v>
      </c>
      <c r="J5" s="2" t="s">
        <v>365</v>
      </c>
      <c r="K5" s="2" t="s">
        <v>94</v>
      </c>
      <c r="L5" s="2">
        <v>1368</v>
      </c>
      <c r="N5" s="2">
        <v>1011</v>
      </c>
      <c r="O5" s="2" t="s">
        <v>82</v>
      </c>
      <c r="P5" s="2" t="s">
        <v>82</v>
      </c>
      <c r="Q5" s="2">
        <v>1</v>
      </c>
      <c r="W5" s="2">
        <v>0</v>
      </c>
      <c r="X5" s="2">
        <v>988317905</v>
      </c>
      <c r="Y5" s="2">
        <v>0.25</v>
      </c>
      <c r="AA5" s="2">
        <v>0</v>
      </c>
      <c r="AB5" s="2">
        <v>7834.05</v>
      </c>
      <c r="AC5" s="2">
        <v>1037.76</v>
      </c>
      <c r="AD5" s="2">
        <v>0</v>
      </c>
      <c r="AE5" s="2">
        <v>0</v>
      </c>
      <c r="AF5" s="2">
        <v>7834.05</v>
      </c>
      <c r="AG5" s="2">
        <v>1037.76</v>
      </c>
      <c r="AH5" s="2">
        <v>0</v>
      </c>
      <c r="AI5" s="2">
        <v>1</v>
      </c>
      <c r="AJ5" s="2">
        <v>1</v>
      </c>
      <c r="AK5" s="2">
        <v>1</v>
      </c>
      <c r="AL5" s="2">
        <v>1</v>
      </c>
      <c r="AN5" s="2">
        <v>0</v>
      </c>
      <c r="AO5" s="2">
        <v>1</v>
      </c>
      <c r="AP5" s="2">
        <v>0</v>
      </c>
      <c r="AQ5" s="2">
        <v>0</v>
      </c>
      <c r="AR5" s="2">
        <v>0</v>
      </c>
      <c r="AS5" s="2" t="s">
        <v>30</v>
      </c>
      <c r="AT5" s="2">
        <v>0.25</v>
      </c>
      <c r="AU5" s="2" t="s">
        <v>30</v>
      </c>
      <c r="AV5" s="2">
        <v>0</v>
      </c>
      <c r="AW5" s="2">
        <v>2</v>
      </c>
      <c r="AX5" s="2">
        <v>52261750</v>
      </c>
      <c r="AY5" s="2">
        <v>1</v>
      </c>
      <c r="AZ5" s="2">
        <v>0</v>
      </c>
      <c r="BA5" s="2">
        <v>5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CX5" s="2">
        <f>Y5*Source!I28</f>
        <v>6.2824999999999998</v>
      </c>
      <c r="CY5" s="2">
        <f>AB5</f>
        <v>7834.05</v>
      </c>
      <c r="CZ5" s="2">
        <f>AF5</f>
        <v>7834.05</v>
      </c>
      <c r="DA5" s="2">
        <f>AJ5</f>
        <v>1</v>
      </c>
      <c r="DB5" s="2">
        <f t="shared" si="0"/>
        <v>1958.51</v>
      </c>
      <c r="DC5" s="2">
        <f t="shared" si="1"/>
        <v>259.44</v>
      </c>
    </row>
    <row r="6" spans="1:107" x14ac:dyDescent="0.25">
      <c r="A6" s="2">
        <f>ROW(Source!A28)</f>
        <v>28</v>
      </c>
      <c r="B6" s="2">
        <v>52261502</v>
      </c>
      <c r="C6" s="2">
        <v>52261737</v>
      </c>
      <c r="D6" s="2">
        <v>49678657</v>
      </c>
      <c r="E6" s="2">
        <v>1</v>
      </c>
      <c r="F6" s="2">
        <v>1</v>
      </c>
      <c r="G6" s="2">
        <v>29</v>
      </c>
      <c r="H6" s="2">
        <v>2</v>
      </c>
      <c r="I6" s="2" t="s">
        <v>103</v>
      </c>
      <c r="J6" s="2" t="s">
        <v>366</v>
      </c>
      <c r="K6" s="2" t="s">
        <v>104</v>
      </c>
      <c r="L6" s="2">
        <v>1368</v>
      </c>
      <c r="N6" s="2">
        <v>1011</v>
      </c>
      <c r="O6" s="2" t="s">
        <v>82</v>
      </c>
      <c r="P6" s="2" t="s">
        <v>82</v>
      </c>
      <c r="Q6" s="2">
        <v>1</v>
      </c>
      <c r="W6" s="2">
        <v>0</v>
      </c>
      <c r="X6" s="2">
        <v>-198119259</v>
      </c>
      <c r="Y6" s="2">
        <v>0.25</v>
      </c>
      <c r="AA6" s="2">
        <v>0</v>
      </c>
      <c r="AB6" s="2">
        <v>1383.17</v>
      </c>
      <c r="AC6" s="2">
        <v>522.72</v>
      </c>
      <c r="AD6" s="2">
        <v>0</v>
      </c>
      <c r="AE6" s="2">
        <v>0</v>
      </c>
      <c r="AF6" s="2">
        <v>1383.17</v>
      </c>
      <c r="AG6" s="2">
        <v>522.72</v>
      </c>
      <c r="AH6" s="2">
        <v>0</v>
      </c>
      <c r="AI6" s="2">
        <v>1</v>
      </c>
      <c r="AJ6" s="2">
        <v>1</v>
      </c>
      <c r="AK6" s="2">
        <v>1</v>
      </c>
      <c r="AL6" s="2">
        <v>1</v>
      </c>
      <c r="AN6" s="2">
        <v>0</v>
      </c>
      <c r="AO6" s="2">
        <v>1</v>
      </c>
      <c r="AP6" s="2">
        <v>0</v>
      </c>
      <c r="AQ6" s="2">
        <v>0</v>
      </c>
      <c r="AR6" s="2">
        <v>0</v>
      </c>
      <c r="AS6" s="2" t="s">
        <v>30</v>
      </c>
      <c r="AT6" s="2">
        <v>0.25</v>
      </c>
      <c r="AU6" s="2" t="s">
        <v>30</v>
      </c>
      <c r="AV6" s="2">
        <v>0</v>
      </c>
      <c r="AW6" s="2">
        <v>2</v>
      </c>
      <c r="AX6" s="2">
        <v>52261751</v>
      </c>
      <c r="AY6" s="2">
        <v>1</v>
      </c>
      <c r="AZ6" s="2">
        <v>0</v>
      </c>
      <c r="BA6" s="2">
        <v>6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CX6" s="2">
        <f>Y6*Source!I28</f>
        <v>6.2824999999999998</v>
      </c>
      <c r="CY6" s="2">
        <f>AB6</f>
        <v>1383.17</v>
      </c>
      <c r="CZ6" s="2">
        <f>AF6</f>
        <v>1383.17</v>
      </c>
      <c r="DA6" s="2">
        <f>AJ6</f>
        <v>1</v>
      </c>
      <c r="DB6" s="2">
        <f t="shared" si="0"/>
        <v>345.79</v>
      </c>
      <c r="DC6" s="2">
        <f t="shared" si="1"/>
        <v>130.68</v>
      </c>
    </row>
    <row r="7" spans="1:107" x14ac:dyDescent="0.25">
      <c r="A7" s="2">
        <f>ROW(Source!A28)</f>
        <v>28</v>
      </c>
      <c r="B7" s="2">
        <v>52261502</v>
      </c>
      <c r="C7" s="2">
        <v>52261737</v>
      </c>
      <c r="D7" s="2">
        <v>49681352</v>
      </c>
      <c r="E7" s="2">
        <v>1</v>
      </c>
      <c r="F7" s="2">
        <v>1</v>
      </c>
      <c r="G7" s="2">
        <v>29</v>
      </c>
      <c r="H7" s="2">
        <v>3</v>
      </c>
      <c r="I7" s="2" t="s">
        <v>111</v>
      </c>
      <c r="J7" s="2" t="s">
        <v>367</v>
      </c>
      <c r="K7" s="2" t="s">
        <v>112</v>
      </c>
      <c r="L7" s="2">
        <v>1339</v>
      </c>
      <c r="N7" s="2">
        <v>1007</v>
      </c>
      <c r="O7" s="2" t="s">
        <v>62</v>
      </c>
      <c r="P7" s="2" t="s">
        <v>62</v>
      </c>
      <c r="Q7" s="2">
        <v>1</v>
      </c>
      <c r="W7" s="2">
        <v>0</v>
      </c>
      <c r="X7" s="2">
        <v>1995837903</v>
      </c>
      <c r="Y7" s="2">
        <v>0.26700000000000002</v>
      </c>
      <c r="AA7" s="2">
        <v>36.31</v>
      </c>
      <c r="AB7" s="2">
        <v>0</v>
      </c>
      <c r="AC7" s="2">
        <v>0</v>
      </c>
      <c r="AD7" s="2">
        <v>0</v>
      </c>
      <c r="AE7" s="2">
        <v>36.31</v>
      </c>
      <c r="AF7" s="2">
        <v>0</v>
      </c>
      <c r="AG7" s="2">
        <v>0</v>
      </c>
      <c r="AH7" s="2">
        <v>0</v>
      </c>
      <c r="AI7" s="2">
        <v>1</v>
      </c>
      <c r="AJ7" s="2">
        <v>1</v>
      </c>
      <c r="AK7" s="2">
        <v>1</v>
      </c>
      <c r="AL7" s="2">
        <v>1</v>
      </c>
      <c r="AN7" s="2">
        <v>0</v>
      </c>
      <c r="AO7" s="2">
        <v>1</v>
      </c>
      <c r="AP7" s="2">
        <v>0</v>
      </c>
      <c r="AQ7" s="2">
        <v>0</v>
      </c>
      <c r="AR7" s="2">
        <v>0</v>
      </c>
      <c r="AS7" s="2" t="s">
        <v>30</v>
      </c>
      <c r="AT7" s="2">
        <v>0.26700000000000002</v>
      </c>
      <c r="AU7" s="2" t="s">
        <v>30</v>
      </c>
      <c r="AV7" s="2">
        <v>0</v>
      </c>
      <c r="AW7" s="2">
        <v>2</v>
      </c>
      <c r="AX7" s="2">
        <v>52261752</v>
      </c>
      <c r="AY7" s="2">
        <v>1</v>
      </c>
      <c r="AZ7" s="2">
        <v>0</v>
      </c>
      <c r="BA7" s="2">
        <v>7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CX7" s="2">
        <f>Y7*Source!I28</f>
        <v>6.7097100000000003</v>
      </c>
      <c r="CY7" s="2">
        <f>AA7</f>
        <v>36.31</v>
      </c>
      <c r="CZ7" s="2">
        <f>AE7</f>
        <v>36.31</v>
      </c>
      <c r="DA7" s="2">
        <f>AI7</f>
        <v>1</v>
      </c>
      <c r="DB7" s="2">
        <f t="shared" si="0"/>
        <v>9.69</v>
      </c>
      <c r="DC7" s="2">
        <f t="shared" si="1"/>
        <v>0</v>
      </c>
    </row>
    <row r="8" spans="1:107" x14ac:dyDescent="0.25">
      <c r="A8" s="2">
        <f>ROW(Source!A28)</f>
        <v>28</v>
      </c>
      <c r="B8" s="2">
        <v>52261502</v>
      </c>
      <c r="C8" s="2">
        <v>52261737</v>
      </c>
      <c r="D8" s="2">
        <v>49682077</v>
      </c>
      <c r="E8" s="2">
        <v>1</v>
      </c>
      <c r="F8" s="2">
        <v>1</v>
      </c>
      <c r="G8" s="2">
        <v>29</v>
      </c>
      <c r="H8" s="2">
        <v>3</v>
      </c>
      <c r="I8" s="2" t="s">
        <v>113</v>
      </c>
      <c r="J8" s="2" t="s">
        <v>368</v>
      </c>
      <c r="K8" s="2" t="s">
        <v>114</v>
      </c>
      <c r="L8" s="2">
        <v>1354</v>
      </c>
      <c r="N8" s="2">
        <v>1010</v>
      </c>
      <c r="O8" s="2" t="s">
        <v>67</v>
      </c>
      <c r="P8" s="2" t="s">
        <v>67</v>
      </c>
      <c r="Q8" s="2">
        <v>1</v>
      </c>
      <c r="W8" s="2">
        <v>0</v>
      </c>
      <c r="X8" s="2">
        <v>2039534259</v>
      </c>
      <c r="Y8" s="2">
        <v>2.5</v>
      </c>
      <c r="AA8" s="2">
        <v>256.22000000000003</v>
      </c>
      <c r="AB8" s="2">
        <v>0</v>
      </c>
      <c r="AC8" s="2">
        <v>0</v>
      </c>
      <c r="AD8" s="2">
        <v>0</v>
      </c>
      <c r="AE8" s="2">
        <v>256.22000000000003</v>
      </c>
      <c r="AF8" s="2">
        <v>0</v>
      </c>
      <c r="AG8" s="2">
        <v>0</v>
      </c>
      <c r="AH8" s="2">
        <v>0</v>
      </c>
      <c r="AI8" s="2">
        <v>1</v>
      </c>
      <c r="AJ8" s="2">
        <v>1</v>
      </c>
      <c r="AK8" s="2">
        <v>1</v>
      </c>
      <c r="AL8" s="2">
        <v>1</v>
      </c>
      <c r="AN8" s="2">
        <v>0</v>
      </c>
      <c r="AO8" s="2">
        <v>1</v>
      </c>
      <c r="AP8" s="2">
        <v>0</v>
      </c>
      <c r="AQ8" s="2">
        <v>0</v>
      </c>
      <c r="AR8" s="2">
        <v>0</v>
      </c>
      <c r="AS8" s="2" t="s">
        <v>30</v>
      </c>
      <c r="AT8" s="2">
        <v>2.5</v>
      </c>
      <c r="AU8" s="2" t="s">
        <v>30</v>
      </c>
      <c r="AV8" s="2">
        <v>0</v>
      </c>
      <c r="AW8" s="2">
        <v>2</v>
      </c>
      <c r="AX8" s="2">
        <v>52261753</v>
      </c>
      <c r="AY8" s="2">
        <v>1</v>
      </c>
      <c r="AZ8" s="2">
        <v>0</v>
      </c>
      <c r="BA8" s="2">
        <v>8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CX8" s="2">
        <f>Y8*Source!I28</f>
        <v>62.825000000000003</v>
      </c>
      <c r="CY8" s="2">
        <f>AA8</f>
        <v>256.22000000000003</v>
      </c>
      <c r="CZ8" s="2">
        <f>AE8</f>
        <v>256.22000000000003</v>
      </c>
      <c r="DA8" s="2">
        <f>AI8</f>
        <v>1</v>
      </c>
      <c r="DB8" s="2">
        <f t="shared" si="0"/>
        <v>640.54999999999995</v>
      </c>
      <c r="DC8" s="2">
        <f t="shared" si="1"/>
        <v>0</v>
      </c>
    </row>
    <row r="9" spans="1:107" x14ac:dyDescent="0.25">
      <c r="A9" s="2">
        <f>ROW(Source!A29)</f>
        <v>29</v>
      </c>
      <c r="B9" s="2">
        <v>52261502</v>
      </c>
      <c r="C9" s="2">
        <v>52261754</v>
      </c>
      <c r="D9" s="2">
        <v>49677488</v>
      </c>
      <c r="E9" s="2">
        <v>29</v>
      </c>
      <c r="F9" s="2">
        <v>1</v>
      </c>
      <c r="G9" s="2">
        <v>29</v>
      </c>
      <c r="H9" s="2">
        <v>1</v>
      </c>
      <c r="I9" s="2" t="s">
        <v>359</v>
      </c>
      <c r="J9" s="2" t="s">
        <v>30</v>
      </c>
      <c r="K9" s="2" t="s">
        <v>360</v>
      </c>
      <c r="L9" s="2">
        <v>1191</v>
      </c>
      <c r="N9" s="2">
        <v>1013</v>
      </c>
      <c r="O9" s="2" t="s">
        <v>361</v>
      </c>
      <c r="P9" s="2" t="s">
        <v>361</v>
      </c>
      <c r="Q9" s="2">
        <v>1</v>
      </c>
      <c r="W9" s="2">
        <v>0</v>
      </c>
      <c r="X9" s="2">
        <v>476480486</v>
      </c>
      <c r="Y9" s="2">
        <v>0.04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1</v>
      </c>
      <c r="AJ9" s="2">
        <v>1</v>
      </c>
      <c r="AK9" s="2">
        <v>1</v>
      </c>
      <c r="AL9" s="2">
        <v>1</v>
      </c>
      <c r="AN9" s="2">
        <v>0</v>
      </c>
      <c r="AO9" s="2">
        <v>1</v>
      </c>
      <c r="AP9" s="2">
        <v>0</v>
      </c>
      <c r="AQ9" s="2">
        <v>0</v>
      </c>
      <c r="AR9" s="2">
        <v>0</v>
      </c>
      <c r="AS9" s="2" t="s">
        <v>30</v>
      </c>
      <c r="AT9" s="2">
        <v>0.04</v>
      </c>
      <c r="AU9" s="2" t="s">
        <v>30</v>
      </c>
      <c r="AV9" s="2">
        <v>1</v>
      </c>
      <c r="AW9" s="2">
        <v>2</v>
      </c>
      <c r="AX9" s="2">
        <v>52261760</v>
      </c>
      <c r="AY9" s="2">
        <v>1</v>
      </c>
      <c r="AZ9" s="2">
        <v>0</v>
      </c>
      <c r="BA9" s="2">
        <v>9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CX9" s="2">
        <f>Y9*Source!I29</f>
        <v>-1.0052000000000001</v>
      </c>
      <c r="CY9" s="2">
        <f>AD9</f>
        <v>0</v>
      </c>
      <c r="CZ9" s="2">
        <f>AH9</f>
        <v>0</v>
      </c>
      <c r="DA9" s="2">
        <f>AL9</f>
        <v>1</v>
      </c>
      <c r="DB9" s="2">
        <f t="shared" si="0"/>
        <v>0</v>
      </c>
      <c r="DC9" s="2">
        <f t="shared" si="1"/>
        <v>0</v>
      </c>
    </row>
    <row r="10" spans="1:107" x14ac:dyDescent="0.25">
      <c r="A10" s="2">
        <f>ROW(Source!A29)</f>
        <v>29</v>
      </c>
      <c r="B10" s="2">
        <v>52261502</v>
      </c>
      <c r="C10" s="2">
        <v>52261754</v>
      </c>
      <c r="D10" s="2">
        <v>49678662</v>
      </c>
      <c r="E10" s="2">
        <v>1</v>
      </c>
      <c r="F10" s="2">
        <v>1</v>
      </c>
      <c r="G10" s="2">
        <v>29</v>
      </c>
      <c r="H10" s="2">
        <v>2</v>
      </c>
      <c r="I10" s="2" t="s">
        <v>93</v>
      </c>
      <c r="J10" s="2" t="s">
        <v>365</v>
      </c>
      <c r="K10" s="2" t="s">
        <v>94</v>
      </c>
      <c r="L10" s="2">
        <v>1368</v>
      </c>
      <c r="N10" s="2">
        <v>1011</v>
      </c>
      <c r="O10" s="2" t="s">
        <v>82</v>
      </c>
      <c r="P10" s="2" t="s">
        <v>82</v>
      </c>
      <c r="Q10" s="2">
        <v>1</v>
      </c>
      <c r="W10" s="2">
        <v>0</v>
      </c>
      <c r="X10" s="2">
        <v>988317905</v>
      </c>
      <c r="Y10" s="2">
        <v>0.04</v>
      </c>
      <c r="AA10" s="2">
        <v>0</v>
      </c>
      <c r="AB10" s="2">
        <v>7834.05</v>
      </c>
      <c r="AC10" s="2">
        <v>1037.76</v>
      </c>
      <c r="AD10" s="2">
        <v>0</v>
      </c>
      <c r="AE10" s="2">
        <v>0</v>
      </c>
      <c r="AF10" s="2">
        <v>7834.05</v>
      </c>
      <c r="AG10" s="2">
        <v>1037.76</v>
      </c>
      <c r="AH10" s="2">
        <v>0</v>
      </c>
      <c r="AI10" s="2">
        <v>1</v>
      </c>
      <c r="AJ10" s="2">
        <v>1</v>
      </c>
      <c r="AK10" s="2">
        <v>1</v>
      </c>
      <c r="AL10" s="2">
        <v>1</v>
      </c>
      <c r="AN10" s="2">
        <v>0</v>
      </c>
      <c r="AO10" s="2">
        <v>1</v>
      </c>
      <c r="AP10" s="2">
        <v>0</v>
      </c>
      <c r="AQ10" s="2">
        <v>0</v>
      </c>
      <c r="AR10" s="2">
        <v>0</v>
      </c>
      <c r="AS10" s="2" t="s">
        <v>30</v>
      </c>
      <c r="AT10" s="2">
        <v>0.04</v>
      </c>
      <c r="AU10" s="2" t="s">
        <v>30</v>
      </c>
      <c r="AV10" s="2">
        <v>0</v>
      </c>
      <c r="AW10" s="2">
        <v>2</v>
      </c>
      <c r="AX10" s="2">
        <v>52261761</v>
      </c>
      <c r="AY10" s="2">
        <v>1</v>
      </c>
      <c r="AZ10" s="2">
        <v>0</v>
      </c>
      <c r="BA10" s="2">
        <v>10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CX10" s="2">
        <f>Y10*Source!I29</f>
        <v>-1.0052000000000001</v>
      </c>
      <c r="CY10" s="2">
        <f>AB10</f>
        <v>7834.05</v>
      </c>
      <c r="CZ10" s="2">
        <f>AF10</f>
        <v>7834.05</v>
      </c>
      <c r="DA10" s="2">
        <f>AJ10</f>
        <v>1</v>
      </c>
      <c r="DB10" s="2">
        <f t="shared" si="0"/>
        <v>313.36</v>
      </c>
      <c r="DC10" s="2">
        <f t="shared" si="1"/>
        <v>41.51</v>
      </c>
    </row>
    <row r="11" spans="1:107" x14ac:dyDescent="0.25">
      <c r="A11" s="2">
        <f>ROW(Source!A29)</f>
        <v>29</v>
      </c>
      <c r="B11" s="2">
        <v>52261502</v>
      </c>
      <c r="C11" s="2">
        <v>52261754</v>
      </c>
      <c r="D11" s="2">
        <v>49678657</v>
      </c>
      <c r="E11" s="2">
        <v>1</v>
      </c>
      <c r="F11" s="2">
        <v>1</v>
      </c>
      <c r="G11" s="2">
        <v>29</v>
      </c>
      <c r="H11" s="2">
        <v>2</v>
      </c>
      <c r="I11" s="2" t="s">
        <v>103</v>
      </c>
      <c r="J11" s="2" t="s">
        <v>366</v>
      </c>
      <c r="K11" s="2" t="s">
        <v>104</v>
      </c>
      <c r="L11" s="2">
        <v>1368</v>
      </c>
      <c r="N11" s="2">
        <v>1011</v>
      </c>
      <c r="O11" s="2" t="s">
        <v>82</v>
      </c>
      <c r="P11" s="2" t="s">
        <v>82</v>
      </c>
      <c r="Q11" s="2">
        <v>1</v>
      </c>
      <c r="W11" s="2">
        <v>0</v>
      </c>
      <c r="X11" s="2">
        <v>-198119259</v>
      </c>
      <c r="Y11" s="2">
        <v>0.04</v>
      </c>
      <c r="AA11" s="2">
        <v>0</v>
      </c>
      <c r="AB11" s="2">
        <v>1383.17</v>
      </c>
      <c r="AC11" s="2">
        <v>522.72</v>
      </c>
      <c r="AD11" s="2">
        <v>0</v>
      </c>
      <c r="AE11" s="2">
        <v>0</v>
      </c>
      <c r="AF11" s="2">
        <v>1383.17</v>
      </c>
      <c r="AG11" s="2">
        <v>522.72</v>
      </c>
      <c r="AH11" s="2">
        <v>0</v>
      </c>
      <c r="AI11" s="2">
        <v>1</v>
      </c>
      <c r="AJ11" s="2">
        <v>1</v>
      </c>
      <c r="AK11" s="2">
        <v>1</v>
      </c>
      <c r="AL11" s="2">
        <v>1</v>
      </c>
      <c r="AN11" s="2">
        <v>0</v>
      </c>
      <c r="AO11" s="2">
        <v>1</v>
      </c>
      <c r="AP11" s="2">
        <v>0</v>
      </c>
      <c r="AQ11" s="2">
        <v>0</v>
      </c>
      <c r="AR11" s="2">
        <v>0</v>
      </c>
      <c r="AS11" s="2" t="s">
        <v>30</v>
      </c>
      <c r="AT11" s="2">
        <v>0.04</v>
      </c>
      <c r="AU11" s="2" t="s">
        <v>30</v>
      </c>
      <c r="AV11" s="2">
        <v>0</v>
      </c>
      <c r="AW11" s="2">
        <v>2</v>
      </c>
      <c r="AX11" s="2">
        <v>52261762</v>
      </c>
      <c r="AY11" s="2">
        <v>1</v>
      </c>
      <c r="AZ11" s="2">
        <v>0</v>
      </c>
      <c r="BA11" s="2">
        <v>11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CX11" s="2">
        <f>Y11*Source!I29</f>
        <v>-1.0052000000000001</v>
      </c>
      <c r="CY11" s="2">
        <f>AB11</f>
        <v>1383.17</v>
      </c>
      <c r="CZ11" s="2">
        <f>AF11</f>
        <v>1383.17</v>
      </c>
      <c r="DA11" s="2">
        <f>AJ11</f>
        <v>1</v>
      </c>
      <c r="DB11" s="2">
        <f t="shared" si="0"/>
        <v>55.33</v>
      </c>
      <c r="DC11" s="2">
        <f t="shared" si="1"/>
        <v>20.91</v>
      </c>
    </row>
    <row r="12" spans="1:107" x14ac:dyDescent="0.25">
      <c r="A12" s="2">
        <f>ROW(Source!A29)</f>
        <v>29</v>
      </c>
      <c r="B12" s="2">
        <v>52261502</v>
      </c>
      <c r="C12" s="2">
        <v>52261754</v>
      </c>
      <c r="D12" s="2">
        <v>49681352</v>
      </c>
      <c r="E12" s="2">
        <v>1</v>
      </c>
      <c r="F12" s="2">
        <v>1</v>
      </c>
      <c r="G12" s="2">
        <v>29</v>
      </c>
      <c r="H12" s="2">
        <v>3</v>
      </c>
      <c r="I12" s="2" t="s">
        <v>111</v>
      </c>
      <c r="J12" s="2" t="s">
        <v>367</v>
      </c>
      <c r="K12" s="2" t="s">
        <v>112</v>
      </c>
      <c r="L12" s="2">
        <v>1339</v>
      </c>
      <c r="N12" s="2">
        <v>1007</v>
      </c>
      <c r="O12" s="2" t="s">
        <v>62</v>
      </c>
      <c r="P12" s="2" t="s">
        <v>62</v>
      </c>
      <c r="Q12" s="2">
        <v>1</v>
      </c>
      <c r="W12" s="2">
        <v>0</v>
      </c>
      <c r="X12" s="2">
        <v>1995837903</v>
      </c>
      <c r="Y12" s="2">
        <v>4.4999999999999998E-2</v>
      </c>
      <c r="AA12" s="2">
        <v>36.31</v>
      </c>
      <c r="AB12" s="2">
        <v>0</v>
      </c>
      <c r="AC12" s="2">
        <v>0</v>
      </c>
      <c r="AD12" s="2">
        <v>0</v>
      </c>
      <c r="AE12" s="2">
        <v>36.31</v>
      </c>
      <c r="AF12" s="2">
        <v>0</v>
      </c>
      <c r="AG12" s="2">
        <v>0</v>
      </c>
      <c r="AH12" s="2">
        <v>0</v>
      </c>
      <c r="AI12" s="2">
        <v>1</v>
      </c>
      <c r="AJ12" s="2">
        <v>1</v>
      </c>
      <c r="AK12" s="2">
        <v>1</v>
      </c>
      <c r="AL12" s="2">
        <v>1</v>
      </c>
      <c r="AN12" s="2">
        <v>0</v>
      </c>
      <c r="AO12" s="2">
        <v>1</v>
      </c>
      <c r="AP12" s="2">
        <v>0</v>
      </c>
      <c r="AQ12" s="2">
        <v>0</v>
      </c>
      <c r="AR12" s="2">
        <v>0</v>
      </c>
      <c r="AS12" s="2" t="s">
        <v>30</v>
      </c>
      <c r="AT12" s="2">
        <v>4.4999999999999998E-2</v>
      </c>
      <c r="AU12" s="2" t="s">
        <v>30</v>
      </c>
      <c r="AV12" s="2">
        <v>0</v>
      </c>
      <c r="AW12" s="2">
        <v>2</v>
      </c>
      <c r="AX12" s="2">
        <v>52261763</v>
      </c>
      <c r="AY12" s="2">
        <v>1</v>
      </c>
      <c r="AZ12" s="2">
        <v>0</v>
      </c>
      <c r="BA12" s="2">
        <v>12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CX12" s="2">
        <f>Y12*Source!I29</f>
        <v>-1.1308499999999999</v>
      </c>
      <c r="CY12" s="2">
        <f>AA12</f>
        <v>36.31</v>
      </c>
      <c r="CZ12" s="2">
        <f>AE12</f>
        <v>36.31</v>
      </c>
      <c r="DA12" s="2">
        <f>AI12</f>
        <v>1</v>
      </c>
      <c r="DB12" s="2">
        <f t="shared" si="0"/>
        <v>1.63</v>
      </c>
      <c r="DC12" s="2">
        <f t="shared" si="1"/>
        <v>0</v>
      </c>
    </row>
    <row r="13" spans="1:107" x14ac:dyDescent="0.25">
      <c r="A13" s="2">
        <f>ROW(Source!A29)</f>
        <v>29</v>
      </c>
      <c r="B13" s="2">
        <v>52261502</v>
      </c>
      <c r="C13" s="2">
        <v>52261754</v>
      </c>
      <c r="D13" s="2">
        <v>49682077</v>
      </c>
      <c r="E13" s="2">
        <v>1</v>
      </c>
      <c r="F13" s="2">
        <v>1</v>
      </c>
      <c r="G13" s="2">
        <v>29</v>
      </c>
      <c r="H13" s="2">
        <v>3</v>
      </c>
      <c r="I13" s="2" t="s">
        <v>113</v>
      </c>
      <c r="J13" s="2" t="s">
        <v>368</v>
      </c>
      <c r="K13" s="2" t="s">
        <v>114</v>
      </c>
      <c r="L13" s="2">
        <v>1354</v>
      </c>
      <c r="N13" s="2">
        <v>1010</v>
      </c>
      <c r="O13" s="2" t="s">
        <v>67</v>
      </c>
      <c r="P13" s="2" t="s">
        <v>67</v>
      </c>
      <c r="Q13" s="2">
        <v>1</v>
      </c>
      <c r="W13" s="2">
        <v>0</v>
      </c>
      <c r="X13" s="2">
        <v>2039534259</v>
      </c>
      <c r="Y13" s="2">
        <v>0.41</v>
      </c>
      <c r="AA13" s="2">
        <v>256.22000000000003</v>
      </c>
      <c r="AB13" s="2">
        <v>0</v>
      </c>
      <c r="AC13" s="2">
        <v>0</v>
      </c>
      <c r="AD13" s="2">
        <v>0</v>
      </c>
      <c r="AE13" s="2">
        <v>256.22000000000003</v>
      </c>
      <c r="AF13" s="2">
        <v>0</v>
      </c>
      <c r="AG13" s="2">
        <v>0</v>
      </c>
      <c r="AH13" s="2">
        <v>0</v>
      </c>
      <c r="AI13" s="2">
        <v>1</v>
      </c>
      <c r="AJ13" s="2">
        <v>1</v>
      </c>
      <c r="AK13" s="2">
        <v>1</v>
      </c>
      <c r="AL13" s="2">
        <v>1</v>
      </c>
      <c r="AN13" s="2">
        <v>0</v>
      </c>
      <c r="AO13" s="2">
        <v>1</v>
      </c>
      <c r="AP13" s="2">
        <v>0</v>
      </c>
      <c r="AQ13" s="2">
        <v>0</v>
      </c>
      <c r="AR13" s="2">
        <v>0</v>
      </c>
      <c r="AS13" s="2" t="s">
        <v>30</v>
      </c>
      <c r="AT13" s="2">
        <v>0.41</v>
      </c>
      <c r="AU13" s="2" t="s">
        <v>30</v>
      </c>
      <c r="AV13" s="2">
        <v>0</v>
      </c>
      <c r="AW13" s="2">
        <v>2</v>
      </c>
      <c r="AX13" s="2">
        <v>52261764</v>
      </c>
      <c r="AY13" s="2">
        <v>1</v>
      </c>
      <c r="AZ13" s="2">
        <v>0</v>
      </c>
      <c r="BA13" s="2">
        <v>13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CX13" s="2">
        <f>Y13*Source!I29</f>
        <v>-10.3033</v>
      </c>
      <c r="CY13" s="2">
        <f>AA13</f>
        <v>256.22000000000003</v>
      </c>
      <c r="CZ13" s="2">
        <f>AE13</f>
        <v>256.22000000000003</v>
      </c>
      <c r="DA13" s="2">
        <f>AI13</f>
        <v>1</v>
      </c>
      <c r="DB13" s="2">
        <f t="shared" si="0"/>
        <v>105.05</v>
      </c>
      <c r="DC13" s="2">
        <f t="shared" si="1"/>
        <v>0</v>
      </c>
    </row>
    <row r="14" spans="1:107" x14ac:dyDescent="0.25">
      <c r="A14" s="2">
        <f>ROW(Source!A30)</f>
        <v>30</v>
      </c>
      <c r="B14" s="2">
        <v>52261502</v>
      </c>
      <c r="C14" s="2">
        <v>52261765</v>
      </c>
      <c r="D14" s="2">
        <v>49677488</v>
      </c>
      <c r="E14" s="2">
        <v>29</v>
      </c>
      <c r="F14" s="2">
        <v>1</v>
      </c>
      <c r="G14" s="2">
        <v>29</v>
      </c>
      <c r="H14" s="2">
        <v>1</v>
      </c>
      <c r="I14" s="2" t="s">
        <v>359</v>
      </c>
      <c r="J14" s="2" t="s">
        <v>30</v>
      </c>
      <c r="K14" s="2" t="s">
        <v>360</v>
      </c>
      <c r="L14" s="2">
        <v>1191</v>
      </c>
      <c r="N14" s="2">
        <v>1013</v>
      </c>
      <c r="O14" s="2" t="s">
        <v>361</v>
      </c>
      <c r="P14" s="2" t="s">
        <v>361</v>
      </c>
      <c r="Q14" s="2">
        <v>1</v>
      </c>
      <c r="W14" s="2">
        <v>0</v>
      </c>
      <c r="X14" s="2">
        <v>476480486</v>
      </c>
      <c r="Y14" s="2">
        <v>87.29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1</v>
      </c>
      <c r="AJ14" s="2">
        <v>1</v>
      </c>
      <c r="AK14" s="2">
        <v>1</v>
      </c>
      <c r="AL14" s="2">
        <v>1</v>
      </c>
      <c r="AN14" s="2">
        <v>0</v>
      </c>
      <c r="AO14" s="2">
        <v>1</v>
      </c>
      <c r="AP14" s="2">
        <v>0</v>
      </c>
      <c r="AQ14" s="2">
        <v>0</v>
      </c>
      <c r="AR14" s="2">
        <v>0</v>
      </c>
      <c r="AS14" s="2" t="s">
        <v>30</v>
      </c>
      <c r="AT14" s="2">
        <v>87.29</v>
      </c>
      <c r="AU14" s="2" t="s">
        <v>30</v>
      </c>
      <c r="AV14" s="2">
        <v>1</v>
      </c>
      <c r="AW14" s="2">
        <v>2</v>
      </c>
      <c r="AX14" s="2">
        <v>52261776</v>
      </c>
      <c r="AY14" s="2">
        <v>1</v>
      </c>
      <c r="AZ14" s="2">
        <v>0</v>
      </c>
      <c r="BA14" s="2">
        <v>14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CX14" s="2">
        <f>Y14*Source!I30</f>
        <v>65.807930999999996</v>
      </c>
      <c r="CY14" s="2">
        <f>AD14</f>
        <v>0</v>
      </c>
      <c r="CZ14" s="2">
        <f>AH14</f>
        <v>0</v>
      </c>
      <c r="DA14" s="2">
        <f>AL14</f>
        <v>1</v>
      </c>
      <c r="DB14" s="2">
        <f t="shared" si="0"/>
        <v>0</v>
      </c>
      <c r="DC14" s="2">
        <f t="shared" si="1"/>
        <v>0</v>
      </c>
    </row>
    <row r="15" spans="1:107" x14ac:dyDescent="0.25">
      <c r="A15" s="2">
        <f>ROW(Source!A30)</f>
        <v>30</v>
      </c>
      <c r="B15" s="2">
        <v>52261502</v>
      </c>
      <c r="C15" s="2">
        <v>52261765</v>
      </c>
      <c r="D15" s="2">
        <v>49678449</v>
      </c>
      <c r="E15" s="2">
        <v>1</v>
      </c>
      <c r="F15" s="2">
        <v>1</v>
      </c>
      <c r="G15" s="2">
        <v>29</v>
      </c>
      <c r="H15" s="2">
        <v>2</v>
      </c>
      <c r="I15" s="2" t="s">
        <v>89</v>
      </c>
      <c r="J15" s="2" t="s">
        <v>369</v>
      </c>
      <c r="K15" s="2" t="s">
        <v>90</v>
      </c>
      <c r="L15" s="2">
        <v>1368</v>
      </c>
      <c r="N15" s="2">
        <v>1011</v>
      </c>
      <c r="O15" s="2" t="s">
        <v>82</v>
      </c>
      <c r="P15" s="2" t="s">
        <v>82</v>
      </c>
      <c r="Q15" s="2">
        <v>1</v>
      </c>
      <c r="W15" s="2">
        <v>0</v>
      </c>
      <c r="X15" s="2">
        <v>-1395457639</v>
      </c>
      <c r="Y15" s="2">
        <v>1.59</v>
      </c>
      <c r="AA15" s="2">
        <v>0</v>
      </c>
      <c r="AB15" s="2">
        <v>780.77</v>
      </c>
      <c r="AC15" s="2">
        <v>433.88</v>
      </c>
      <c r="AD15" s="2">
        <v>0</v>
      </c>
      <c r="AE15" s="2">
        <v>0</v>
      </c>
      <c r="AF15" s="2">
        <v>780.77</v>
      </c>
      <c r="AG15" s="2">
        <v>433.88</v>
      </c>
      <c r="AH15" s="2">
        <v>0</v>
      </c>
      <c r="AI15" s="2">
        <v>1</v>
      </c>
      <c r="AJ15" s="2">
        <v>1</v>
      </c>
      <c r="AK15" s="2">
        <v>1</v>
      </c>
      <c r="AL15" s="2">
        <v>1</v>
      </c>
      <c r="AN15" s="2">
        <v>0</v>
      </c>
      <c r="AO15" s="2">
        <v>1</v>
      </c>
      <c r="AP15" s="2">
        <v>0</v>
      </c>
      <c r="AQ15" s="2">
        <v>0</v>
      </c>
      <c r="AR15" s="2">
        <v>0</v>
      </c>
      <c r="AS15" s="2" t="s">
        <v>30</v>
      </c>
      <c r="AT15" s="2">
        <v>1.59</v>
      </c>
      <c r="AU15" s="2" t="s">
        <v>30</v>
      </c>
      <c r="AV15" s="2">
        <v>0</v>
      </c>
      <c r="AW15" s="2">
        <v>2</v>
      </c>
      <c r="AX15" s="2">
        <v>52261777</v>
      </c>
      <c r="AY15" s="2">
        <v>1</v>
      </c>
      <c r="AZ15" s="2">
        <v>0</v>
      </c>
      <c r="BA15" s="2">
        <v>15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CX15" s="2">
        <f>Y15*Source!I30</f>
        <v>1.198701</v>
      </c>
      <c r="CY15" s="2">
        <f>AB15</f>
        <v>780.77</v>
      </c>
      <c r="CZ15" s="2">
        <f>AF15</f>
        <v>780.77</v>
      </c>
      <c r="DA15" s="2">
        <f>AJ15</f>
        <v>1</v>
      </c>
      <c r="DB15" s="2">
        <f t="shared" si="0"/>
        <v>1241.42</v>
      </c>
      <c r="DC15" s="2">
        <f t="shared" si="1"/>
        <v>689.87</v>
      </c>
    </row>
    <row r="16" spans="1:107" x14ac:dyDescent="0.25">
      <c r="A16" s="2">
        <f>ROW(Source!A30)</f>
        <v>30</v>
      </c>
      <c r="B16" s="2">
        <v>52261502</v>
      </c>
      <c r="C16" s="2">
        <v>52261765</v>
      </c>
      <c r="D16" s="2">
        <v>49678608</v>
      </c>
      <c r="E16" s="2">
        <v>1</v>
      </c>
      <c r="F16" s="2">
        <v>1</v>
      </c>
      <c r="G16" s="2">
        <v>29</v>
      </c>
      <c r="H16" s="2">
        <v>2</v>
      </c>
      <c r="I16" s="2" t="s">
        <v>95</v>
      </c>
      <c r="J16" s="2" t="s">
        <v>370</v>
      </c>
      <c r="K16" s="2" t="s">
        <v>96</v>
      </c>
      <c r="L16" s="2">
        <v>1368</v>
      </c>
      <c r="N16" s="2">
        <v>1011</v>
      </c>
      <c r="O16" s="2" t="s">
        <v>82</v>
      </c>
      <c r="P16" s="2" t="s">
        <v>82</v>
      </c>
      <c r="Q16" s="2">
        <v>1</v>
      </c>
      <c r="W16" s="2">
        <v>0</v>
      </c>
      <c r="X16" s="2">
        <v>1295106229</v>
      </c>
      <c r="Y16" s="2">
        <v>5.15</v>
      </c>
      <c r="AA16" s="2">
        <v>0</v>
      </c>
      <c r="AB16" s="2">
        <v>1331.87</v>
      </c>
      <c r="AC16" s="2">
        <v>518.54999999999995</v>
      </c>
      <c r="AD16" s="2">
        <v>0</v>
      </c>
      <c r="AE16" s="2">
        <v>0</v>
      </c>
      <c r="AF16" s="2">
        <v>1331.87</v>
      </c>
      <c r="AG16" s="2">
        <v>518.54999999999995</v>
      </c>
      <c r="AH16" s="2">
        <v>0</v>
      </c>
      <c r="AI16" s="2">
        <v>1</v>
      </c>
      <c r="AJ16" s="2">
        <v>1</v>
      </c>
      <c r="AK16" s="2">
        <v>1</v>
      </c>
      <c r="AL16" s="2">
        <v>1</v>
      </c>
      <c r="AN16" s="2">
        <v>0</v>
      </c>
      <c r="AO16" s="2">
        <v>1</v>
      </c>
      <c r="AP16" s="2">
        <v>0</v>
      </c>
      <c r="AQ16" s="2">
        <v>0</v>
      </c>
      <c r="AR16" s="2">
        <v>0</v>
      </c>
      <c r="AS16" s="2" t="s">
        <v>30</v>
      </c>
      <c r="AT16" s="2">
        <v>5.15</v>
      </c>
      <c r="AU16" s="2" t="s">
        <v>30</v>
      </c>
      <c r="AV16" s="2">
        <v>0</v>
      </c>
      <c r="AW16" s="2">
        <v>2</v>
      </c>
      <c r="AX16" s="2">
        <v>52261778</v>
      </c>
      <c r="AY16" s="2">
        <v>1</v>
      </c>
      <c r="AZ16" s="2">
        <v>0</v>
      </c>
      <c r="BA16" s="2">
        <v>16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CX16" s="2">
        <f>Y16*Source!I30</f>
        <v>3.8825850000000002</v>
      </c>
      <c r="CY16" s="2">
        <f>AB16</f>
        <v>1331.87</v>
      </c>
      <c r="CZ16" s="2">
        <f>AF16</f>
        <v>1331.87</v>
      </c>
      <c r="DA16" s="2">
        <f>AJ16</f>
        <v>1</v>
      </c>
      <c r="DB16" s="2">
        <f t="shared" si="0"/>
        <v>6859.13</v>
      </c>
      <c r="DC16" s="2">
        <f t="shared" si="1"/>
        <v>2670.53</v>
      </c>
    </row>
    <row r="17" spans="1:107" x14ac:dyDescent="0.25">
      <c r="A17" s="2">
        <f>ROW(Source!A30)</f>
        <v>30</v>
      </c>
      <c r="B17" s="2">
        <v>52261502</v>
      </c>
      <c r="C17" s="2">
        <v>52261765</v>
      </c>
      <c r="D17" s="2">
        <v>49678594</v>
      </c>
      <c r="E17" s="2">
        <v>1</v>
      </c>
      <c r="F17" s="2">
        <v>1</v>
      </c>
      <c r="G17" s="2">
        <v>29</v>
      </c>
      <c r="H17" s="2">
        <v>2</v>
      </c>
      <c r="I17" s="2" t="s">
        <v>97</v>
      </c>
      <c r="J17" s="2" t="s">
        <v>371</v>
      </c>
      <c r="K17" s="2" t="s">
        <v>98</v>
      </c>
      <c r="L17" s="2">
        <v>1368</v>
      </c>
      <c r="N17" s="2">
        <v>1011</v>
      </c>
      <c r="O17" s="2" t="s">
        <v>82</v>
      </c>
      <c r="P17" s="2" t="s">
        <v>82</v>
      </c>
      <c r="Q17" s="2">
        <v>1</v>
      </c>
      <c r="W17" s="2">
        <v>0</v>
      </c>
      <c r="X17" s="2">
        <v>-180193475</v>
      </c>
      <c r="Y17" s="2">
        <v>11.26</v>
      </c>
      <c r="AA17" s="2">
        <v>0</v>
      </c>
      <c r="AB17" s="2">
        <v>1364.68</v>
      </c>
      <c r="AC17" s="2">
        <v>556.52</v>
      </c>
      <c r="AD17" s="2">
        <v>0</v>
      </c>
      <c r="AE17" s="2">
        <v>0</v>
      </c>
      <c r="AF17" s="2">
        <v>1364.68</v>
      </c>
      <c r="AG17" s="2">
        <v>556.52</v>
      </c>
      <c r="AH17" s="2">
        <v>0</v>
      </c>
      <c r="AI17" s="2">
        <v>1</v>
      </c>
      <c r="AJ17" s="2">
        <v>1</v>
      </c>
      <c r="AK17" s="2">
        <v>1</v>
      </c>
      <c r="AL17" s="2">
        <v>1</v>
      </c>
      <c r="AN17" s="2">
        <v>0</v>
      </c>
      <c r="AO17" s="2">
        <v>1</v>
      </c>
      <c r="AP17" s="2">
        <v>0</v>
      </c>
      <c r="AQ17" s="2">
        <v>0</v>
      </c>
      <c r="AR17" s="2">
        <v>0</v>
      </c>
      <c r="AS17" s="2" t="s">
        <v>30</v>
      </c>
      <c r="AT17" s="2">
        <v>11.26</v>
      </c>
      <c r="AU17" s="2" t="s">
        <v>30</v>
      </c>
      <c r="AV17" s="2">
        <v>0</v>
      </c>
      <c r="AW17" s="2">
        <v>2</v>
      </c>
      <c r="AX17" s="2">
        <v>52261779</v>
      </c>
      <c r="AY17" s="2">
        <v>1</v>
      </c>
      <c r="AZ17" s="2">
        <v>0</v>
      </c>
      <c r="BA17" s="2">
        <v>17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CX17" s="2">
        <f>Y17*Source!I30</f>
        <v>8.4889139999999994</v>
      </c>
      <c r="CY17" s="2">
        <f>AB17</f>
        <v>1364.68</v>
      </c>
      <c r="CZ17" s="2">
        <f>AF17</f>
        <v>1364.68</v>
      </c>
      <c r="DA17" s="2">
        <f>AJ17</f>
        <v>1</v>
      </c>
      <c r="DB17" s="2">
        <f t="shared" si="0"/>
        <v>15366.3</v>
      </c>
      <c r="DC17" s="2">
        <f t="shared" si="1"/>
        <v>6266.42</v>
      </c>
    </row>
    <row r="18" spans="1:107" x14ac:dyDescent="0.25">
      <c r="A18" s="2">
        <f>ROW(Source!A30)</f>
        <v>30</v>
      </c>
      <c r="B18" s="2">
        <v>52261502</v>
      </c>
      <c r="C18" s="2">
        <v>52261765</v>
      </c>
      <c r="D18" s="2">
        <v>49678595</v>
      </c>
      <c r="E18" s="2">
        <v>1</v>
      </c>
      <c r="F18" s="2">
        <v>1</v>
      </c>
      <c r="G18" s="2">
        <v>29</v>
      </c>
      <c r="H18" s="2">
        <v>2</v>
      </c>
      <c r="I18" s="2" t="s">
        <v>99</v>
      </c>
      <c r="J18" s="2" t="s">
        <v>372</v>
      </c>
      <c r="K18" s="2" t="s">
        <v>100</v>
      </c>
      <c r="L18" s="2">
        <v>1368</v>
      </c>
      <c r="N18" s="2">
        <v>1011</v>
      </c>
      <c r="O18" s="2" t="s">
        <v>82</v>
      </c>
      <c r="P18" s="2" t="s">
        <v>82</v>
      </c>
      <c r="Q18" s="2">
        <v>1</v>
      </c>
      <c r="W18" s="2">
        <v>0</v>
      </c>
      <c r="X18" s="2">
        <v>802121905</v>
      </c>
      <c r="Y18" s="2">
        <v>32.19</v>
      </c>
      <c r="AA18" s="2">
        <v>0</v>
      </c>
      <c r="AB18" s="2">
        <v>1888.15</v>
      </c>
      <c r="AC18" s="2">
        <v>756.58</v>
      </c>
      <c r="AD18" s="2">
        <v>0</v>
      </c>
      <c r="AE18" s="2">
        <v>0</v>
      </c>
      <c r="AF18" s="2">
        <v>1888.15</v>
      </c>
      <c r="AG18" s="2">
        <v>756.58</v>
      </c>
      <c r="AH18" s="2">
        <v>0</v>
      </c>
      <c r="AI18" s="2">
        <v>1</v>
      </c>
      <c r="AJ18" s="2">
        <v>1</v>
      </c>
      <c r="AK18" s="2">
        <v>1</v>
      </c>
      <c r="AL18" s="2">
        <v>1</v>
      </c>
      <c r="AN18" s="2">
        <v>0</v>
      </c>
      <c r="AO18" s="2">
        <v>1</v>
      </c>
      <c r="AP18" s="2">
        <v>0</v>
      </c>
      <c r="AQ18" s="2">
        <v>0</v>
      </c>
      <c r="AR18" s="2">
        <v>0</v>
      </c>
      <c r="AS18" s="2" t="s">
        <v>30</v>
      </c>
      <c r="AT18" s="2">
        <v>32.19</v>
      </c>
      <c r="AU18" s="2" t="s">
        <v>30</v>
      </c>
      <c r="AV18" s="2">
        <v>0</v>
      </c>
      <c r="AW18" s="2">
        <v>2</v>
      </c>
      <c r="AX18" s="2">
        <v>52261780</v>
      </c>
      <c r="AY18" s="2">
        <v>1</v>
      </c>
      <c r="AZ18" s="2">
        <v>0</v>
      </c>
      <c r="BA18" s="2">
        <v>18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CX18" s="2">
        <f>Y18*Source!I30</f>
        <v>24.268041</v>
      </c>
      <c r="CY18" s="2">
        <f>AB18</f>
        <v>1888.15</v>
      </c>
      <c r="CZ18" s="2">
        <f>AF18</f>
        <v>1888.15</v>
      </c>
      <c r="DA18" s="2">
        <f>AJ18</f>
        <v>1</v>
      </c>
      <c r="DB18" s="2">
        <f t="shared" si="0"/>
        <v>60779.55</v>
      </c>
      <c r="DC18" s="2">
        <f t="shared" si="1"/>
        <v>24354.31</v>
      </c>
    </row>
    <row r="19" spans="1:107" x14ac:dyDescent="0.25">
      <c r="A19" s="2">
        <f>ROW(Source!A30)</f>
        <v>30</v>
      </c>
      <c r="B19" s="2">
        <v>52261502</v>
      </c>
      <c r="C19" s="2">
        <v>52261765</v>
      </c>
      <c r="D19" s="2">
        <v>49678632</v>
      </c>
      <c r="E19" s="2">
        <v>1</v>
      </c>
      <c r="F19" s="2">
        <v>1</v>
      </c>
      <c r="G19" s="2">
        <v>29</v>
      </c>
      <c r="H19" s="2">
        <v>2</v>
      </c>
      <c r="I19" s="2" t="s">
        <v>101</v>
      </c>
      <c r="J19" s="2" t="s">
        <v>373</v>
      </c>
      <c r="K19" s="2" t="s">
        <v>102</v>
      </c>
      <c r="L19" s="2">
        <v>1368</v>
      </c>
      <c r="N19" s="2">
        <v>1011</v>
      </c>
      <c r="O19" s="2" t="s">
        <v>82</v>
      </c>
      <c r="P19" s="2" t="s">
        <v>82</v>
      </c>
      <c r="Q19" s="2">
        <v>1</v>
      </c>
      <c r="W19" s="2">
        <v>0</v>
      </c>
      <c r="X19" s="2">
        <v>2089049132</v>
      </c>
      <c r="Y19" s="2">
        <v>5.81</v>
      </c>
      <c r="AA19" s="2">
        <v>0</v>
      </c>
      <c r="AB19" s="2">
        <v>1586.43</v>
      </c>
      <c r="AC19" s="2">
        <v>752.49</v>
      </c>
      <c r="AD19" s="2">
        <v>0</v>
      </c>
      <c r="AE19" s="2">
        <v>0</v>
      </c>
      <c r="AF19" s="2">
        <v>1586.43</v>
      </c>
      <c r="AG19" s="2">
        <v>752.49</v>
      </c>
      <c r="AH19" s="2">
        <v>0</v>
      </c>
      <c r="AI19" s="2">
        <v>1</v>
      </c>
      <c r="AJ19" s="2">
        <v>1</v>
      </c>
      <c r="AK19" s="2">
        <v>1</v>
      </c>
      <c r="AL19" s="2">
        <v>1</v>
      </c>
      <c r="AN19" s="2">
        <v>0</v>
      </c>
      <c r="AO19" s="2">
        <v>1</v>
      </c>
      <c r="AP19" s="2">
        <v>0</v>
      </c>
      <c r="AQ19" s="2">
        <v>0</v>
      </c>
      <c r="AR19" s="2">
        <v>0</v>
      </c>
      <c r="AS19" s="2" t="s">
        <v>30</v>
      </c>
      <c r="AT19" s="2">
        <v>5.81</v>
      </c>
      <c r="AU19" s="2" t="s">
        <v>30</v>
      </c>
      <c r="AV19" s="2">
        <v>0</v>
      </c>
      <c r="AW19" s="2">
        <v>2</v>
      </c>
      <c r="AX19" s="2">
        <v>52261781</v>
      </c>
      <c r="AY19" s="2">
        <v>1</v>
      </c>
      <c r="AZ19" s="2">
        <v>0</v>
      </c>
      <c r="BA19" s="2">
        <v>19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CX19" s="2">
        <f>Y19*Source!I30</f>
        <v>4.3801589999999999</v>
      </c>
      <c r="CY19" s="2">
        <f>AB19</f>
        <v>1586.43</v>
      </c>
      <c r="CZ19" s="2">
        <f>AF19</f>
        <v>1586.43</v>
      </c>
      <c r="DA19" s="2">
        <f>AJ19</f>
        <v>1</v>
      </c>
      <c r="DB19" s="2">
        <f t="shared" si="0"/>
        <v>9217.16</v>
      </c>
      <c r="DC19" s="2">
        <f t="shared" si="1"/>
        <v>4371.97</v>
      </c>
    </row>
    <row r="20" spans="1:107" x14ac:dyDescent="0.25">
      <c r="A20" s="2">
        <f>ROW(Source!A30)</f>
        <v>30</v>
      </c>
      <c r="B20" s="2">
        <v>52261502</v>
      </c>
      <c r="C20" s="2">
        <v>52261765</v>
      </c>
      <c r="D20" s="2">
        <v>49680614</v>
      </c>
      <c r="E20" s="2">
        <v>1</v>
      </c>
      <c r="F20" s="2">
        <v>1</v>
      </c>
      <c r="G20" s="2">
        <v>29</v>
      </c>
      <c r="H20" s="2">
        <v>3</v>
      </c>
      <c r="I20" s="2" t="s">
        <v>107</v>
      </c>
      <c r="J20" s="2" t="s">
        <v>197</v>
      </c>
      <c r="K20" s="2" t="s">
        <v>108</v>
      </c>
      <c r="L20" s="2">
        <v>1339</v>
      </c>
      <c r="N20" s="2">
        <v>1007</v>
      </c>
      <c r="O20" s="2" t="s">
        <v>62</v>
      </c>
      <c r="P20" s="2" t="s">
        <v>62</v>
      </c>
      <c r="Q20" s="2">
        <v>1</v>
      </c>
      <c r="W20" s="2">
        <v>0</v>
      </c>
      <c r="X20" s="2">
        <v>-579596608</v>
      </c>
      <c r="Y20" s="2">
        <v>55</v>
      </c>
      <c r="AA20" s="2">
        <v>1232.5</v>
      </c>
      <c r="AB20" s="2">
        <v>0</v>
      </c>
      <c r="AC20" s="2">
        <v>0</v>
      </c>
      <c r="AD20" s="2">
        <v>0</v>
      </c>
      <c r="AE20" s="2">
        <v>1232.5</v>
      </c>
      <c r="AF20" s="2">
        <v>0</v>
      </c>
      <c r="AG20" s="2">
        <v>0</v>
      </c>
      <c r="AH20" s="2">
        <v>0</v>
      </c>
      <c r="AI20" s="2">
        <v>1</v>
      </c>
      <c r="AJ20" s="2">
        <v>1</v>
      </c>
      <c r="AK20" s="2">
        <v>1</v>
      </c>
      <c r="AL20" s="2">
        <v>1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 t="s">
        <v>30</v>
      </c>
      <c r="AT20" s="2">
        <v>55</v>
      </c>
      <c r="AU20" s="2" t="s">
        <v>30</v>
      </c>
      <c r="AV20" s="2">
        <v>0</v>
      </c>
      <c r="AW20" s="2">
        <v>1</v>
      </c>
      <c r="AX20" s="2">
        <v>-1</v>
      </c>
      <c r="AY20" s="2">
        <v>0</v>
      </c>
      <c r="AZ20" s="2">
        <v>0</v>
      </c>
      <c r="BA20" s="2" t="s">
        <v>30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CX20" s="2">
        <f>Y20*Source!I30</f>
        <v>41.464500000000001</v>
      </c>
      <c r="CY20" s="2">
        <f>AA20</f>
        <v>1232.5</v>
      </c>
      <c r="CZ20" s="2">
        <f>AE20</f>
        <v>1232.5</v>
      </c>
      <c r="DA20" s="2">
        <f>AI20</f>
        <v>1</v>
      </c>
      <c r="DB20" s="2">
        <f t="shared" si="0"/>
        <v>67787.5</v>
      </c>
      <c r="DC20" s="2">
        <f t="shared" si="1"/>
        <v>0</v>
      </c>
    </row>
    <row r="21" spans="1:107" x14ac:dyDescent="0.25">
      <c r="A21" s="2">
        <f>ROW(Source!A30)</f>
        <v>30</v>
      </c>
      <c r="B21" s="2">
        <v>52261502</v>
      </c>
      <c r="C21" s="2">
        <v>52261765</v>
      </c>
      <c r="D21" s="2">
        <v>49680618</v>
      </c>
      <c r="E21" s="2">
        <v>1</v>
      </c>
      <c r="F21" s="2">
        <v>1</v>
      </c>
      <c r="G21" s="2">
        <v>29</v>
      </c>
      <c r="H21" s="2">
        <v>3</v>
      </c>
      <c r="I21" s="2" t="s">
        <v>191</v>
      </c>
      <c r="J21" s="2" t="s">
        <v>193</v>
      </c>
      <c r="K21" s="2" t="s">
        <v>192</v>
      </c>
      <c r="L21" s="2">
        <v>1339</v>
      </c>
      <c r="N21" s="2">
        <v>1007</v>
      </c>
      <c r="O21" s="2" t="s">
        <v>62</v>
      </c>
      <c r="P21" s="2" t="s">
        <v>62</v>
      </c>
      <c r="Q21" s="2">
        <v>1</v>
      </c>
      <c r="W21" s="2">
        <v>1</v>
      </c>
      <c r="X21" s="2">
        <v>-235652667</v>
      </c>
      <c r="Y21" s="2">
        <v>-11.5</v>
      </c>
      <c r="AA21" s="2">
        <v>1610.75</v>
      </c>
      <c r="AB21" s="2">
        <v>0</v>
      </c>
      <c r="AC21" s="2">
        <v>0</v>
      </c>
      <c r="AD21" s="2">
        <v>0</v>
      </c>
      <c r="AE21" s="2">
        <v>1610.75</v>
      </c>
      <c r="AF21" s="2">
        <v>0</v>
      </c>
      <c r="AG21" s="2">
        <v>0</v>
      </c>
      <c r="AH21" s="2">
        <v>0</v>
      </c>
      <c r="AI21" s="2">
        <v>1</v>
      </c>
      <c r="AJ21" s="2">
        <v>1</v>
      </c>
      <c r="AK21" s="2">
        <v>1</v>
      </c>
      <c r="AL21" s="2">
        <v>1</v>
      </c>
      <c r="AN21" s="2">
        <v>0</v>
      </c>
      <c r="AO21" s="2">
        <v>1</v>
      </c>
      <c r="AP21" s="2">
        <v>0</v>
      </c>
      <c r="AQ21" s="2">
        <v>0</v>
      </c>
      <c r="AR21" s="2">
        <v>0</v>
      </c>
      <c r="AS21" s="2" t="s">
        <v>30</v>
      </c>
      <c r="AT21" s="2">
        <v>-11.5</v>
      </c>
      <c r="AU21" s="2" t="s">
        <v>30</v>
      </c>
      <c r="AV21" s="2">
        <v>0</v>
      </c>
      <c r="AW21" s="2">
        <v>2</v>
      </c>
      <c r="AX21" s="2">
        <v>52261782</v>
      </c>
      <c r="AY21" s="2">
        <v>1</v>
      </c>
      <c r="AZ21" s="2">
        <v>6144</v>
      </c>
      <c r="BA21" s="2">
        <v>20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CX21" s="2">
        <f>Y21*Source!I30</f>
        <v>-8.6698500000000003</v>
      </c>
      <c r="CY21" s="2">
        <f>AA21</f>
        <v>1610.75</v>
      </c>
      <c r="CZ21" s="2">
        <f>AE21</f>
        <v>1610.75</v>
      </c>
      <c r="DA21" s="2">
        <f>AI21</f>
        <v>1</v>
      </c>
      <c r="DB21" s="2">
        <f t="shared" si="0"/>
        <v>-18523.63</v>
      </c>
      <c r="DC21" s="2">
        <f t="shared" si="1"/>
        <v>0</v>
      </c>
    </row>
    <row r="22" spans="1:107" x14ac:dyDescent="0.25">
      <c r="A22" s="2">
        <f>ROW(Source!A30)</f>
        <v>30</v>
      </c>
      <c r="B22" s="2">
        <v>52261502</v>
      </c>
      <c r="C22" s="2">
        <v>52261765</v>
      </c>
      <c r="D22" s="2">
        <v>49680619</v>
      </c>
      <c r="E22" s="2">
        <v>1</v>
      </c>
      <c r="F22" s="2">
        <v>1</v>
      </c>
      <c r="G22" s="2">
        <v>29</v>
      </c>
      <c r="H22" s="2">
        <v>3</v>
      </c>
      <c r="I22" s="2" t="s">
        <v>194</v>
      </c>
      <c r="J22" s="2" t="s">
        <v>196</v>
      </c>
      <c r="K22" s="2" t="s">
        <v>195</v>
      </c>
      <c r="L22" s="2">
        <v>1339</v>
      </c>
      <c r="N22" s="2">
        <v>1007</v>
      </c>
      <c r="O22" s="2" t="s">
        <v>62</v>
      </c>
      <c r="P22" s="2" t="s">
        <v>62</v>
      </c>
      <c r="Q22" s="2">
        <v>1</v>
      </c>
      <c r="W22" s="2">
        <v>1</v>
      </c>
      <c r="X22" s="2">
        <v>-1914292201</v>
      </c>
      <c r="Y22" s="2">
        <v>-55</v>
      </c>
      <c r="AA22" s="2">
        <v>1542.75</v>
      </c>
      <c r="AB22" s="2">
        <v>0</v>
      </c>
      <c r="AC22" s="2">
        <v>0</v>
      </c>
      <c r="AD22" s="2">
        <v>0</v>
      </c>
      <c r="AE22" s="2">
        <v>1542.75</v>
      </c>
      <c r="AF22" s="2">
        <v>0</v>
      </c>
      <c r="AG22" s="2">
        <v>0</v>
      </c>
      <c r="AH22" s="2">
        <v>0</v>
      </c>
      <c r="AI22" s="2">
        <v>1</v>
      </c>
      <c r="AJ22" s="2">
        <v>1</v>
      </c>
      <c r="AK22" s="2">
        <v>1</v>
      </c>
      <c r="AL22" s="2">
        <v>1</v>
      </c>
      <c r="AN22" s="2">
        <v>0</v>
      </c>
      <c r="AO22" s="2">
        <v>1</v>
      </c>
      <c r="AP22" s="2">
        <v>0</v>
      </c>
      <c r="AQ22" s="2">
        <v>0</v>
      </c>
      <c r="AR22" s="2">
        <v>0</v>
      </c>
      <c r="AS22" s="2" t="s">
        <v>30</v>
      </c>
      <c r="AT22" s="2">
        <v>-55</v>
      </c>
      <c r="AU22" s="2" t="s">
        <v>30</v>
      </c>
      <c r="AV22" s="2">
        <v>0</v>
      </c>
      <c r="AW22" s="2">
        <v>2</v>
      </c>
      <c r="AX22" s="2">
        <v>52261783</v>
      </c>
      <c r="AY22" s="2">
        <v>1</v>
      </c>
      <c r="AZ22" s="2">
        <v>6144</v>
      </c>
      <c r="BA22" s="2">
        <v>21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CX22" s="2">
        <f>Y22*Source!I30</f>
        <v>-41.464500000000001</v>
      </c>
      <c r="CY22" s="2">
        <f>AA22</f>
        <v>1542.75</v>
      </c>
      <c r="CZ22" s="2">
        <f>AE22</f>
        <v>1542.75</v>
      </c>
      <c r="DA22" s="2">
        <f>AI22</f>
        <v>1</v>
      </c>
      <c r="DB22" s="2">
        <f t="shared" si="0"/>
        <v>-84851.25</v>
      </c>
      <c r="DC22" s="2">
        <f t="shared" si="1"/>
        <v>0</v>
      </c>
    </row>
    <row r="23" spans="1:107" x14ac:dyDescent="0.25">
      <c r="A23" s="2">
        <f>ROW(Source!A30)</f>
        <v>30</v>
      </c>
      <c r="B23" s="2">
        <v>52261502</v>
      </c>
      <c r="C23" s="2">
        <v>52261765</v>
      </c>
      <c r="D23" s="2">
        <v>49681352</v>
      </c>
      <c r="E23" s="2">
        <v>1</v>
      </c>
      <c r="F23" s="2">
        <v>1</v>
      </c>
      <c r="G23" s="2">
        <v>29</v>
      </c>
      <c r="H23" s="2">
        <v>3</v>
      </c>
      <c r="I23" s="2" t="s">
        <v>111</v>
      </c>
      <c r="J23" s="2" t="s">
        <v>367</v>
      </c>
      <c r="K23" s="2" t="s">
        <v>112</v>
      </c>
      <c r="L23" s="2">
        <v>1339</v>
      </c>
      <c r="N23" s="2">
        <v>1007</v>
      </c>
      <c r="O23" s="2" t="s">
        <v>62</v>
      </c>
      <c r="P23" s="2" t="s">
        <v>62</v>
      </c>
      <c r="Q23" s="2">
        <v>1</v>
      </c>
      <c r="W23" s="2">
        <v>0</v>
      </c>
      <c r="X23" s="2">
        <v>1995837903</v>
      </c>
      <c r="Y23" s="2">
        <v>25</v>
      </c>
      <c r="AA23" s="2">
        <v>36.31</v>
      </c>
      <c r="AB23" s="2">
        <v>0</v>
      </c>
      <c r="AC23" s="2">
        <v>0</v>
      </c>
      <c r="AD23" s="2">
        <v>0</v>
      </c>
      <c r="AE23" s="2">
        <v>36.31</v>
      </c>
      <c r="AF23" s="2">
        <v>0</v>
      </c>
      <c r="AG23" s="2">
        <v>0</v>
      </c>
      <c r="AH23" s="2">
        <v>0</v>
      </c>
      <c r="AI23" s="2">
        <v>1</v>
      </c>
      <c r="AJ23" s="2">
        <v>1</v>
      </c>
      <c r="AK23" s="2">
        <v>1</v>
      </c>
      <c r="AL23" s="2">
        <v>1</v>
      </c>
      <c r="AN23" s="2">
        <v>0</v>
      </c>
      <c r="AO23" s="2">
        <v>1</v>
      </c>
      <c r="AP23" s="2">
        <v>0</v>
      </c>
      <c r="AQ23" s="2">
        <v>0</v>
      </c>
      <c r="AR23" s="2">
        <v>0</v>
      </c>
      <c r="AS23" s="2" t="s">
        <v>30</v>
      </c>
      <c r="AT23" s="2">
        <v>25</v>
      </c>
      <c r="AU23" s="2" t="s">
        <v>30</v>
      </c>
      <c r="AV23" s="2">
        <v>0</v>
      </c>
      <c r="AW23" s="2">
        <v>2</v>
      </c>
      <c r="AX23" s="2">
        <v>52261784</v>
      </c>
      <c r="AY23" s="2">
        <v>1</v>
      </c>
      <c r="AZ23" s="2">
        <v>0</v>
      </c>
      <c r="BA23" s="2">
        <v>22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CX23" s="2">
        <f>Y23*Source!I30</f>
        <v>18.8475</v>
      </c>
      <c r="CY23" s="2">
        <f>AA23</f>
        <v>36.31</v>
      </c>
      <c r="CZ23" s="2">
        <f>AE23</f>
        <v>36.31</v>
      </c>
      <c r="DA23" s="2">
        <f>AI23</f>
        <v>1</v>
      </c>
      <c r="DB23" s="2">
        <f t="shared" si="0"/>
        <v>907.75</v>
      </c>
      <c r="DC23" s="2">
        <f t="shared" si="1"/>
        <v>0</v>
      </c>
    </row>
    <row r="24" spans="1:107" x14ac:dyDescent="0.25">
      <c r="A24" s="2">
        <f>ROW(Source!A34)</f>
        <v>34</v>
      </c>
      <c r="B24" s="2">
        <v>52261502</v>
      </c>
      <c r="C24" s="2">
        <v>52261788</v>
      </c>
      <c r="D24" s="2">
        <v>49679217</v>
      </c>
      <c r="E24" s="2">
        <v>1</v>
      </c>
      <c r="F24" s="2">
        <v>1</v>
      </c>
      <c r="G24" s="2">
        <v>29</v>
      </c>
      <c r="H24" s="2">
        <v>2</v>
      </c>
      <c r="I24" s="2" t="s">
        <v>85</v>
      </c>
      <c r="J24" s="2" t="s">
        <v>374</v>
      </c>
      <c r="K24" s="2" t="s">
        <v>86</v>
      </c>
      <c r="L24" s="2">
        <v>1368</v>
      </c>
      <c r="N24" s="2">
        <v>1011</v>
      </c>
      <c r="O24" s="2" t="s">
        <v>82</v>
      </c>
      <c r="P24" s="2" t="s">
        <v>82</v>
      </c>
      <c r="Q24" s="2">
        <v>1</v>
      </c>
      <c r="W24" s="2">
        <v>0</v>
      </c>
      <c r="X24" s="2">
        <v>2102615478</v>
      </c>
      <c r="Y24" s="2">
        <v>0.02</v>
      </c>
      <c r="AA24" s="2">
        <v>0</v>
      </c>
      <c r="AB24" s="2">
        <v>1070.1199999999999</v>
      </c>
      <c r="AC24" s="2">
        <v>332.66</v>
      </c>
      <c r="AD24" s="2">
        <v>0</v>
      </c>
      <c r="AE24" s="2">
        <v>0</v>
      </c>
      <c r="AF24" s="2">
        <v>1070.1199999999999</v>
      </c>
      <c r="AG24" s="2">
        <v>332.66</v>
      </c>
      <c r="AH24" s="2">
        <v>0</v>
      </c>
      <c r="AI24" s="2">
        <v>1</v>
      </c>
      <c r="AJ24" s="2">
        <v>1</v>
      </c>
      <c r="AK24" s="2">
        <v>1</v>
      </c>
      <c r="AL24" s="2">
        <v>1</v>
      </c>
      <c r="AN24" s="2">
        <v>0</v>
      </c>
      <c r="AO24" s="2">
        <v>1</v>
      </c>
      <c r="AP24" s="2">
        <v>0</v>
      </c>
      <c r="AQ24" s="2">
        <v>0</v>
      </c>
      <c r="AR24" s="2">
        <v>0</v>
      </c>
      <c r="AS24" s="2" t="s">
        <v>30</v>
      </c>
      <c r="AT24" s="2">
        <v>0.02</v>
      </c>
      <c r="AU24" s="2" t="s">
        <v>30</v>
      </c>
      <c r="AV24" s="2">
        <v>0</v>
      </c>
      <c r="AW24" s="2">
        <v>2</v>
      </c>
      <c r="AX24" s="2">
        <v>52261791</v>
      </c>
      <c r="AY24" s="2">
        <v>1</v>
      </c>
      <c r="AZ24" s="2">
        <v>0</v>
      </c>
      <c r="BA24" s="2">
        <v>23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CX24" s="2">
        <f>Y24*Source!I34</f>
        <v>6.0312000000000001</v>
      </c>
      <c r="CY24" s="2">
        <f>AB24</f>
        <v>1070.1199999999999</v>
      </c>
      <c r="CZ24" s="2">
        <f>AF24</f>
        <v>1070.1199999999999</v>
      </c>
      <c r="DA24" s="2">
        <f>AJ24</f>
        <v>1</v>
      </c>
      <c r="DB24" s="2">
        <f t="shared" si="0"/>
        <v>21.4</v>
      </c>
      <c r="DC24" s="2">
        <f t="shared" si="1"/>
        <v>6.65</v>
      </c>
    </row>
    <row r="25" spans="1:107" x14ac:dyDescent="0.25">
      <c r="A25" s="2">
        <f>ROW(Source!A34)</f>
        <v>34</v>
      </c>
      <c r="B25" s="2">
        <v>52261502</v>
      </c>
      <c r="C25" s="2">
        <v>52261788</v>
      </c>
      <c r="D25" s="2">
        <v>49679218</v>
      </c>
      <c r="E25" s="2">
        <v>1</v>
      </c>
      <c r="F25" s="2">
        <v>1</v>
      </c>
      <c r="G25" s="2">
        <v>29</v>
      </c>
      <c r="H25" s="2">
        <v>2</v>
      </c>
      <c r="I25" s="2" t="s">
        <v>87</v>
      </c>
      <c r="J25" s="2" t="s">
        <v>375</v>
      </c>
      <c r="K25" s="2" t="s">
        <v>88</v>
      </c>
      <c r="L25" s="2">
        <v>1368</v>
      </c>
      <c r="N25" s="2">
        <v>1011</v>
      </c>
      <c r="O25" s="2" t="s">
        <v>82</v>
      </c>
      <c r="P25" s="2" t="s">
        <v>82</v>
      </c>
      <c r="Q25" s="2">
        <v>1</v>
      </c>
      <c r="W25" s="2">
        <v>0</v>
      </c>
      <c r="X25" s="2">
        <v>-421523076</v>
      </c>
      <c r="Y25" s="2">
        <v>1.7999999999999999E-2</v>
      </c>
      <c r="AA25" s="2">
        <v>0</v>
      </c>
      <c r="AB25" s="2">
        <v>1080.76</v>
      </c>
      <c r="AC25" s="2">
        <v>332.99</v>
      </c>
      <c r="AD25" s="2">
        <v>0</v>
      </c>
      <c r="AE25" s="2">
        <v>0</v>
      </c>
      <c r="AF25" s="2">
        <v>1080.76</v>
      </c>
      <c r="AG25" s="2">
        <v>332.99</v>
      </c>
      <c r="AH25" s="2">
        <v>0</v>
      </c>
      <c r="AI25" s="2">
        <v>1</v>
      </c>
      <c r="AJ25" s="2">
        <v>1</v>
      </c>
      <c r="AK25" s="2">
        <v>1</v>
      </c>
      <c r="AL25" s="2">
        <v>1</v>
      </c>
      <c r="AN25" s="2">
        <v>0</v>
      </c>
      <c r="AO25" s="2">
        <v>1</v>
      </c>
      <c r="AP25" s="2">
        <v>0</v>
      </c>
      <c r="AQ25" s="2">
        <v>0</v>
      </c>
      <c r="AR25" s="2">
        <v>0</v>
      </c>
      <c r="AS25" s="2" t="s">
        <v>30</v>
      </c>
      <c r="AT25" s="2">
        <v>1.7999999999999999E-2</v>
      </c>
      <c r="AU25" s="2" t="s">
        <v>30</v>
      </c>
      <c r="AV25" s="2">
        <v>0</v>
      </c>
      <c r="AW25" s="2">
        <v>2</v>
      </c>
      <c r="AX25" s="2">
        <v>52261792</v>
      </c>
      <c r="AY25" s="2">
        <v>1</v>
      </c>
      <c r="AZ25" s="2">
        <v>0</v>
      </c>
      <c r="BA25" s="2">
        <v>24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CX25" s="2">
        <f>Y25*Source!I34</f>
        <v>5.4280799999999996</v>
      </c>
      <c r="CY25" s="2">
        <f>AB25</f>
        <v>1080.76</v>
      </c>
      <c r="CZ25" s="2">
        <f>AF25</f>
        <v>1080.76</v>
      </c>
      <c r="DA25" s="2">
        <f>AJ25</f>
        <v>1</v>
      </c>
      <c r="DB25" s="2">
        <f t="shared" si="0"/>
        <v>19.45</v>
      </c>
      <c r="DC25" s="2">
        <f t="shared" si="1"/>
        <v>5.99</v>
      </c>
    </row>
    <row r="26" spans="1:107" x14ac:dyDescent="0.25">
      <c r="A26" s="2">
        <f>ROW(Source!A35)</f>
        <v>35</v>
      </c>
      <c r="B26" s="2">
        <v>52261502</v>
      </c>
      <c r="C26" s="2">
        <v>52261793</v>
      </c>
      <c r="D26" s="2">
        <v>49679217</v>
      </c>
      <c r="E26" s="2">
        <v>1</v>
      </c>
      <c r="F26" s="2">
        <v>1</v>
      </c>
      <c r="G26" s="2">
        <v>29</v>
      </c>
      <c r="H26" s="2">
        <v>2</v>
      </c>
      <c r="I26" s="2" t="s">
        <v>85</v>
      </c>
      <c r="J26" s="2" t="s">
        <v>374</v>
      </c>
      <c r="K26" s="2" t="s">
        <v>86</v>
      </c>
      <c r="L26" s="2">
        <v>1368</v>
      </c>
      <c r="N26" s="2">
        <v>1011</v>
      </c>
      <c r="O26" s="2" t="s">
        <v>82</v>
      </c>
      <c r="P26" s="2" t="s">
        <v>82</v>
      </c>
      <c r="Q26" s="2">
        <v>1</v>
      </c>
      <c r="W26" s="2">
        <v>0</v>
      </c>
      <c r="X26" s="2">
        <v>2102615478</v>
      </c>
      <c r="Y26" s="2">
        <v>0.52</v>
      </c>
      <c r="AA26" s="2">
        <v>0</v>
      </c>
      <c r="AB26" s="2">
        <v>1070.1199999999999</v>
      </c>
      <c r="AC26" s="2">
        <v>332.66</v>
      </c>
      <c r="AD26" s="2">
        <v>0</v>
      </c>
      <c r="AE26" s="2">
        <v>0</v>
      </c>
      <c r="AF26" s="2">
        <v>1070.1199999999999</v>
      </c>
      <c r="AG26" s="2">
        <v>332.66</v>
      </c>
      <c r="AH26" s="2">
        <v>0</v>
      </c>
      <c r="AI26" s="2">
        <v>1</v>
      </c>
      <c r="AJ26" s="2">
        <v>1</v>
      </c>
      <c r="AK26" s="2">
        <v>1</v>
      </c>
      <c r="AL26" s="2">
        <v>1</v>
      </c>
      <c r="AN26" s="2">
        <v>0</v>
      </c>
      <c r="AO26" s="2">
        <v>1</v>
      </c>
      <c r="AP26" s="2">
        <v>1</v>
      </c>
      <c r="AQ26" s="2">
        <v>0</v>
      </c>
      <c r="AR26" s="2">
        <v>0</v>
      </c>
      <c r="AS26" s="2" t="s">
        <v>30</v>
      </c>
      <c r="AT26" s="2">
        <v>0.01</v>
      </c>
      <c r="AU26" s="2" t="s">
        <v>207</v>
      </c>
      <c r="AV26" s="2">
        <v>0</v>
      </c>
      <c r="AW26" s="2">
        <v>2</v>
      </c>
      <c r="AX26" s="2">
        <v>52261796</v>
      </c>
      <c r="AY26" s="2">
        <v>1</v>
      </c>
      <c r="AZ26" s="2">
        <v>0</v>
      </c>
      <c r="BA26" s="2">
        <v>25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CX26" s="2">
        <f>Y26*Source!I35</f>
        <v>156.81120000000001</v>
      </c>
      <c r="CY26" s="2">
        <f>AB26</f>
        <v>1070.1199999999999</v>
      </c>
      <c r="CZ26" s="2">
        <f>AF26</f>
        <v>1070.1199999999999</v>
      </c>
      <c r="DA26" s="2">
        <f>AJ26</f>
        <v>1</v>
      </c>
      <c r="DB26" s="2">
        <f>ROUND((ROUND(AT26*CZ26,2)*52),6)</f>
        <v>556.4</v>
      </c>
      <c r="DC26" s="2">
        <f>ROUND((ROUND(AT26*AG26,2)*52),6)</f>
        <v>173.16</v>
      </c>
    </row>
    <row r="27" spans="1:107" x14ac:dyDescent="0.25">
      <c r="A27" s="2">
        <f>ROW(Source!A35)</f>
        <v>35</v>
      </c>
      <c r="B27" s="2">
        <v>52261502</v>
      </c>
      <c r="C27" s="2">
        <v>52261793</v>
      </c>
      <c r="D27" s="2">
        <v>49679218</v>
      </c>
      <c r="E27" s="2">
        <v>1</v>
      </c>
      <c r="F27" s="2">
        <v>1</v>
      </c>
      <c r="G27" s="2">
        <v>29</v>
      </c>
      <c r="H27" s="2">
        <v>2</v>
      </c>
      <c r="I27" s="2" t="s">
        <v>87</v>
      </c>
      <c r="J27" s="2" t="s">
        <v>375</v>
      </c>
      <c r="K27" s="2" t="s">
        <v>88</v>
      </c>
      <c r="L27" s="2">
        <v>1368</v>
      </c>
      <c r="N27" s="2">
        <v>1011</v>
      </c>
      <c r="O27" s="2" t="s">
        <v>82</v>
      </c>
      <c r="P27" s="2" t="s">
        <v>82</v>
      </c>
      <c r="Q27" s="2">
        <v>1</v>
      </c>
      <c r="W27" s="2">
        <v>0</v>
      </c>
      <c r="X27" s="2">
        <v>-421523076</v>
      </c>
      <c r="Y27" s="2">
        <v>0.41599999999999998</v>
      </c>
      <c r="AA27" s="2">
        <v>0</v>
      </c>
      <c r="AB27" s="2">
        <v>1080.76</v>
      </c>
      <c r="AC27" s="2">
        <v>332.99</v>
      </c>
      <c r="AD27" s="2">
        <v>0</v>
      </c>
      <c r="AE27" s="2">
        <v>0</v>
      </c>
      <c r="AF27" s="2">
        <v>1080.76</v>
      </c>
      <c r="AG27" s="2">
        <v>332.99</v>
      </c>
      <c r="AH27" s="2">
        <v>0</v>
      </c>
      <c r="AI27" s="2">
        <v>1</v>
      </c>
      <c r="AJ27" s="2">
        <v>1</v>
      </c>
      <c r="AK27" s="2">
        <v>1</v>
      </c>
      <c r="AL27" s="2">
        <v>1</v>
      </c>
      <c r="AN27" s="2">
        <v>0</v>
      </c>
      <c r="AO27" s="2">
        <v>1</v>
      </c>
      <c r="AP27" s="2">
        <v>1</v>
      </c>
      <c r="AQ27" s="2">
        <v>0</v>
      </c>
      <c r="AR27" s="2">
        <v>0</v>
      </c>
      <c r="AS27" s="2" t="s">
        <v>30</v>
      </c>
      <c r="AT27" s="2">
        <v>8.0000000000000002E-3</v>
      </c>
      <c r="AU27" s="2" t="s">
        <v>207</v>
      </c>
      <c r="AV27" s="2">
        <v>0</v>
      </c>
      <c r="AW27" s="2">
        <v>2</v>
      </c>
      <c r="AX27" s="2">
        <v>52261797</v>
      </c>
      <c r="AY27" s="2">
        <v>1</v>
      </c>
      <c r="AZ27" s="2">
        <v>0</v>
      </c>
      <c r="BA27" s="2">
        <v>26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CX27" s="2">
        <f>Y27*Source!I35</f>
        <v>125.44896</v>
      </c>
      <c r="CY27" s="2">
        <f>AB27</f>
        <v>1080.76</v>
      </c>
      <c r="CZ27" s="2">
        <f>AF27</f>
        <v>1080.76</v>
      </c>
      <c r="DA27" s="2">
        <f>AJ27</f>
        <v>1</v>
      </c>
      <c r="DB27" s="2">
        <f>ROUND((ROUND(AT27*CZ27,2)*52),6)</f>
        <v>449.8</v>
      </c>
      <c r="DC27" s="2">
        <f>ROUND((ROUND(AT27*AG27,2)*52),6)</f>
        <v>138.32</v>
      </c>
    </row>
    <row r="28" spans="1:107" x14ac:dyDescent="0.25">
      <c r="A28" s="2">
        <f>ROW(Source!A36)</f>
        <v>36</v>
      </c>
      <c r="B28" s="2">
        <v>52261502</v>
      </c>
      <c r="C28" s="2">
        <v>52261798</v>
      </c>
      <c r="D28" s="2">
        <v>49677488</v>
      </c>
      <c r="E28" s="2">
        <v>29</v>
      </c>
      <c r="F28" s="2">
        <v>1</v>
      </c>
      <c r="G28" s="2">
        <v>29</v>
      </c>
      <c r="H28" s="2">
        <v>1</v>
      </c>
      <c r="I28" s="2" t="s">
        <v>359</v>
      </c>
      <c r="J28" s="2" t="s">
        <v>30</v>
      </c>
      <c r="K28" s="2" t="s">
        <v>360</v>
      </c>
      <c r="L28" s="2">
        <v>1191</v>
      </c>
      <c r="N28" s="2">
        <v>1013</v>
      </c>
      <c r="O28" s="2" t="s">
        <v>361</v>
      </c>
      <c r="P28" s="2" t="s">
        <v>361</v>
      </c>
      <c r="Q28" s="2">
        <v>1</v>
      </c>
      <c r="W28" s="2">
        <v>0</v>
      </c>
      <c r="X28" s="2">
        <v>476480486</v>
      </c>
      <c r="Y28" s="2">
        <v>10.3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1</v>
      </c>
      <c r="AJ28" s="2">
        <v>1</v>
      </c>
      <c r="AK28" s="2">
        <v>1</v>
      </c>
      <c r="AL28" s="2">
        <v>1</v>
      </c>
      <c r="AN28" s="2">
        <v>0</v>
      </c>
      <c r="AO28" s="2">
        <v>1</v>
      </c>
      <c r="AP28" s="2">
        <v>0</v>
      </c>
      <c r="AQ28" s="2">
        <v>0</v>
      </c>
      <c r="AR28" s="2">
        <v>0</v>
      </c>
      <c r="AS28" s="2" t="s">
        <v>30</v>
      </c>
      <c r="AT28" s="2">
        <v>10.3</v>
      </c>
      <c r="AU28" s="2" t="s">
        <v>30</v>
      </c>
      <c r="AV28" s="2">
        <v>1</v>
      </c>
      <c r="AW28" s="2">
        <v>2</v>
      </c>
      <c r="AX28" s="2">
        <v>52261804</v>
      </c>
      <c r="AY28" s="2">
        <v>1</v>
      </c>
      <c r="AZ28" s="2">
        <v>0</v>
      </c>
      <c r="BA28" s="2">
        <v>27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CX28" s="2">
        <f>Y28*Source!I36</f>
        <v>258.839</v>
      </c>
      <c r="CY28" s="2">
        <f>AD28</f>
        <v>0</v>
      </c>
      <c r="CZ28" s="2">
        <f>AH28</f>
        <v>0</v>
      </c>
      <c r="DA28" s="2">
        <f>AL28</f>
        <v>1</v>
      </c>
      <c r="DB28" s="2">
        <f t="shared" ref="DB28:DB43" si="2">ROUND(ROUND(AT28*CZ28,2),6)</f>
        <v>0</v>
      </c>
      <c r="DC28" s="2">
        <f t="shared" ref="DC28:DC43" si="3">ROUND(ROUND(AT28*AG28,2),6)</f>
        <v>0</v>
      </c>
    </row>
    <row r="29" spans="1:107" x14ac:dyDescent="0.25">
      <c r="A29" s="2">
        <f>ROW(Source!A36)</f>
        <v>36</v>
      </c>
      <c r="B29" s="2">
        <v>52261502</v>
      </c>
      <c r="C29" s="2">
        <v>52261798</v>
      </c>
      <c r="D29" s="2">
        <v>49678594</v>
      </c>
      <c r="E29" s="2">
        <v>1</v>
      </c>
      <c r="F29" s="2">
        <v>1</v>
      </c>
      <c r="G29" s="2">
        <v>29</v>
      </c>
      <c r="H29" s="2">
        <v>2</v>
      </c>
      <c r="I29" s="2" t="s">
        <v>97</v>
      </c>
      <c r="J29" s="2" t="s">
        <v>371</v>
      </c>
      <c r="K29" s="2" t="s">
        <v>98</v>
      </c>
      <c r="L29" s="2">
        <v>1368</v>
      </c>
      <c r="N29" s="2">
        <v>1011</v>
      </c>
      <c r="O29" s="2" t="s">
        <v>82</v>
      </c>
      <c r="P29" s="2" t="s">
        <v>82</v>
      </c>
      <c r="Q29" s="2">
        <v>1</v>
      </c>
      <c r="W29" s="2">
        <v>0</v>
      </c>
      <c r="X29" s="2">
        <v>-180193475</v>
      </c>
      <c r="Y29" s="2">
        <v>0.89</v>
      </c>
      <c r="AA29" s="2">
        <v>0</v>
      </c>
      <c r="AB29" s="2">
        <v>1364.68</v>
      </c>
      <c r="AC29" s="2">
        <v>556.52</v>
      </c>
      <c r="AD29" s="2">
        <v>0</v>
      </c>
      <c r="AE29" s="2">
        <v>0</v>
      </c>
      <c r="AF29" s="2">
        <v>1364.68</v>
      </c>
      <c r="AG29" s="2">
        <v>556.52</v>
      </c>
      <c r="AH29" s="2">
        <v>0</v>
      </c>
      <c r="AI29" s="2">
        <v>1</v>
      </c>
      <c r="AJ29" s="2">
        <v>1</v>
      </c>
      <c r="AK29" s="2">
        <v>1</v>
      </c>
      <c r="AL29" s="2">
        <v>1</v>
      </c>
      <c r="AN29" s="2">
        <v>0</v>
      </c>
      <c r="AO29" s="2">
        <v>1</v>
      </c>
      <c r="AP29" s="2">
        <v>0</v>
      </c>
      <c r="AQ29" s="2">
        <v>0</v>
      </c>
      <c r="AR29" s="2">
        <v>0</v>
      </c>
      <c r="AS29" s="2" t="s">
        <v>30</v>
      </c>
      <c r="AT29" s="2">
        <v>0.89</v>
      </c>
      <c r="AU29" s="2" t="s">
        <v>30</v>
      </c>
      <c r="AV29" s="2">
        <v>0</v>
      </c>
      <c r="AW29" s="2">
        <v>2</v>
      </c>
      <c r="AX29" s="2">
        <v>52261805</v>
      </c>
      <c r="AY29" s="2">
        <v>1</v>
      </c>
      <c r="AZ29" s="2">
        <v>0</v>
      </c>
      <c r="BA29" s="2">
        <v>28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CX29" s="2">
        <f>Y29*Source!I36</f>
        <v>22.3657</v>
      </c>
      <c r="CY29" s="2">
        <f>AB29</f>
        <v>1364.68</v>
      </c>
      <c r="CZ29" s="2">
        <f>AF29</f>
        <v>1364.68</v>
      </c>
      <c r="DA29" s="2">
        <f>AJ29</f>
        <v>1</v>
      </c>
      <c r="DB29" s="2">
        <f t="shared" si="2"/>
        <v>1214.57</v>
      </c>
      <c r="DC29" s="2">
        <f t="shared" si="3"/>
        <v>495.3</v>
      </c>
    </row>
    <row r="30" spans="1:107" x14ac:dyDescent="0.25">
      <c r="A30" s="2">
        <f>ROW(Source!A36)</f>
        <v>36</v>
      </c>
      <c r="B30" s="2">
        <v>52261502</v>
      </c>
      <c r="C30" s="2">
        <v>52261798</v>
      </c>
      <c r="D30" s="2">
        <v>49679414</v>
      </c>
      <c r="E30" s="2">
        <v>1</v>
      </c>
      <c r="F30" s="2">
        <v>1</v>
      </c>
      <c r="G30" s="2">
        <v>29</v>
      </c>
      <c r="H30" s="2">
        <v>3</v>
      </c>
      <c r="I30" s="2" t="s">
        <v>109</v>
      </c>
      <c r="J30" s="2" t="s">
        <v>376</v>
      </c>
      <c r="K30" s="2" t="s">
        <v>110</v>
      </c>
      <c r="L30" s="2">
        <v>1348</v>
      </c>
      <c r="N30" s="2">
        <v>1009</v>
      </c>
      <c r="O30" s="2" t="s">
        <v>63</v>
      </c>
      <c r="P30" s="2" t="s">
        <v>63</v>
      </c>
      <c r="Q30" s="2">
        <v>1000</v>
      </c>
      <c r="W30" s="2">
        <v>0</v>
      </c>
      <c r="X30" s="2">
        <v>2030676919</v>
      </c>
      <c r="Y30" s="2">
        <v>0.06</v>
      </c>
      <c r="AA30" s="2">
        <v>34834.18</v>
      </c>
      <c r="AB30" s="2">
        <v>0</v>
      </c>
      <c r="AC30" s="2">
        <v>0</v>
      </c>
      <c r="AD30" s="2">
        <v>0</v>
      </c>
      <c r="AE30" s="2">
        <v>34834.18</v>
      </c>
      <c r="AF30" s="2">
        <v>0</v>
      </c>
      <c r="AG30" s="2">
        <v>0</v>
      </c>
      <c r="AH30" s="2">
        <v>0</v>
      </c>
      <c r="AI30" s="2">
        <v>1</v>
      </c>
      <c r="AJ30" s="2">
        <v>1</v>
      </c>
      <c r="AK30" s="2">
        <v>1</v>
      </c>
      <c r="AL30" s="2">
        <v>1</v>
      </c>
      <c r="AN30" s="2">
        <v>0</v>
      </c>
      <c r="AO30" s="2">
        <v>1</v>
      </c>
      <c r="AP30" s="2">
        <v>0</v>
      </c>
      <c r="AQ30" s="2">
        <v>0</v>
      </c>
      <c r="AR30" s="2">
        <v>0</v>
      </c>
      <c r="AS30" s="2" t="s">
        <v>30</v>
      </c>
      <c r="AT30" s="2">
        <v>0.06</v>
      </c>
      <c r="AU30" s="2" t="s">
        <v>30</v>
      </c>
      <c r="AV30" s="2">
        <v>0</v>
      </c>
      <c r="AW30" s="2">
        <v>2</v>
      </c>
      <c r="AX30" s="2">
        <v>52261806</v>
      </c>
      <c r="AY30" s="2">
        <v>1</v>
      </c>
      <c r="AZ30" s="2">
        <v>0</v>
      </c>
      <c r="BA30" s="2">
        <v>29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CX30" s="2">
        <f>Y30*Source!I36</f>
        <v>1.5078</v>
      </c>
      <c r="CY30" s="2">
        <f>AA30</f>
        <v>34834.18</v>
      </c>
      <c r="CZ30" s="2">
        <f>AE30</f>
        <v>34834.18</v>
      </c>
      <c r="DA30" s="2">
        <f>AI30</f>
        <v>1</v>
      </c>
      <c r="DB30" s="2">
        <f t="shared" si="2"/>
        <v>2090.0500000000002</v>
      </c>
      <c r="DC30" s="2">
        <f t="shared" si="3"/>
        <v>0</v>
      </c>
    </row>
    <row r="31" spans="1:107" x14ac:dyDescent="0.25">
      <c r="A31" s="2">
        <f>ROW(Source!A36)</f>
        <v>36</v>
      </c>
      <c r="B31" s="2">
        <v>52261502</v>
      </c>
      <c r="C31" s="2">
        <v>52261798</v>
      </c>
      <c r="D31" s="2">
        <v>49682551</v>
      </c>
      <c r="E31" s="2">
        <v>1</v>
      </c>
      <c r="F31" s="2">
        <v>1</v>
      </c>
      <c r="G31" s="2">
        <v>29</v>
      </c>
      <c r="H31" s="2">
        <v>3</v>
      </c>
      <c r="I31" s="2" t="s">
        <v>160</v>
      </c>
      <c r="J31" s="2" t="s">
        <v>213</v>
      </c>
      <c r="K31" s="2" t="s">
        <v>212</v>
      </c>
      <c r="L31" s="2">
        <v>1348</v>
      </c>
      <c r="N31" s="2">
        <v>1009</v>
      </c>
      <c r="O31" s="2" t="s">
        <v>63</v>
      </c>
      <c r="P31" s="2" t="s">
        <v>63</v>
      </c>
      <c r="Q31" s="2">
        <v>1000</v>
      </c>
      <c r="W31" s="2">
        <v>1</v>
      </c>
      <c r="X31" s="2">
        <v>-58237108</v>
      </c>
      <c r="Y31" s="2">
        <v>-7.14</v>
      </c>
      <c r="AA31" s="2">
        <v>2954.24</v>
      </c>
      <c r="AB31" s="2">
        <v>0</v>
      </c>
      <c r="AC31" s="2">
        <v>0</v>
      </c>
      <c r="AD31" s="2">
        <v>0</v>
      </c>
      <c r="AE31" s="2">
        <v>2954.24</v>
      </c>
      <c r="AF31" s="2">
        <v>0</v>
      </c>
      <c r="AG31" s="2">
        <v>0</v>
      </c>
      <c r="AH31" s="2">
        <v>0</v>
      </c>
      <c r="AI31" s="2">
        <v>1</v>
      </c>
      <c r="AJ31" s="2">
        <v>1</v>
      </c>
      <c r="AK31" s="2">
        <v>1</v>
      </c>
      <c r="AL31" s="2">
        <v>1</v>
      </c>
      <c r="AN31" s="2">
        <v>0</v>
      </c>
      <c r="AO31" s="2">
        <v>1</v>
      </c>
      <c r="AP31" s="2">
        <v>0</v>
      </c>
      <c r="AQ31" s="2">
        <v>0</v>
      </c>
      <c r="AR31" s="2">
        <v>0</v>
      </c>
      <c r="AS31" s="2" t="s">
        <v>30</v>
      </c>
      <c r="AT31" s="2">
        <v>-7.14</v>
      </c>
      <c r="AU31" s="2" t="s">
        <v>30</v>
      </c>
      <c r="AV31" s="2">
        <v>0</v>
      </c>
      <c r="AW31" s="2">
        <v>2</v>
      </c>
      <c r="AX31" s="2">
        <v>52261807</v>
      </c>
      <c r="AY31" s="2">
        <v>1</v>
      </c>
      <c r="AZ31" s="2">
        <v>6144</v>
      </c>
      <c r="BA31" s="2">
        <v>30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CX31" s="2">
        <f>Y31*Source!I36</f>
        <v>-179.4282</v>
      </c>
      <c r="CY31" s="2">
        <f>AA31</f>
        <v>2954.24</v>
      </c>
      <c r="CZ31" s="2">
        <f>AE31</f>
        <v>2954.24</v>
      </c>
      <c r="DA31" s="2">
        <f>AI31</f>
        <v>1</v>
      </c>
      <c r="DB31" s="2">
        <f t="shared" si="2"/>
        <v>-21093.27</v>
      </c>
      <c r="DC31" s="2">
        <f t="shared" si="3"/>
        <v>0</v>
      </c>
    </row>
    <row r="32" spans="1:107" x14ac:dyDescent="0.25">
      <c r="A32" s="2">
        <f>ROW(Source!A36)</f>
        <v>36</v>
      </c>
      <c r="B32" s="2">
        <v>52261502</v>
      </c>
      <c r="C32" s="2">
        <v>52261798</v>
      </c>
      <c r="D32" s="2">
        <v>49682551</v>
      </c>
      <c r="E32" s="2">
        <v>1</v>
      </c>
      <c r="F32" s="2">
        <v>1</v>
      </c>
      <c r="G32" s="2">
        <v>29</v>
      </c>
      <c r="H32" s="2">
        <v>3</v>
      </c>
      <c r="I32" s="2" t="s">
        <v>160</v>
      </c>
      <c r="J32" s="2" t="s">
        <v>213</v>
      </c>
      <c r="K32" s="2" t="s">
        <v>161</v>
      </c>
      <c r="L32" s="2">
        <v>1348</v>
      </c>
      <c r="N32" s="2">
        <v>1009</v>
      </c>
      <c r="O32" s="2" t="s">
        <v>63</v>
      </c>
      <c r="P32" s="2" t="s">
        <v>63</v>
      </c>
      <c r="Q32" s="2">
        <v>1000</v>
      </c>
      <c r="W32" s="2">
        <v>1</v>
      </c>
      <c r="X32" s="2">
        <v>946953562</v>
      </c>
      <c r="Y32" s="2">
        <v>11.67</v>
      </c>
      <c r="AA32" s="2">
        <v>2954.24</v>
      </c>
      <c r="AB32" s="2">
        <v>0</v>
      </c>
      <c r="AC32" s="2">
        <v>0</v>
      </c>
      <c r="AD32" s="2">
        <v>0</v>
      </c>
      <c r="AE32" s="2">
        <v>2954.24</v>
      </c>
      <c r="AF32" s="2">
        <v>0</v>
      </c>
      <c r="AG32" s="2">
        <v>0</v>
      </c>
      <c r="AH32" s="2">
        <v>0</v>
      </c>
      <c r="AI32" s="2">
        <v>1</v>
      </c>
      <c r="AJ32" s="2">
        <v>1</v>
      </c>
      <c r="AK32" s="2">
        <v>1</v>
      </c>
      <c r="AL32" s="2">
        <v>1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 t="s">
        <v>30</v>
      </c>
      <c r="AT32" s="2">
        <v>11.67</v>
      </c>
      <c r="AU32" s="2" t="s">
        <v>30</v>
      </c>
      <c r="AV32" s="2">
        <v>0</v>
      </c>
      <c r="AW32" s="2">
        <v>1</v>
      </c>
      <c r="AX32" s="2">
        <v>-1</v>
      </c>
      <c r="AY32" s="2">
        <v>0</v>
      </c>
      <c r="AZ32" s="2">
        <v>0</v>
      </c>
      <c r="BA32" s="2" t="s">
        <v>30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CX32" s="2">
        <f>Y32*Source!I36</f>
        <v>293.26710000000003</v>
      </c>
      <c r="CY32" s="2">
        <f>AA32</f>
        <v>2954.24</v>
      </c>
      <c r="CZ32" s="2">
        <f>AE32</f>
        <v>2954.24</v>
      </c>
      <c r="DA32" s="2">
        <f>AI32</f>
        <v>1</v>
      </c>
      <c r="DB32" s="2">
        <f t="shared" si="2"/>
        <v>34475.980000000003</v>
      </c>
      <c r="DC32" s="2">
        <f t="shared" si="3"/>
        <v>0</v>
      </c>
    </row>
    <row r="33" spans="1:107" x14ac:dyDescent="0.25">
      <c r="A33" s="2">
        <f>ROW(Source!A84)</f>
        <v>84</v>
      </c>
      <c r="B33" s="2">
        <v>52261502</v>
      </c>
      <c r="C33" s="2">
        <v>52261810</v>
      </c>
      <c r="D33" s="2">
        <v>49677488</v>
      </c>
      <c r="E33" s="2">
        <v>29</v>
      </c>
      <c r="F33" s="2">
        <v>1</v>
      </c>
      <c r="G33" s="2">
        <v>29</v>
      </c>
      <c r="H33" s="2">
        <v>1</v>
      </c>
      <c r="I33" s="2" t="s">
        <v>359</v>
      </c>
      <c r="J33" s="2" t="s">
        <v>30</v>
      </c>
      <c r="K33" s="2" t="s">
        <v>360</v>
      </c>
      <c r="L33" s="2">
        <v>1191</v>
      </c>
      <c r="N33" s="2">
        <v>1013</v>
      </c>
      <c r="O33" s="2" t="s">
        <v>361</v>
      </c>
      <c r="P33" s="2" t="s">
        <v>361</v>
      </c>
      <c r="Q33" s="2">
        <v>1</v>
      </c>
      <c r="W33" s="2">
        <v>0</v>
      </c>
      <c r="X33" s="2">
        <v>476480486</v>
      </c>
      <c r="Y33" s="2">
        <v>0.66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1</v>
      </c>
      <c r="AJ33" s="2">
        <v>1</v>
      </c>
      <c r="AK33" s="2">
        <v>1</v>
      </c>
      <c r="AL33" s="2">
        <v>1</v>
      </c>
      <c r="AN33" s="2">
        <v>0</v>
      </c>
      <c r="AO33" s="2">
        <v>1</v>
      </c>
      <c r="AP33" s="2">
        <v>0</v>
      </c>
      <c r="AQ33" s="2">
        <v>0</v>
      </c>
      <c r="AR33" s="2">
        <v>0</v>
      </c>
      <c r="AS33" s="2" t="s">
        <v>30</v>
      </c>
      <c r="AT33" s="2">
        <v>0.66</v>
      </c>
      <c r="AU33" s="2" t="s">
        <v>30</v>
      </c>
      <c r="AV33" s="2">
        <v>1</v>
      </c>
      <c r="AW33" s="2">
        <v>2</v>
      </c>
      <c r="AX33" s="2">
        <v>52261829</v>
      </c>
      <c r="AY33" s="2">
        <v>1</v>
      </c>
      <c r="AZ33" s="2">
        <v>0</v>
      </c>
      <c r="BA33" s="2">
        <v>31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CX33" s="2">
        <f>Y33*Source!I84</f>
        <v>229.68</v>
      </c>
      <c r="CY33" s="2">
        <f>AD33</f>
        <v>0</v>
      </c>
      <c r="CZ33" s="2">
        <f>AH33</f>
        <v>0</v>
      </c>
      <c r="DA33" s="2">
        <f>AL33</f>
        <v>1</v>
      </c>
      <c r="DB33" s="2">
        <f t="shared" si="2"/>
        <v>0</v>
      </c>
      <c r="DC33" s="2">
        <f t="shared" si="3"/>
        <v>0</v>
      </c>
    </row>
    <row r="34" spans="1:107" x14ac:dyDescent="0.25">
      <c r="A34" s="2">
        <f>ROW(Source!A84)</f>
        <v>84</v>
      </c>
      <c r="B34" s="2">
        <v>52261502</v>
      </c>
      <c r="C34" s="2">
        <v>52261810</v>
      </c>
      <c r="D34" s="2">
        <v>49678762</v>
      </c>
      <c r="E34" s="2">
        <v>1</v>
      </c>
      <c r="F34" s="2">
        <v>1</v>
      </c>
      <c r="G34" s="2">
        <v>29</v>
      </c>
      <c r="H34" s="2">
        <v>2</v>
      </c>
      <c r="I34" s="2" t="s">
        <v>116</v>
      </c>
      <c r="J34" s="2" t="s">
        <v>377</v>
      </c>
      <c r="K34" s="2" t="s">
        <v>117</v>
      </c>
      <c r="L34" s="2">
        <v>1368</v>
      </c>
      <c r="N34" s="2">
        <v>1011</v>
      </c>
      <c r="O34" s="2" t="s">
        <v>82</v>
      </c>
      <c r="P34" s="2" t="s">
        <v>82</v>
      </c>
      <c r="Q34" s="2">
        <v>1</v>
      </c>
      <c r="W34" s="2">
        <v>0</v>
      </c>
      <c r="X34" s="2">
        <v>-27366755</v>
      </c>
      <c r="Y34" s="2">
        <v>0.13200000000000001</v>
      </c>
      <c r="AA34" s="2">
        <v>0</v>
      </c>
      <c r="AB34" s="2">
        <v>493.52</v>
      </c>
      <c r="AC34" s="2">
        <v>377.79</v>
      </c>
      <c r="AD34" s="2">
        <v>0</v>
      </c>
      <c r="AE34" s="2">
        <v>0</v>
      </c>
      <c r="AF34" s="2">
        <v>493.52</v>
      </c>
      <c r="AG34" s="2">
        <v>377.79</v>
      </c>
      <c r="AH34" s="2">
        <v>0</v>
      </c>
      <c r="AI34" s="2">
        <v>1</v>
      </c>
      <c r="AJ34" s="2">
        <v>1</v>
      </c>
      <c r="AK34" s="2">
        <v>1</v>
      </c>
      <c r="AL34" s="2">
        <v>1</v>
      </c>
      <c r="AN34" s="2">
        <v>0</v>
      </c>
      <c r="AO34" s="2">
        <v>1</v>
      </c>
      <c r="AP34" s="2">
        <v>0</v>
      </c>
      <c r="AQ34" s="2">
        <v>0</v>
      </c>
      <c r="AR34" s="2">
        <v>0</v>
      </c>
      <c r="AS34" s="2" t="s">
        <v>30</v>
      </c>
      <c r="AT34" s="2">
        <v>0.13200000000000001</v>
      </c>
      <c r="AU34" s="2" t="s">
        <v>30</v>
      </c>
      <c r="AV34" s="2">
        <v>0</v>
      </c>
      <c r="AW34" s="2">
        <v>2</v>
      </c>
      <c r="AX34" s="2">
        <v>52261830</v>
      </c>
      <c r="AY34" s="2">
        <v>1</v>
      </c>
      <c r="AZ34" s="2">
        <v>0</v>
      </c>
      <c r="BA34" s="2">
        <v>32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CX34" s="2">
        <f>Y34*Source!I84</f>
        <v>45.936</v>
      </c>
      <c r="CY34" s="2">
        <f>AB34</f>
        <v>493.52</v>
      </c>
      <c r="CZ34" s="2">
        <f>AF34</f>
        <v>493.52</v>
      </c>
      <c r="DA34" s="2">
        <f>AJ34</f>
        <v>1</v>
      </c>
      <c r="DB34" s="2">
        <f t="shared" si="2"/>
        <v>65.14</v>
      </c>
      <c r="DC34" s="2">
        <f t="shared" si="3"/>
        <v>49.87</v>
      </c>
    </row>
    <row r="35" spans="1:107" x14ac:dyDescent="0.25">
      <c r="A35" s="2">
        <f>ROW(Source!A84)</f>
        <v>84</v>
      </c>
      <c r="B35" s="2">
        <v>52261502</v>
      </c>
      <c r="C35" s="2">
        <v>52261810</v>
      </c>
      <c r="D35" s="2">
        <v>49679228</v>
      </c>
      <c r="E35" s="2">
        <v>1</v>
      </c>
      <c r="F35" s="2">
        <v>1</v>
      </c>
      <c r="G35" s="2">
        <v>29</v>
      </c>
      <c r="H35" s="2">
        <v>2</v>
      </c>
      <c r="I35" s="2" t="s">
        <v>118</v>
      </c>
      <c r="J35" s="2" t="s">
        <v>378</v>
      </c>
      <c r="K35" s="2" t="s">
        <v>119</v>
      </c>
      <c r="L35" s="2">
        <v>1368</v>
      </c>
      <c r="N35" s="2">
        <v>1011</v>
      </c>
      <c r="O35" s="2" t="s">
        <v>82</v>
      </c>
      <c r="P35" s="2" t="s">
        <v>82</v>
      </c>
      <c r="Q35" s="2">
        <v>1</v>
      </c>
      <c r="W35" s="2">
        <v>0</v>
      </c>
      <c r="X35" s="2">
        <v>56280798</v>
      </c>
      <c r="Y35" s="2">
        <v>0.05</v>
      </c>
      <c r="AA35" s="2">
        <v>0</v>
      </c>
      <c r="AB35" s="2">
        <v>1153.51</v>
      </c>
      <c r="AC35" s="2">
        <v>408.74</v>
      </c>
      <c r="AD35" s="2">
        <v>0</v>
      </c>
      <c r="AE35" s="2">
        <v>0</v>
      </c>
      <c r="AF35" s="2">
        <v>1153.51</v>
      </c>
      <c r="AG35" s="2">
        <v>408.74</v>
      </c>
      <c r="AH35" s="2">
        <v>0</v>
      </c>
      <c r="AI35" s="2">
        <v>1</v>
      </c>
      <c r="AJ35" s="2">
        <v>1</v>
      </c>
      <c r="AK35" s="2">
        <v>1</v>
      </c>
      <c r="AL35" s="2">
        <v>1</v>
      </c>
      <c r="AN35" s="2">
        <v>0</v>
      </c>
      <c r="AO35" s="2">
        <v>1</v>
      </c>
      <c r="AP35" s="2">
        <v>0</v>
      </c>
      <c r="AQ35" s="2">
        <v>0</v>
      </c>
      <c r="AR35" s="2">
        <v>0</v>
      </c>
      <c r="AS35" s="2" t="s">
        <v>30</v>
      </c>
      <c r="AT35" s="2">
        <v>0.05</v>
      </c>
      <c r="AU35" s="2" t="s">
        <v>30</v>
      </c>
      <c r="AV35" s="2">
        <v>0</v>
      </c>
      <c r="AW35" s="2">
        <v>2</v>
      </c>
      <c r="AX35" s="2">
        <v>52261831</v>
      </c>
      <c r="AY35" s="2">
        <v>1</v>
      </c>
      <c r="AZ35" s="2">
        <v>0</v>
      </c>
      <c r="BA35" s="2">
        <v>33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CX35" s="2">
        <f>Y35*Source!I84</f>
        <v>17.399999999999999</v>
      </c>
      <c r="CY35" s="2">
        <f>AB35</f>
        <v>1153.51</v>
      </c>
      <c r="CZ35" s="2">
        <f>AF35</f>
        <v>1153.51</v>
      </c>
      <c r="DA35" s="2">
        <f>AJ35</f>
        <v>1</v>
      </c>
      <c r="DB35" s="2">
        <f t="shared" si="2"/>
        <v>57.68</v>
      </c>
      <c r="DC35" s="2">
        <f t="shared" si="3"/>
        <v>20.440000000000001</v>
      </c>
    </row>
    <row r="36" spans="1:107" x14ac:dyDescent="0.25">
      <c r="A36" s="2">
        <f>ROW(Source!A84)</f>
        <v>84</v>
      </c>
      <c r="B36" s="2">
        <v>52261502</v>
      </c>
      <c r="C36" s="2">
        <v>52261810</v>
      </c>
      <c r="D36" s="2">
        <v>49679291</v>
      </c>
      <c r="E36" s="2">
        <v>1</v>
      </c>
      <c r="F36" s="2">
        <v>1</v>
      </c>
      <c r="G36" s="2">
        <v>29</v>
      </c>
      <c r="H36" s="2">
        <v>2</v>
      </c>
      <c r="I36" s="2" t="s">
        <v>91</v>
      </c>
      <c r="J36" s="2" t="s">
        <v>364</v>
      </c>
      <c r="K36" s="2" t="s">
        <v>92</v>
      </c>
      <c r="L36" s="2">
        <v>1368</v>
      </c>
      <c r="N36" s="2">
        <v>1011</v>
      </c>
      <c r="O36" s="2" t="s">
        <v>82</v>
      </c>
      <c r="P36" s="2" t="s">
        <v>82</v>
      </c>
      <c r="Q36" s="2">
        <v>1</v>
      </c>
      <c r="W36" s="2">
        <v>0</v>
      </c>
      <c r="X36" s="2">
        <v>-417828855</v>
      </c>
      <c r="Y36" s="2">
        <v>0.13200000000000001</v>
      </c>
      <c r="AA36" s="2">
        <v>0</v>
      </c>
      <c r="AB36" s="2">
        <v>6.02</v>
      </c>
      <c r="AC36" s="2">
        <v>0.02</v>
      </c>
      <c r="AD36" s="2">
        <v>0</v>
      </c>
      <c r="AE36" s="2">
        <v>0</v>
      </c>
      <c r="AF36" s="2">
        <v>6.02</v>
      </c>
      <c r="AG36" s="2">
        <v>0.02</v>
      </c>
      <c r="AH36" s="2">
        <v>0</v>
      </c>
      <c r="AI36" s="2">
        <v>1</v>
      </c>
      <c r="AJ36" s="2">
        <v>1</v>
      </c>
      <c r="AK36" s="2">
        <v>1</v>
      </c>
      <c r="AL36" s="2">
        <v>1</v>
      </c>
      <c r="AN36" s="2">
        <v>0</v>
      </c>
      <c r="AO36" s="2">
        <v>1</v>
      </c>
      <c r="AP36" s="2">
        <v>0</v>
      </c>
      <c r="AQ36" s="2">
        <v>0</v>
      </c>
      <c r="AR36" s="2">
        <v>0</v>
      </c>
      <c r="AS36" s="2" t="s">
        <v>30</v>
      </c>
      <c r="AT36" s="2">
        <v>0.13200000000000001</v>
      </c>
      <c r="AU36" s="2" t="s">
        <v>30</v>
      </c>
      <c r="AV36" s="2">
        <v>0</v>
      </c>
      <c r="AW36" s="2">
        <v>2</v>
      </c>
      <c r="AX36" s="2">
        <v>52261832</v>
      </c>
      <c r="AY36" s="2">
        <v>1</v>
      </c>
      <c r="AZ36" s="2">
        <v>0</v>
      </c>
      <c r="BA36" s="2">
        <v>34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CX36" s="2">
        <f>Y36*Source!I84</f>
        <v>45.936</v>
      </c>
      <c r="CY36" s="2">
        <f>AB36</f>
        <v>6.02</v>
      </c>
      <c r="CZ36" s="2">
        <f>AF36</f>
        <v>6.02</v>
      </c>
      <c r="DA36" s="2">
        <f>AJ36</f>
        <v>1</v>
      </c>
      <c r="DB36" s="2">
        <f t="shared" si="2"/>
        <v>0.79</v>
      </c>
      <c r="DC36" s="2">
        <f t="shared" si="3"/>
        <v>0</v>
      </c>
    </row>
    <row r="37" spans="1:107" x14ac:dyDescent="0.25">
      <c r="A37" s="2">
        <f>ROW(Source!A84)</f>
        <v>84</v>
      </c>
      <c r="B37" s="2">
        <v>52261502</v>
      </c>
      <c r="C37" s="2">
        <v>52261810</v>
      </c>
      <c r="D37" s="2">
        <v>49678516</v>
      </c>
      <c r="E37" s="2">
        <v>1</v>
      </c>
      <c r="F37" s="2">
        <v>1</v>
      </c>
      <c r="G37" s="2">
        <v>29</v>
      </c>
      <c r="H37" s="2">
        <v>2</v>
      </c>
      <c r="I37" s="2" t="s">
        <v>120</v>
      </c>
      <c r="J37" s="2" t="s">
        <v>379</v>
      </c>
      <c r="K37" s="2" t="s">
        <v>121</v>
      </c>
      <c r="L37" s="2">
        <v>1368</v>
      </c>
      <c r="N37" s="2">
        <v>1011</v>
      </c>
      <c r="O37" s="2" t="s">
        <v>82</v>
      </c>
      <c r="P37" s="2" t="s">
        <v>82</v>
      </c>
      <c r="Q37" s="2">
        <v>1</v>
      </c>
      <c r="W37" s="2">
        <v>0</v>
      </c>
      <c r="X37" s="2">
        <v>-2018356411</v>
      </c>
      <c r="Y37" s="2">
        <v>8.8999999999999996E-2</v>
      </c>
      <c r="AA37" s="2">
        <v>0</v>
      </c>
      <c r="AB37" s="2">
        <v>857.91</v>
      </c>
      <c r="AC37" s="2">
        <v>479.87</v>
      </c>
      <c r="AD37" s="2">
        <v>0</v>
      </c>
      <c r="AE37" s="2">
        <v>0</v>
      </c>
      <c r="AF37" s="2">
        <v>857.91</v>
      </c>
      <c r="AG37" s="2">
        <v>479.87</v>
      </c>
      <c r="AH37" s="2">
        <v>0</v>
      </c>
      <c r="AI37" s="2">
        <v>1</v>
      </c>
      <c r="AJ37" s="2">
        <v>1</v>
      </c>
      <c r="AK37" s="2">
        <v>1</v>
      </c>
      <c r="AL37" s="2">
        <v>1</v>
      </c>
      <c r="AN37" s="2">
        <v>0</v>
      </c>
      <c r="AO37" s="2">
        <v>1</v>
      </c>
      <c r="AP37" s="2">
        <v>0</v>
      </c>
      <c r="AQ37" s="2">
        <v>0</v>
      </c>
      <c r="AR37" s="2">
        <v>0</v>
      </c>
      <c r="AS37" s="2" t="s">
        <v>30</v>
      </c>
      <c r="AT37" s="2">
        <v>8.8999999999999996E-2</v>
      </c>
      <c r="AU37" s="2" t="s">
        <v>30</v>
      </c>
      <c r="AV37" s="2">
        <v>0</v>
      </c>
      <c r="AW37" s="2">
        <v>2</v>
      </c>
      <c r="AX37" s="2">
        <v>52261833</v>
      </c>
      <c r="AY37" s="2">
        <v>1</v>
      </c>
      <c r="AZ37" s="2">
        <v>0</v>
      </c>
      <c r="BA37" s="2">
        <v>35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CX37" s="2">
        <f>Y37*Source!I84</f>
        <v>30.972000000000001</v>
      </c>
      <c r="CY37" s="2">
        <f>AB37</f>
        <v>857.91</v>
      </c>
      <c r="CZ37" s="2">
        <f>AF37</f>
        <v>857.91</v>
      </c>
      <c r="DA37" s="2">
        <f>AJ37</f>
        <v>1</v>
      </c>
      <c r="DB37" s="2">
        <f t="shared" si="2"/>
        <v>76.349999999999994</v>
      </c>
      <c r="DC37" s="2">
        <f t="shared" si="3"/>
        <v>42.71</v>
      </c>
    </row>
    <row r="38" spans="1:107" x14ac:dyDescent="0.25">
      <c r="A38" s="2">
        <f>ROW(Source!A84)</f>
        <v>84</v>
      </c>
      <c r="B38" s="2">
        <v>52261502</v>
      </c>
      <c r="C38" s="2">
        <v>52261810</v>
      </c>
      <c r="D38" s="2">
        <v>49682289</v>
      </c>
      <c r="E38" s="2">
        <v>1</v>
      </c>
      <c r="F38" s="2">
        <v>1</v>
      </c>
      <c r="G38" s="2">
        <v>29</v>
      </c>
      <c r="H38" s="2">
        <v>3</v>
      </c>
      <c r="I38" s="2" t="s">
        <v>124</v>
      </c>
      <c r="J38" s="2" t="s">
        <v>380</v>
      </c>
      <c r="K38" s="2" t="s">
        <v>125</v>
      </c>
      <c r="L38" s="2">
        <v>1339</v>
      </c>
      <c r="N38" s="2">
        <v>1007</v>
      </c>
      <c r="O38" s="2" t="s">
        <v>62</v>
      </c>
      <c r="P38" s="2" t="s">
        <v>62</v>
      </c>
      <c r="Q38" s="2">
        <v>1</v>
      </c>
      <c r="W38" s="2">
        <v>0</v>
      </c>
      <c r="X38" s="2">
        <v>1740019385</v>
      </c>
      <c r="Y38" s="2">
        <v>5.8999999999999997E-2</v>
      </c>
      <c r="AA38" s="2">
        <v>3886.23</v>
      </c>
      <c r="AB38" s="2">
        <v>0</v>
      </c>
      <c r="AC38" s="2">
        <v>0</v>
      </c>
      <c r="AD38" s="2">
        <v>0</v>
      </c>
      <c r="AE38" s="2">
        <v>3886.23</v>
      </c>
      <c r="AF38" s="2">
        <v>0</v>
      </c>
      <c r="AG38" s="2">
        <v>0</v>
      </c>
      <c r="AH38" s="2">
        <v>0</v>
      </c>
      <c r="AI38" s="2">
        <v>1</v>
      </c>
      <c r="AJ38" s="2">
        <v>1</v>
      </c>
      <c r="AK38" s="2">
        <v>1</v>
      </c>
      <c r="AL38" s="2">
        <v>1</v>
      </c>
      <c r="AN38" s="2">
        <v>0</v>
      </c>
      <c r="AO38" s="2">
        <v>1</v>
      </c>
      <c r="AP38" s="2">
        <v>0</v>
      </c>
      <c r="AQ38" s="2">
        <v>0</v>
      </c>
      <c r="AR38" s="2">
        <v>0</v>
      </c>
      <c r="AS38" s="2" t="s">
        <v>30</v>
      </c>
      <c r="AT38" s="2">
        <v>5.8999999999999997E-2</v>
      </c>
      <c r="AU38" s="2" t="s">
        <v>30</v>
      </c>
      <c r="AV38" s="2">
        <v>0</v>
      </c>
      <c r="AW38" s="2">
        <v>2</v>
      </c>
      <c r="AX38" s="2">
        <v>52261834</v>
      </c>
      <c r="AY38" s="2">
        <v>1</v>
      </c>
      <c r="AZ38" s="2">
        <v>0</v>
      </c>
      <c r="BA38" s="2">
        <v>36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CX38" s="2">
        <f>Y38*Source!I84</f>
        <v>20.532</v>
      </c>
      <c r="CY38" s="2">
        <f>AA38</f>
        <v>3886.23</v>
      </c>
      <c r="CZ38" s="2">
        <f>AE38</f>
        <v>3886.23</v>
      </c>
      <c r="DA38" s="2">
        <f>AI38</f>
        <v>1</v>
      </c>
      <c r="DB38" s="2">
        <f t="shared" si="2"/>
        <v>229.29</v>
      </c>
      <c r="DC38" s="2">
        <f t="shared" si="3"/>
        <v>0</v>
      </c>
    </row>
    <row r="39" spans="1:107" x14ac:dyDescent="0.25">
      <c r="A39" s="2">
        <f>ROW(Source!A84)</f>
        <v>84</v>
      </c>
      <c r="B39" s="2">
        <v>52261502</v>
      </c>
      <c r="C39" s="2">
        <v>52261810</v>
      </c>
      <c r="D39" s="2">
        <v>49682398</v>
      </c>
      <c r="E39" s="2">
        <v>1</v>
      </c>
      <c r="F39" s="2">
        <v>1</v>
      </c>
      <c r="G39" s="2">
        <v>29</v>
      </c>
      <c r="H39" s="2">
        <v>3</v>
      </c>
      <c r="I39" s="2" t="s">
        <v>286</v>
      </c>
      <c r="J39" s="2" t="s">
        <v>288</v>
      </c>
      <c r="K39" s="2" t="s">
        <v>287</v>
      </c>
      <c r="L39" s="2">
        <v>1339</v>
      </c>
      <c r="N39" s="2">
        <v>1007</v>
      </c>
      <c r="O39" s="2" t="s">
        <v>62</v>
      </c>
      <c r="P39" s="2" t="s">
        <v>62</v>
      </c>
      <c r="Q39" s="2">
        <v>1</v>
      </c>
      <c r="W39" s="2">
        <v>1</v>
      </c>
      <c r="X39" s="2">
        <v>820745631</v>
      </c>
      <c r="Y39" s="2">
        <v>-5.9999999999999995E-4</v>
      </c>
      <c r="AA39" s="2">
        <v>3427.48</v>
      </c>
      <c r="AB39" s="2">
        <v>0</v>
      </c>
      <c r="AC39" s="2">
        <v>0</v>
      </c>
      <c r="AD39" s="2">
        <v>0</v>
      </c>
      <c r="AE39" s="2">
        <v>3427.48</v>
      </c>
      <c r="AF39" s="2">
        <v>0</v>
      </c>
      <c r="AG39" s="2">
        <v>0</v>
      </c>
      <c r="AH39" s="2">
        <v>0</v>
      </c>
      <c r="AI39" s="2">
        <v>1</v>
      </c>
      <c r="AJ39" s="2">
        <v>1</v>
      </c>
      <c r="AK39" s="2">
        <v>1</v>
      </c>
      <c r="AL39" s="2">
        <v>1</v>
      </c>
      <c r="AN39" s="2">
        <v>0</v>
      </c>
      <c r="AO39" s="2">
        <v>1</v>
      </c>
      <c r="AP39" s="2">
        <v>0</v>
      </c>
      <c r="AQ39" s="2">
        <v>0</v>
      </c>
      <c r="AR39" s="2">
        <v>0</v>
      </c>
      <c r="AS39" s="2" t="s">
        <v>30</v>
      </c>
      <c r="AT39" s="2">
        <v>-5.9999999999999995E-4</v>
      </c>
      <c r="AU39" s="2" t="s">
        <v>30</v>
      </c>
      <c r="AV39" s="2">
        <v>0</v>
      </c>
      <c r="AW39" s="2">
        <v>2</v>
      </c>
      <c r="AX39" s="2">
        <v>52261835</v>
      </c>
      <c r="AY39" s="2">
        <v>1</v>
      </c>
      <c r="AZ39" s="2">
        <v>6144</v>
      </c>
      <c r="BA39" s="2">
        <v>37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CX39" s="2">
        <f>Y39*Source!I84</f>
        <v>-0.20880000000000001</v>
      </c>
      <c r="CY39" s="2">
        <f>AA39</f>
        <v>3427.48</v>
      </c>
      <c r="CZ39" s="2">
        <f>AE39</f>
        <v>3427.48</v>
      </c>
      <c r="DA39" s="2">
        <f>AI39</f>
        <v>1</v>
      </c>
      <c r="DB39" s="2">
        <f t="shared" si="2"/>
        <v>-2.06</v>
      </c>
      <c r="DC39" s="2">
        <f t="shared" si="3"/>
        <v>0</v>
      </c>
    </row>
    <row r="40" spans="1:107" x14ac:dyDescent="0.25">
      <c r="A40" s="2">
        <f>ROW(Source!A84)</f>
        <v>84</v>
      </c>
      <c r="B40" s="2">
        <v>52261502</v>
      </c>
      <c r="C40" s="2">
        <v>52261810</v>
      </c>
      <c r="D40" s="2">
        <v>49683146</v>
      </c>
      <c r="E40" s="2">
        <v>1</v>
      </c>
      <c r="F40" s="2">
        <v>1</v>
      </c>
      <c r="G40" s="2">
        <v>29</v>
      </c>
      <c r="H40" s="2">
        <v>3</v>
      </c>
      <c r="I40" s="2" t="s">
        <v>128</v>
      </c>
      <c r="J40" s="2" t="s">
        <v>381</v>
      </c>
      <c r="K40" s="2" t="s">
        <v>129</v>
      </c>
      <c r="L40" s="2">
        <v>1339</v>
      </c>
      <c r="N40" s="2">
        <v>1007</v>
      </c>
      <c r="O40" s="2" t="s">
        <v>62</v>
      </c>
      <c r="P40" s="2" t="s">
        <v>62</v>
      </c>
      <c r="Q40" s="2">
        <v>1</v>
      </c>
      <c r="W40" s="2">
        <v>0</v>
      </c>
      <c r="X40" s="2">
        <v>949035675</v>
      </c>
      <c r="Y40" s="2">
        <v>4.36E-2</v>
      </c>
      <c r="AA40" s="2">
        <v>7871.69</v>
      </c>
      <c r="AB40" s="2">
        <v>0</v>
      </c>
      <c r="AC40" s="2">
        <v>0</v>
      </c>
      <c r="AD40" s="2">
        <v>0</v>
      </c>
      <c r="AE40" s="2">
        <v>7871.69</v>
      </c>
      <c r="AF40" s="2">
        <v>0</v>
      </c>
      <c r="AG40" s="2">
        <v>0</v>
      </c>
      <c r="AH40" s="2">
        <v>0</v>
      </c>
      <c r="AI40" s="2">
        <v>1</v>
      </c>
      <c r="AJ40" s="2">
        <v>1</v>
      </c>
      <c r="AK40" s="2">
        <v>1</v>
      </c>
      <c r="AL40" s="2">
        <v>1</v>
      </c>
      <c r="AN40" s="2">
        <v>0</v>
      </c>
      <c r="AO40" s="2">
        <v>1</v>
      </c>
      <c r="AP40" s="2">
        <v>0</v>
      </c>
      <c r="AQ40" s="2">
        <v>0</v>
      </c>
      <c r="AR40" s="2">
        <v>0</v>
      </c>
      <c r="AS40" s="2" t="s">
        <v>30</v>
      </c>
      <c r="AT40" s="2">
        <v>4.36E-2</v>
      </c>
      <c r="AU40" s="2" t="s">
        <v>30</v>
      </c>
      <c r="AV40" s="2">
        <v>0</v>
      </c>
      <c r="AW40" s="2">
        <v>2</v>
      </c>
      <c r="AX40" s="2">
        <v>52261836</v>
      </c>
      <c r="AY40" s="2">
        <v>1</v>
      </c>
      <c r="AZ40" s="2">
        <v>0</v>
      </c>
      <c r="BA40" s="2">
        <v>38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CX40" s="2">
        <f>Y40*Source!I84</f>
        <v>15.172800000000001</v>
      </c>
      <c r="CY40" s="2">
        <f>AA40</f>
        <v>7871.69</v>
      </c>
      <c r="CZ40" s="2">
        <f>AE40</f>
        <v>7871.69</v>
      </c>
      <c r="DA40" s="2">
        <f>AI40</f>
        <v>1</v>
      </c>
      <c r="DB40" s="2">
        <f t="shared" si="2"/>
        <v>343.21</v>
      </c>
      <c r="DC40" s="2">
        <f t="shared" si="3"/>
        <v>0</v>
      </c>
    </row>
    <row r="41" spans="1:107" x14ac:dyDescent="0.25">
      <c r="A41" s="2">
        <f>ROW(Source!A84)</f>
        <v>84</v>
      </c>
      <c r="B41" s="2">
        <v>52261502</v>
      </c>
      <c r="C41" s="2">
        <v>52261810</v>
      </c>
      <c r="D41" s="2">
        <v>49677490</v>
      </c>
      <c r="E41" s="2">
        <v>29</v>
      </c>
      <c r="F41" s="2">
        <v>1</v>
      </c>
      <c r="G41" s="2">
        <v>29</v>
      </c>
      <c r="H41" s="2">
        <v>3</v>
      </c>
      <c r="I41" s="2" t="s">
        <v>289</v>
      </c>
      <c r="J41" s="2" t="s">
        <v>30</v>
      </c>
      <c r="K41" s="2" t="s">
        <v>290</v>
      </c>
      <c r="L41" s="2">
        <v>1348</v>
      </c>
      <c r="N41" s="2">
        <v>1009</v>
      </c>
      <c r="O41" s="2" t="s">
        <v>63</v>
      </c>
      <c r="P41" s="2" t="s">
        <v>63</v>
      </c>
      <c r="Q41" s="2">
        <v>1000</v>
      </c>
      <c r="W41" s="2">
        <v>1</v>
      </c>
      <c r="X41" s="2">
        <v>1489638031</v>
      </c>
      <c r="Y41" s="2">
        <v>-0.246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1</v>
      </c>
      <c r="AJ41" s="2">
        <v>1</v>
      </c>
      <c r="AK41" s="2">
        <v>1</v>
      </c>
      <c r="AL41" s="2">
        <v>1</v>
      </c>
      <c r="AN41" s="2">
        <v>0</v>
      </c>
      <c r="AO41" s="2">
        <v>1</v>
      </c>
      <c r="AP41" s="2">
        <v>0</v>
      </c>
      <c r="AQ41" s="2">
        <v>0</v>
      </c>
      <c r="AR41" s="2">
        <v>0</v>
      </c>
      <c r="AS41" s="2" t="s">
        <v>30</v>
      </c>
      <c r="AT41" s="2">
        <v>-0.246</v>
      </c>
      <c r="AU41" s="2" t="s">
        <v>30</v>
      </c>
      <c r="AV41" s="2">
        <v>0</v>
      </c>
      <c r="AW41" s="2">
        <v>2</v>
      </c>
      <c r="AX41" s="2">
        <v>52261837</v>
      </c>
      <c r="AY41" s="2">
        <v>1</v>
      </c>
      <c r="AZ41" s="2">
        <v>6144</v>
      </c>
      <c r="BA41" s="2">
        <v>39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CX41" s="2">
        <f>Y41*Source!I84</f>
        <v>-85.608000000000004</v>
      </c>
      <c r="CY41" s="2">
        <f>AA41</f>
        <v>0</v>
      </c>
      <c r="CZ41" s="2">
        <f>AE41</f>
        <v>0</v>
      </c>
      <c r="DA41" s="2">
        <f>AI41</f>
        <v>1</v>
      </c>
      <c r="DB41" s="2">
        <f t="shared" si="2"/>
        <v>0</v>
      </c>
      <c r="DC41" s="2">
        <f t="shared" si="3"/>
        <v>0</v>
      </c>
    </row>
    <row r="42" spans="1:107" x14ac:dyDescent="0.25">
      <c r="A42" s="2">
        <f>ROW(Source!A87)</f>
        <v>87</v>
      </c>
      <c r="B42" s="2">
        <v>52261502</v>
      </c>
      <c r="C42" s="2">
        <v>52261840</v>
      </c>
      <c r="D42" s="2">
        <v>49679217</v>
      </c>
      <c r="E42" s="2">
        <v>1</v>
      </c>
      <c r="F42" s="2">
        <v>1</v>
      </c>
      <c r="G42" s="2">
        <v>29</v>
      </c>
      <c r="H42" s="2">
        <v>2</v>
      </c>
      <c r="I42" s="2" t="s">
        <v>85</v>
      </c>
      <c r="J42" s="2" t="s">
        <v>374</v>
      </c>
      <c r="K42" s="2" t="s">
        <v>86</v>
      </c>
      <c r="L42" s="2">
        <v>1368</v>
      </c>
      <c r="N42" s="2">
        <v>1011</v>
      </c>
      <c r="O42" s="2" t="s">
        <v>82</v>
      </c>
      <c r="P42" s="2" t="s">
        <v>82</v>
      </c>
      <c r="Q42" s="2">
        <v>1</v>
      </c>
      <c r="W42" s="2">
        <v>0</v>
      </c>
      <c r="X42" s="2">
        <v>2102615478</v>
      </c>
      <c r="Y42" s="2">
        <v>0.02</v>
      </c>
      <c r="AA42" s="2">
        <v>0</v>
      </c>
      <c r="AB42" s="2">
        <v>1070.1199999999999</v>
      </c>
      <c r="AC42" s="2">
        <v>332.66</v>
      </c>
      <c r="AD42" s="2">
        <v>0</v>
      </c>
      <c r="AE42" s="2">
        <v>0</v>
      </c>
      <c r="AF42" s="2">
        <v>1070.1199999999999</v>
      </c>
      <c r="AG42" s="2">
        <v>332.66</v>
      </c>
      <c r="AH42" s="2">
        <v>0</v>
      </c>
      <c r="AI42" s="2">
        <v>1</v>
      </c>
      <c r="AJ42" s="2">
        <v>1</v>
      </c>
      <c r="AK42" s="2">
        <v>1</v>
      </c>
      <c r="AL42" s="2">
        <v>1</v>
      </c>
      <c r="AN42" s="2">
        <v>0</v>
      </c>
      <c r="AO42" s="2">
        <v>1</v>
      </c>
      <c r="AP42" s="2">
        <v>0</v>
      </c>
      <c r="AQ42" s="2">
        <v>0</v>
      </c>
      <c r="AR42" s="2">
        <v>0</v>
      </c>
      <c r="AS42" s="2" t="s">
        <v>30</v>
      </c>
      <c r="AT42" s="2">
        <v>0.02</v>
      </c>
      <c r="AU42" s="2" t="s">
        <v>30</v>
      </c>
      <c r="AV42" s="2">
        <v>0</v>
      </c>
      <c r="AW42" s="2">
        <v>2</v>
      </c>
      <c r="AX42" s="2">
        <v>52261845</v>
      </c>
      <c r="AY42" s="2">
        <v>1</v>
      </c>
      <c r="AZ42" s="2">
        <v>0</v>
      </c>
      <c r="BA42" s="2">
        <v>40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CX42" s="2">
        <f>Y42*Source!I87</f>
        <v>1.7121599999999999</v>
      </c>
      <c r="CY42" s="2">
        <f>AB42</f>
        <v>1070.1199999999999</v>
      </c>
      <c r="CZ42" s="2">
        <f>AF42</f>
        <v>1070.1199999999999</v>
      </c>
      <c r="DA42" s="2">
        <f>AJ42</f>
        <v>1</v>
      </c>
      <c r="DB42" s="2">
        <f t="shared" si="2"/>
        <v>21.4</v>
      </c>
      <c r="DC42" s="2">
        <f t="shared" si="3"/>
        <v>6.65</v>
      </c>
    </row>
    <row r="43" spans="1:107" x14ac:dyDescent="0.25">
      <c r="A43" s="2">
        <f>ROW(Source!A87)</f>
        <v>87</v>
      </c>
      <c r="B43" s="2">
        <v>52261502</v>
      </c>
      <c r="C43" s="2">
        <v>52261840</v>
      </c>
      <c r="D43" s="2">
        <v>49679218</v>
      </c>
      <c r="E43" s="2">
        <v>1</v>
      </c>
      <c r="F43" s="2">
        <v>1</v>
      </c>
      <c r="G43" s="2">
        <v>29</v>
      </c>
      <c r="H43" s="2">
        <v>2</v>
      </c>
      <c r="I43" s="2" t="s">
        <v>87</v>
      </c>
      <c r="J43" s="2" t="s">
        <v>375</v>
      </c>
      <c r="K43" s="2" t="s">
        <v>88</v>
      </c>
      <c r="L43" s="2">
        <v>1368</v>
      </c>
      <c r="N43" s="2">
        <v>1011</v>
      </c>
      <c r="O43" s="2" t="s">
        <v>82</v>
      </c>
      <c r="P43" s="2" t="s">
        <v>82</v>
      </c>
      <c r="Q43" s="2">
        <v>1</v>
      </c>
      <c r="W43" s="2">
        <v>0</v>
      </c>
      <c r="X43" s="2">
        <v>-421523076</v>
      </c>
      <c r="Y43" s="2">
        <v>1.7999999999999999E-2</v>
      </c>
      <c r="AA43" s="2">
        <v>0</v>
      </c>
      <c r="AB43" s="2">
        <v>1080.76</v>
      </c>
      <c r="AC43" s="2">
        <v>332.99</v>
      </c>
      <c r="AD43" s="2">
        <v>0</v>
      </c>
      <c r="AE43" s="2">
        <v>0</v>
      </c>
      <c r="AF43" s="2">
        <v>1080.76</v>
      </c>
      <c r="AG43" s="2">
        <v>332.99</v>
      </c>
      <c r="AH43" s="2">
        <v>0</v>
      </c>
      <c r="AI43" s="2">
        <v>1</v>
      </c>
      <c r="AJ43" s="2">
        <v>1</v>
      </c>
      <c r="AK43" s="2">
        <v>1</v>
      </c>
      <c r="AL43" s="2">
        <v>1</v>
      </c>
      <c r="AN43" s="2">
        <v>0</v>
      </c>
      <c r="AO43" s="2">
        <v>1</v>
      </c>
      <c r="AP43" s="2">
        <v>0</v>
      </c>
      <c r="AQ43" s="2">
        <v>0</v>
      </c>
      <c r="AR43" s="2">
        <v>0</v>
      </c>
      <c r="AS43" s="2" t="s">
        <v>30</v>
      </c>
      <c r="AT43" s="2">
        <v>1.7999999999999999E-2</v>
      </c>
      <c r="AU43" s="2" t="s">
        <v>30</v>
      </c>
      <c r="AV43" s="2">
        <v>0</v>
      </c>
      <c r="AW43" s="2">
        <v>2</v>
      </c>
      <c r="AX43" s="2">
        <v>52261846</v>
      </c>
      <c r="AY43" s="2">
        <v>1</v>
      </c>
      <c r="AZ43" s="2">
        <v>0</v>
      </c>
      <c r="BA43" s="2">
        <v>41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CX43" s="2">
        <f>Y43*Source!I87</f>
        <v>1.5409440000000001</v>
      </c>
      <c r="CY43" s="2">
        <f>AB43</f>
        <v>1080.76</v>
      </c>
      <c r="CZ43" s="2">
        <f>AF43</f>
        <v>1080.76</v>
      </c>
      <c r="DA43" s="2">
        <f>AJ43</f>
        <v>1</v>
      </c>
      <c r="DB43" s="2">
        <f t="shared" si="2"/>
        <v>19.45</v>
      </c>
      <c r="DC43" s="2">
        <f t="shared" si="3"/>
        <v>5.99</v>
      </c>
    </row>
    <row r="44" spans="1:107" x14ac:dyDescent="0.25">
      <c r="A44" s="2">
        <f>ROW(Source!A88)</f>
        <v>88</v>
      </c>
      <c r="B44" s="2">
        <v>52261502</v>
      </c>
      <c r="C44" s="2">
        <v>52261847</v>
      </c>
      <c r="D44" s="2">
        <v>49679217</v>
      </c>
      <c r="E44" s="2">
        <v>1</v>
      </c>
      <c r="F44" s="2">
        <v>1</v>
      </c>
      <c r="G44" s="2">
        <v>29</v>
      </c>
      <c r="H44" s="2">
        <v>2</v>
      </c>
      <c r="I44" s="2" t="s">
        <v>85</v>
      </c>
      <c r="J44" s="2" t="s">
        <v>374</v>
      </c>
      <c r="K44" s="2" t="s">
        <v>86</v>
      </c>
      <c r="L44" s="2">
        <v>1368</v>
      </c>
      <c r="N44" s="2">
        <v>1011</v>
      </c>
      <c r="O44" s="2" t="s">
        <v>82</v>
      </c>
      <c r="P44" s="2" t="s">
        <v>82</v>
      </c>
      <c r="Q44" s="2">
        <v>1</v>
      </c>
      <c r="W44" s="2">
        <v>0</v>
      </c>
      <c r="X44" s="2">
        <v>2102615478</v>
      </c>
      <c r="Y44" s="2">
        <v>0.52</v>
      </c>
      <c r="AA44" s="2">
        <v>0</v>
      </c>
      <c r="AB44" s="2">
        <v>1070.1199999999999</v>
      </c>
      <c r="AC44" s="2">
        <v>332.66</v>
      </c>
      <c r="AD44" s="2">
        <v>0</v>
      </c>
      <c r="AE44" s="2">
        <v>0</v>
      </c>
      <c r="AF44" s="2">
        <v>1070.1199999999999</v>
      </c>
      <c r="AG44" s="2">
        <v>332.66</v>
      </c>
      <c r="AH44" s="2">
        <v>0</v>
      </c>
      <c r="AI44" s="2">
        <v>1</v>
      </c>
      <c r="AJ44" s="2">
        <v>1</v>
      </c>
      <c r="AK44" s="2">
        <v>1</v>
      </c>
      <c r="AL44" s="2">
        <v>1</v>
      </c>
      <c r="AN44" s="2">
        <v>0</v>
      </c>
      <c r="AO44" s="2">
        <v>1</v>
      </c>
      <c r="AP44" s="2">
        <v>1</v>
      </c>
      <c r="AQ44" s="2">
        <v>0</v>
      </c>
      <c r="AR44" s="2">
        <v>0</v>
      </c>
      <c r="AS44" s="2" t="s">
        <v>30</v>
      </c>
      <c r="AT44" s="2">
        <v>0.01</v>
      </c>
      <c r="AU44" s="2" t="s">
        <v>207</v>
      </c>
      <c r="AV44" s="2">
        <v>0</v>
      </c>
      <c r="AW44" s="2">
        <v>2</v>
      </c>
      <c r="AX44" s="2">
        <v>52261852</v>
      </c>
      <c r="AY44" s="2">
        <v>1</v>
      </c>
      <c r="AZ44" s="2">
        <v>0</v>
      </c>
      <c r="BA44" s="2">
        <v>42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CX44" s="2">
        <f>Y44*Source!I88</f>
        <v>44.516159999999999</v>
      </c>
      <c r="CY44" s="2">
        <f>AB44</f>
        <v>1070.1199999999999</v>
      </c>
      <c r="CZ44" s="2">
        <f>AF44</f>
        <v>1070.1199999999999</v>
      </c>
      <c r="DA44" s="2">
        <f>AJ44</f>
        <v>1</v>
      </c>
      <c r="DB44" s="2">
        <f>ROUND((ROUND(AT44*CZ44,2)*52),6)</f>
        <v>556.4</v>
      </c>
      <c r="DC44" s="2">
        <f>ROUND((ROUND(AT44*AG44,2)*52),6)</f>
        <v>173.16</v>
      </c>
    </row>
    <row r="45" spans="1:107" x14ac:dyDescent="0.25">
      <c r="A45" s="2">
        <f>ROW(Source!A88)</f>
        <v>88</v>
      </c>
      <c r="B45" s="2">
        <v>52261502</v>
      </c>
      <c r="C45" s="2">
        <v>52261847</v>
      </c>
      <c r="D45" s="2">
        <v>49679218</v>
      </c>
      <c r="E45" s="2">
        <v>1</v>
      </c>
      <c r="F45" s="2">
        <v>1</v>
      </c>
      <c r="G45" s="2">
        <v>29</v>
      </c>
      <c r="H45" s="2">
        <v>2</v>
      </c>
      <c r="I45" s="2" t="s">
        <v>87</v>
      </c>
      <c r="J45" s="2" t="s">
        <v>375</v>
      </c>
      <c r="K45" s="2" t="s">
        <v>88</v>
      </c>
      <c r="L45" s="2">
        <v>1368</v>
      </c>
      <c r="N45" s="2">
        <v>1011</v>
      </c>
      <c r="O45" s="2" t="s">
        <v>82</v>
      </c>
      <c r="P45" s="2" t="s">
        <v>82</v>
      </c>
      <c r="Q45" s="2">
        <v>1</v>
      </c>
      <c r="W45" s="2">
        <v>0</v>
      </c>
      <c r="X45" s="2">
        <v>-421523076</v>
      </c>
      <c r="Y45" s="2">
        <v>0.41599999999999998</v>
      </c>
      <c r="AA45" s="2">
        <v>0</v>
      </c>
      <c r="AB45" s="2">
        <v>1080.76</v>
      </c>
      <c r="AC45" s="2">
        <v>332.99</v>
      </c>
      <c r="AD45" s="2">
        <v>0</v>
      </c>
      <c r="AE45" s="2">
        <v>0</v>
      </c>
      <c r="AF45" s="2">
        <v>1080.76</v>
      </c>
      <c r="AG45" s="2">
        <v>332.99</v>
      </c>
      <c r="AH45" s="2">
        <v>0</v>
      </c>
      <c r="AI45" s="2">
        <v>1</v>
      </c>
      <c r="AJ45" s="2">
        <v>1</v>
      </c>
      <c r="AK45" s="2">
        <v>1</v>
      </c>
      <c r="AL45" s="2">
        <v>1</v>
      </c>
      <c r="AN45" s="2">
        <v>0</v>
      </c>
      <c r="AO45" s="2">
        <v>1</v>
      </c>
      <c r="AP45" s="2">
        <v>1</v>
      </c>
      <c r="AQ45" s="2">
        <v>0</v>
      </c>
      <c r="AR45" s="2">
        <v>0</v>
      </c>
      <c r="AS45" s="2" t="s">
        <v>30</v>
      </c>
      <c r="AT45" s="2">
        <v>8.0000000000000002E-3</v>
      </c>
      <c r="AU45" s="2" t="s">
        <v>207</v>
      </c>
      <c r="AV45" s="2">
        <v>0</v>
      </c>
      <c r="AW45" s="2">
        <v>2</v>
      </c>
      <c r="AX45" s="2">
        <v>52261853</v>
      </c>
      <c r="AY45" s="2">
        <v>1</v>
      </c>
      <c r="AZ45" s="2">
        <v>0</v>
      </c>
      <c r="BA45" s="2">
        <v>43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CX45" s="2">
        <f>Y45*Source!I88</f>
        <v>35.612927999999997</v>
      </c>
      <c r="CY45" s="2">
        <f>AB45</f>
        <v>1080.76</v>
      </c>
      <c r="CZ45" s="2">
        <f>AF45</f>
        <v>1080.76</v>
      </c>
      <c r="DA45" s="2">
        <f>AJ45</f>
        <v>1</v>
      </c>
      <c r="DB45" s="2">
        <f>ROUND((ROUND(AT45*CZ45,2)*52),6)</f>
        <v>449.8</v>
      </c>
      <c r="DC45" s="2">
        <f>ROUND((ROUND(AT45*AG45,2)*52),6)</f>
        <v>138.32</v>
      </c>
    </row>
    <row r="46" spans="1:107" x14ac:dyDescent="0.25">
      <c r="A46" s="2">
        <f>ROW(Source!A89)</f>
        <v>89</v>
      </c>
      <c r="B46" s="2">
        <v>52261502</v>
      </c>
      <c r="C46" s="2">
        <v>52261854</v>
      </c>
      <c r="D46" s="2">
        <v>49677488</v>
      </c>
      <c r="E46" s="2">
        <v>29</v>
      </c>
      <c r="F46" s="2">
        <v>1</v>
      </c>
      <c r="G46" s="2">
        <v>29</v>
      </c>
      <c r="H46" s="2">
        <v>1</v>
      </c>
      <c r="I46" s="2" t="s">
        <v>359</v>
      </c>
      <c r="J46" s="2" t="s">
        <v>30</v>
      </c>
      <c r="K46" s="2" t="s">
        <v>360</v>
      </c>
      <c r="L46" s="2">
        <v>1191</v>
      </c>
      <c r="N46" s="2">
        <v>1013</v>
      </c>
      <c r="O46" s="2" t="s">
        <v>361</v>
      </c>
      <c r="P46" s="2" t="s">
        <v>361</v>
      </c>
      <c r="Q46" s="2">
        <v>1</v>
      </c>
      <c r="W46" s="2">
        <v>0</v>
      </c>
      <c r="X46" s="2">
        <v>476480486</v>
      </c>
      <c r="Y46" s="2">
        <v>80.27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1</v>
      </c>
      <c r="AJ46" s="2">
        <v>1</v>
      </c>
      <c r="AK46" s="2">
        <v>1</v>
      </c>
      <c r="AL46" s="2">
        <v>1</v>
      </c>
      <c r="AN46" s="2">
        <v>0</v>
      </c>
      <c r="AO46" s="2">
        <v>1</v>
      </c>
      <c r="AP46" s="2">
        <v>0</v>
      </c>
      <c r="AQ46" s="2">
        <v>0</v>
      </c>
      <c r="AR46" s="2">
        <v>0</v>
      </c>
      <c r="AS46" s="2" t="s">
        <v>30</v>
      </c>
      <c r="AT46" s="2">
        <v>80.27</v>
      </c>
      <c r="AU46" s="2" t="s">
        <v>30</v>
      </c>
      <c r="AV46" s="2">
        <v>1</v>
      </c>
      <c r="AW46" s="2">
        <v>2</v>
      </c>
      <c r="AX46" s="2">
        <v>52261863</v>
      </c>
      <c r="AY46" s="2">
        <v>1</v>
      </c>
      <c r="AZ46" s="2">
        <v>0</v>
      </c>
      <c r="BA46" s="2">
        <v>44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CX46" s="2">
        <f>Y46*Source!I89</f>
        <v>274.52339999999998</v>
      </c>
      <c r="CY46" s="2">
        <f>AD46</f>
        <v>0</v>
      </c>
      <c r="CZ46" s="2">
        <f>AH46</f>
        <v>0</v>
      </c>
      <c r="DA46" s="2">
        <f>AL46</f>
        <v>1</v>
      </c>
      <c r="DB46" s="2">
        <f t="shared" ref="DB46:DB71" si="4">ROUND(ROUND(AT46*CZ46,2),6)</f>
        <v>0</v>
      </c>
      <c r="DC46" s="2">
        <f t="shared" ref="DC46:DC71" si="5">ROUND(ROUND(AT46*AG46,2),6)</f>
        <v>0</v>
      </c>
    </row>
    <row r="47" spans="1:107" x14ac:dyDescent="0.25">
      <c r="A47" s="2">
        <f>ROW(Source!A89)</f>
        <v>89</v>
      </c>
      <c r="B47" s="2">
        <v>52261502</v>
      </c>
      <c r="C47" s="2">
        <v>52261854</v>
      </c>
      <c r="D47" s="2">
        <v>49682322</v>
      </c>
      <c r="E47" s="2">
        <v>1</v>
      </c>
      <c r="F47" s="2">
        <v>1</v>
      </c>
      <c r="G47" s="2">
        <v>29</v>
      </c>
      <c r="H47" s="2">
        <v>3</v>
      </c>
      <c r="I47" s="2" t="s">
        <v>126</v>
      </c>
      <c r="J47" s="2" t="s">
        <v>382</v>
      </c>
      <c r="K47" s="2" t="s">
        <v>127</v>
      </c>
      <c r="L47" s="2">
        <v>1339</v>
      </c>
      <c r="N47" s="2">
        <v>1007</v>
      </c>
      <c r="O47" s="2" t="s">
        <v>62</v>
      </c>
      <c r="P47" s="2" t="s">
        <v>62</v>
      </c>
      <c r="Q47" s="2">
        <v>1</v>
      </c>
      <c r="W47" s="2">
        <v>0</v>
      </c>
      <c r="X47" s="2">
        <v>-113610528</v>
      </c>
      <c r="Y47" s="2">
        <v>5.9</v>
      </c>
      <c r="AA47" s="2">
        <v>3917.3</v>
      </c>
      <c r="AB47" s="2">
        <v>0</v>
      </c>
      <c r="AC47" s="2">
        <v>0</v>
      </c>
      <c r="AD47" s="2">
        <v>0</v>
      </c>
      <c r="AE47" s="2">
        <v>3917.3</v>
      </c>
      <c r="AF47" s="2">
        <v>0</v>
      </c>
      <c r="AG47" s="2">
        <v>0</v>
      </c>
      <c r="AH47" s="2">
        <v>0</v>
      </c>
      <c r="AI47" s="2">
        <v>1</v>
      </c>
      <c r="AJ47" s="2">
        <v>1</v>
      </c>
      <c r="AK47" s="2">
        <v>1</v>
      </c>
      <c r="AL47" s="2">
        <v>1</v>
      </c>
      <c r="AN47" s="2">
        <v>0</v>
      </c>
      <c r="AO47" s="2">
        <v>1</v>
      </c>
      <c r="AP47" s="2">
        <v>0</v>
      </c>
      <c r="AQ47" s="2">
        <v>0</v>
      </c>
      <c r="AR47" s="2">
        <v>0</v>
      </c>
      <c r="AS47" s="2" t="s">
        <v>30</v>
      </c>
      <c r="AT47" s="2">
        <v>5.9</v>
      </c>
      <c r="AU47" s="2" t="s">
        <v>30</v>
      </c>
      <c r="AV47" s="2">
        <v>0</v>
      </c>
      <c r="AW47" s="2">
        <v>2</v>
      </c>
      <c r="AX47" s="2">
        <v>52261864</v>
      </c>
      <c r="AY47" s="2">
        <v>1</v>
      </c>
      <c r="AZ47" s="2">
        <v>0</v>
      </c>
      <c r="BA47" s="2">
        <v>45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CX47" s="2">
        <f>Y47*Source!I89</f>
        <v>20.178000000000001</v>
      </c>
      <c r="CY47" s="2">
        <f>AA47</f>
        <v>3917.3</v>
      </c>
      <c r="CZ47" s="2">
        <f>AE47</f>
        <v>3917.3</v>
      </c>
      <c r="DA47" s="2">
        <f>AI47</f>
        <v>1</v>
      </c>
      <c r="DB47" s="2">
        <f t="shared" si="4"/>
        <v>23112.07</v>
      </c>
      <c r="DC47" s="2">
        <f t="shared" si="5"/>
        <v>0</v>
      </c>
    </row>
    <row r="48" spans="1:107" x14ac:dyDescent="0.25">
      <c r="A48" s="2">
        <f>ROW(Source!A89)</f>
        <v>89</v>
      </c>
      <c r="B48" s="2">
        <v>52261502</v>
      </c>
      <c r="C48" s="2">
        <v>52261854</v>
      </c>
      <c r="D48" s="2">
        <v>49682398</v>
      </c>
      <c r="E48" s="2">
        <v>1</v>
      </c>
      <c r="F48" s="2">
        <v>1</v>
      </c>
      <c r="G48" s="2">
        <v>29</v>
      </c>
      <c r="H48" s="2">
        <v>3</v>
      </c>
      <c r="I48" s="2" t="s">
        <v>286</v>
      </c>
      <c r="J48" s="2" t="s">
        <v>288</v>
      </c>
      <c r="K48" s="2" t="s">
        <v>287</v>
      </c>
      <c r="L48" s="2">
        <v>1339</v>
      </c>
      <c r="N48" s="2">
        <v>1007</v>
      </c>
      <c r="O48" s="2" t="s">
        <v>62</v>
      </c>
      <c r="P48" s="2" t="s">
        <v>62</v>
      </c>
      <c r="Q48" s="2">
        <v>1</v>
      </c>
      <c r="W48" s="2">
        <v>1</v>
      </c>
      <c r="X48" s="2">
        <v>820745631</v>
      </c>
      <c r="Y48" s="2">
        <v>-0.06</v>
      </c>
      <c r="AA48" s="2">
        <v>3427.48</v>
      </c>
      <c r="AB48" s="2">
        <v>0</v>
      </c>
      <c r="AC48" s="2">
        <v>0</v>
      </c>
      <c r="AD48" s="2">
        <v>0</v>
      </c>
      <c r="AE48" s="2">
        <v>3427.48</v>
      </c>
      <c r="AF48" s="2">
        <v>0</v>
      </c>
      <c r="AG48" s="2">
        <v>0</v>
      </c>
      <c r="AH48" s="2">
        <v>0</v>
      </c>
      <c r="AI48" s="2">
        <v>1</v>
      </c>
      <c r="AJ48" s="2">
        <v>1</v>
      </c>
      <c r="AK48" s="2">
        <v>1</v>
      </c>
      <c r="AL48" s="2">
        <v>1</v>
      </c>
      <c r="AN48" s="2">
        <v>0</v>
      </c>
      <c r="AO48" s="2">
        <v>1</v>
      </c>
      <c r="AP48" s="2">
        <v>0</v>
      </c>
      <c r="AQ48" s="2">
        <v>0</v>
      </c>
      <c r="AR48" s="2">
        <v>0</v>
      </c>
      <c r="AS48" s="2" t="s">
        <v>30</v>
      </c>
      <c r="AT48" s="2">
        <v>-0.06</v>
      </c>
      <c r="AU48" s="2" t="s">
        <v>30</v>
      </c>
      <c r="AV48" s="2">
        <v>0</v>
      </c>
      <c r="AW48" s="2">
        <v>2</v>
      </c>
      <c r="AX48" s="2">
        <v>52261865</v>
      </c>
      <c r="AY48" s="2">
        <v>1</v>
      </c>
      <c r="AZ48" s="2">
        <v>6144</v>
      </c>
      <c r="BA48" s="2">
        <v>46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CX48" s="2">
        <f>Y48*Source!I89</f>
        <v>-0.20519999999999999</v>
      </c>
      <c r="CY48" s="2">
        <f>AA48</f>
        <v>3427.48</v>
      </c>
      <c r="CZ48" s="2">
        <f>AE48</f>
        <v>3427.48</v>
      </c>
      <c r="DA48" s="2">
        <f>AI48</f>
        <v>1</v>
      </c>
      <c r="DB48" s="2">
        <f t="shared" si="4"/>
        <v>-205.65</v>
      </c>
      <c r="DC48" s="2">
        <f t="shared" si="5"/>
        <v>0</v>
      </c>
    </row>
    <row r="49" spans="1:107" x14ac:dyDescent="0.25">
      <c r="A49" s="2">
        <f>ROW(Source!A89)</f>
        <v>89</v>
      </c>
      <c r="B49" s="2">
        <v>52261502</v>
      </c>
      <c r="C49" s="2">
        <v>52261854</v>
      </c>
      <c r="D49" s="2">
        <v>49683146</v>
      </c>
      <c r="E49" s="2">
        <v>1</v>
      </c>
      <c r="F49" s="2">
        <v>1</v>
      </c>
      <c r="G49" s="2">
        <v>29</v>
      </c>
      <c r="H49" s="2">
        <v>3</v>
      </c>
      <c r="I49" s="2" t="s">
        <v>128</v>
      </c>
      <c r="J49" s="2" t="s">
        <v>381</v>
      </c>
      <c r="K49" s="2" t="s">
        <v>129</v>
      </c>
      <c r="L49" s="2">
        <v>1339</v>
      </c>
      <c r="N49" s="2">
        <v>1007</v>
      </c>
      <c r="O49" s="2" t="s">
        <v>62</v>
      </c>
      <c r="P49" s="2" t="s">
        <v>62</v>
      </c>
      <c r="Q49" s="2">
        <v>1</v>
      </c>
      <c r="W49" s="2">
        <v>0</v>
      </c>
      <c r="X49" s="2">
        <v>949035675</v>
      </c>
      <c r="Y49" s="2">
        <v>4.3</v>
      </c>
      <c r="AA49" s="2">
        <v>7871.69</v>
      </c>
      <c r="AB49" s="2">
        <v>0</v>
      </c>
      <c r="AC49" s="2">
        <v>0</v>
      </c>
      <c r="AD49" s="2">
        <v>0</v>
      </c>
      <c r="AE49" s="2">
        <v>7871.69</v>
      </c>
      <c r="AF49" s="2">
        <v>0</v>
      </c>
      <c r="AG49" s="2">
        <v>0</v>
      </c>
      <c r="AH49" s="2">
        <v>0</v>
      </c>
      <c r="AI49" s="2">
        <v>1</v>
      </c>
      <c r="AJ49" s="2">
        <v>1</v>
      </c>
      <c r="AK49" s="2">
        <v>1</v>
      </c>
      <c r="AL49" s="2">
        <v>1</v>
      </c>
      <c r="AN49" s="2">
        <v>0</v>
      </c>
      <c r="AO49" s="2">
        <v>1</v>
      </c>
      <c r="AP49" s="2">
        <v>0</v>
      </c>
      <c r="AQ49" s="2">
        <v>0</v>
      </c>
      <c r="AR49" s="2">
        <v>0</v>
      </c>
      <c r="AS49" s="2" t="s">
        <v>30</v>
      </c>
      <c r="AT49" s="2">
        <v>4.3</v>
      </c>
      <c r="AU49" s="2" t="s">
        <v>30</v>
      </c>
      <c r="AV49" s="2">
        <v>0</v>
      </c>
      <c r="AW49" s="2">
        <v>2</v>
      </c>
      <c r="AX49" s="2">
        <v>52261866</v>
      </c>
      <c r="AY49" s="2">
        <v>1</v>
      </c>
      <c r="AZ49" s="2">
        <v>0</v>
      </c>
      <c r="BA49" s="2">
        <v>47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CX49" s="2">
        <f>Y49*Source!I89</f>
        <v>14.706</v>
      </c>
      <c r="CY49" s="2">
        <f>AA49</f>
        <v>7871.69</v>
      </c>
      <c r="CZ49" s="2">
        <f>AE49</f>
        <v>7871.69</v>
      </c>
      <c r="DA49" s="2">
        <f>AI49</f>
        <v>1</v>
      </c>
      <c r="DB49" s="2">
        <f t="shared" si="4"/>
        <v>33848.269999999997</v>
      </c>
      <c r="DC49" s="2">
        <f t="shared" si="5"/>
        <v>0</v>
      </c>
    </row>
    <row r="50" spans="1:107" x14ac:dyDescent="0.25">
      <c r="A50" s="2">
        <f>ROW(Source!A91)</f>
        <v>91</v>
      </c>
      <c r="B50" s="2">
        <v>52261502</v>
      </c>
      <c r="C50" s="2">
        <v>52261868</v>
      </c>
      <c r="D50" s="2">
        <v>49677488</v>
      </c>
      <c r="E50" s="2">
        <v>29</v>
      </c>
      <c r="F50" s="2">
        <v>1</v>
      </c>
      <c r="G50" s="2">
        <v>29</v>
      </c>
      <c r="H50" s="2">
        <v>1</v>
      </c>
      <c r="I50" s="2" t="s">
        <v>359</v>
      </c>
      <c r="J50" s="2" t="s">
        <v>30</v>
      </c>
      <c r="K50" s="2" t="s">
        <v>360</v>
      </c>
      <c r="L50" s="2">
        <v>1191</v>
      </c>
      <c r="N50" s="2">
        <v>1013</v>
      </c>
      <c r="O50" s="2" t="s">
        <v>361</v>
      </c>
      <c r="P50" s="2" t="s">
        <v>361</v>
      </c>
      <c r="Q50" s="2">
        <v>1</v>
      </c>
      <c r="W50" s="2">
        <v>0</v>
      </c>
      <c r="X50" s="2">
        <v>476480486</v>
      </c>
      <c r="Y50" s="2">
        <v>1.1499999999999999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1</v>
      </c>
      <c r="AJ50" s="2">
        <v>1</v>
      </c>
      <c r="AK50" s="2">
        <v>1</v>
      </c>
      <c r="AL50" s="2">
        <v>1</v>
      </c>
      <c r="AN50" s="2">
        <v>0</v>
      </c>
      <c r="AO50" s="2">
        <v>1</v>
      </c>
      <c r="AP50" s="2">
        <v>0</v>
      </c>
      <c r="AQ50" s="2">
        <v>0</v>
      </c>
      <c r="AR50" s="2">
        <v>0</v>
      </c>
      <c r="AS50" s="2" t="s">
        <v>30</v>
      </c>
      <c r="AT50" s="2">
        <v>1.1499999999999999</v>
      </c>
      <c r="AU50" s="2" t="s">
        <v>30</v>
      </c>
      <c r="AV50" s="2">
        <v>1</v>
      </c>
      <c r="AW50" s="2">
        <v>2</v>
      </c>
      <c r="AX50" s="2">
        <v>52261873</v>
      </c>
      <c r="AY50" s="2">
        <v>1</v>
      </c>
      <c r="AZ50" s="2">
        <v>0</v>
      </c>
      <c r="BA50" s="2">
        <v>48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CX50" s="2">
        <f>Y50*Source!I91</f>
        <v>7.9349999999999996</v>
      </c>
      <c r="CY50" s="2">
        <f>AD50</f>
        <v>0</v>
      </c>
      <c r="CZ50" s="2">
        <f>AH50</f>
        <v>0</v>
      </c>
      <c r="DA50" s="2">
        <f>AL50</f>
        <v>1</v>
      </c>
      <c r="DB50" s="2">
        <f t="shared" si="4"/>
        <v>0</v>
      </c>
      <c r="DC50" s="2">
        <f t="shared" si="5"/>
        <v>0</v>
      </c>
    </row>
    <row r="51" spans="1:107" x14ac:dyDescent="0.25">
      <c r="A51" s="2">
        <f>ROW(Source!A91)</f>
        <v>91</v>
      </c>
      <c r="B51" s="2">
        <v>52261502</v>
      </c>
      <c r="C51" s="2">
        <v>52261868</v>
      </c>
      <c r="D51" s="2">
        <v>49682152</v>
      </c>
      <c r="E51" s="2">
        <v>1</v>
      </c>
      <c r="F51" s="2">
        <v>1</v>
      </c>
      <c r="G51" s="2">
        <v>29</v>
      </c>
      <c r="H51" s="2">
        <v>3</v>
      </c>
      <c r="I51" s="2" t="s">
        <v>122</v>
      </c>
      <c r="J51" s="2" t="s">
        <v>383</v>
      </c>
      <c r="K51" s="2" t="s">
        <v>123</v>
      </c>
      <c r="L51" s="2">
        <v>1354</v>
      </c>
      <c r="N51" s="2">
        <v>1010</v>
      </c>
      <c r="O51" s="2" t="s">
        <v>67</v>
      </c>
      <c r="P51" s="2" t="s">
        <v>67</v>
      </c>
      <c r="Q51" s="2">
        <v>1</v>
      </c>
      <c r="W51" s="2">
        <v>0</v>
      </c>
      <c r="X51" s="2">
        <v>889322266</v>
      </c>
      <c r="Y51" s="2">
        <v>100.1</v>
      </c>
      <c r="AA51" s="2">
        <v>140.25</v>
      </c>
      <c r="AB51" s="2">
        <v>0</v>
      </c>
      <c r="AC51" s="2">
        <v>0</v>
      </c>
      <c r="AD51" s="2">
        <v>0</v>
      </c>
      <c r="AE51" s="2">
        <v>140.25</v>
      </c>
      <c r="AF51" s="2">
        <v>0</v>
      </c>
      <c r="AG51" s="2">
        <v>0</v>
      </c>
      <c r="AH51" s="2">
        <v>0</v>
      </c>
      <c r="AI51" s="2">
        <v>1</v>
      </c>
      <c r="AJ51" s="2">
        <v>1</v>
      </c>
      <c r="AK51" s="2">
        <v>1</v>
      </c>
      <c r="AL51" s="2">
        <v>1</v>
      </c>
      <c r="AN51" s="2">
        <v>0</v>
      </c>
      <c r="AO51" s="2">
        <v>1</v>
      </c>
      <c r="AP51" s="2">
        <v>0</v>
      </c>
      <c r="AQ51" s="2">
        <v>0</v>
      </c>
      <c r="AR51" s="2">
        <v>0</v>
      </c>
      <c r="AS51" s="2" t="s">
        <v>30</v>
      </c>
      <c r="AT51" s="2">
        <v>100.1</v>
      </c>
      <c r="AU51" s="2" t="s">
        <v>30</v>
      </c>
      <c r="AV51" s="2">
        <v>0</v>
      </c>
      <c r="AW51" s="2">
        <v>2</v>
      </c>
      <c r="AX51" s="2">
        <v>52261874</v>
      </c>
      <c r="AY51" s="2">
        <v>1</v>
      </c>
      <c r="AZ51" s="2">
        <v>0</v>
      </c>
      <c r="BA51" s="2">
        <v>49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CX51" s="2">
        <f>Y51*Source!I91</f>
        <v>690.69</v>
      </c>
      <c r="CY51" s="2">
        <f>AA51</f>
        <v>140.25</v>
      </c>
      <c r="CZ51" s="2">
        <f>AE51</f>
        <v>140.25</v>
      </c>
      <c r="DA51" s="2">
        <f>AI51</f>
        <v>1</v>
      </c>
      <c r="DB51" s="2">
        <f t="shared" si="4"/>
        <v>14039.03</v>
      </c>
      <c r="DC51" s="2">
        <f t="shared" si="5"/>
        <v>0</v>
      </c>
    </row>
    <row r="52" spans="1:107" x14ac:dyDescent="0.25">
      <c r="A52" s="2">
        <f>ROW(Source!A184)</f>
        <v>184</v>
      </c>
      <c r="B52" s="2">
        <v>52261502</v>
      </c>
      <c r="C52" s="2">
        <v>52264170</v>
      </c>
      <c r="D52" s="2">
        <v>49677488</v>
      </c>
      <c r="E52" s="2">
        <v>29</v>
      </c>
      <c r="F52" s="2">
        <v>1</v>
      </c>
      <c r="G52" s="2">
        <v>29</v>
      </c>
      <c r="H52" s="2">
        <v>1</v>
      </c>
      <c r="I52" s="2" t="s">
        <v>359</v>
      </c>
      <c r="J52" s="2" t="s">
        <v>30</v>
      </c>
      <c r="K52" s="2" t="s">
        <v>360</v>
      </c>
      <c r="L52" s="2">
        <v>1191</v>
      </c>
      <c r="N52" s="2">
        <v>1013</v>
      </c>
      <c r="O52" s="2" t="s">
        <v>361</v>
      </c>
      <c r="P52" s="2" t="s">
        <v>361</v>
      </c>
      <c r="Q52" s="2">
        <v>1</v>
      </c>
      <c r="W52" s="2">
        <v>0</v>
      </c>
      <c r="X52" s="2">
        <v>476480486</v>
      </c>
      <c r="Y52" s="2">
        <v>30.8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1</v>
      </c>
      <c r="AJ52" s="2">
        <v>1</v>
      </c>
      <c r="AK52" s="2">
        <v>1</v>
      </c>
      <c r="AL52" s="2">
        <v>1</v>
      </c>
      <c r="AN52" s="2">
        <v>0</v>
      </c>
      <c r="AO52" s="2">
        <v>1</v>
      </c>
      <c r="AP52" s="2">
        <v>0</v>
      </c>
      <c r="AQ52" s="2">
        <v>0</v>
      </c>
      <c r="AR52" s="2">
        <v>0</v>
      </c>
      <c r="AS52" s="2" t="s">
        <v>30</v>
      </c>
      <c r="AT52" s="2">
        <v>30.8</v>
      </c>
      <c r="AU52" s="2" t="s">
        <v>30</v>
      </c>
      <c r="AV52" s="2">
        <v>1</v>
      </c>
      <c r="AW52" s="2">
        <v>2</v>
      </c>
      <c r="AX52" s="2">
        <v>52264175</v>
      </c>
      <c r="AY52" s="2">
        <v>1</v>
      </c>
      <c r="AZ52" s="2">
        <v>0</v>
      </c>
      <c r="BA52" s="2">
        <v>50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CX52" s="2">
        <f>Y52*Source!I184</f>
        <v>69.3</v>
      </c>
      <c r="CY52" s="2">
        <f>AD52</f>
        <v>0</v>
      </c>
      <c r="CZ52" s="2">
        <f>AH52</f>
        <v>0</v>
      </c>
      <c r="DA52" s="2">
        <f>AL52</f>
        <v>1</v>
      </c>
      <c r="DB52" s="2">
        <f t="shared" si="4"/>
        <v>0</v>
      </c>
      <c r="DC52" s="2">
        <f t="shared" si="5"/>
        <v>0</v>
      </c>
    </row>
    <row r="53" spans="1:107" x14ac:dyDescent="0.25">
      <c r="A53" s="2">
        <f>ROW(Source!A184)</f>
        <v>184</v>
      </c>
      <c r="B53" s="2">
        <v>52261502</v>
      </c>
      <c r="C53" s="2">
        <v>52264170</v>
      </c>
      <c r="D53" s="2">
        <v>49679009</v>
      </c>
      <c r="E53" s="2">
        <v>1</v>
      </c>
      <c r="F53" s="2">
        <v>1</v>
      </c>
      <c r="G53" s="2">
        <v>29</v>
      </c>
      <c r="H53" s="2">
        <v>2</v>
      </c>
      <c r="I53" s="2" t="s">
        <v>134</v>
      </c>
      <c r="J53" s="2" t="s">
        <v>384</v>
      </c>
      <c r="K53" s="2" t="s">
        <v>135</v>
      </c>
      <c r="L53" s="2">
        <v>1368</v>
      </c>
      <c r="N53" s="2">
        <v>1011</v>
      </c>
      <c r="O53" s="2" t="s">
        <v>82</v>
      </c>
      <c r="P53" s="2" t="s">
        <v>82</v>
      </c>
      <c r="Q53" s="2">
        <v>1</v>
      </c>
      <c r="W53" s="2">
        <v>0</v>
      </c>
      <c r="X53" s="2">
        <v>1812925716</v>
      </c>
      <c r="Y53" s="2">
        <v>0.06</v>
      </c>
      <c r="AA53" s="2">
        <v>0</v>
      </c>
      <c r="AB53" s="2">
        <v>17.07</v>
      </c>
      <c r="AC53" s="2">
        <v>1.45</v>
      </c>
      <c r="AD53" s="2">
        <v>0</v>
      </c>
      <c r="AE53" s="2">
        <v>0</v>
      </c>
      <c r="AF53" s="2">
        <v>17.07</v>
      </c>
      <c r="AG53" s="2">
        <v>1.45</v>
      </c>
      <c r="AH53" s="2">
        <v>0</v>
      </c>
      <c r="AI53" s="2">
        <v>1</v>
      </c>
      <c r="AJ53" s="2">
        <v>1</v>
      </c>
      <c r="AK53" s="2">
        <v>1</v>
      </c>
      <c r="AL53" s="2">
        <v>1</v>
      </c>
      <c r="AN53" s="2">
        <v>0</v>
      </c>
      <c r="AO53" s="2">
        <v>1</v>
      </c>
      <c r="AP53" s="2">
        <v>0</v>
      </c>
      <c r="AQ53" s="2">
        <v>0</v>
      </c>
      <c r="AR53" s="2">
        <v>0</v>
      </c>
      <c r="AS53" s="2" t="s">
        <v>30</v>
      </c>
      <c r="AT53" s="2">
        <v>0.06</v>
      </c>
      <c r="AU53" s="2" t="s">
        <v>30</v>
      </c>
      <c r="AV53" s="2">
        <v>0</v>
      </c>
      <c r="AW53" s="2">
        <v>2</v>
      </c>
      <c r="AX53" s="2">
        <v>52264176</v>
      </c>
      <c r="AY53" s="2">
        <v>1</v>
      </c>
      <c r="AZ53" s="2">
        <v>0</v>
      </c>
      <c r="BA53" s="2">
        <v>51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CX53" s="2">
        <f>Y53*Source!I184</f>
        <v>0.13500000000000001</v>
      </c>
      <c r="CY53" s="2">
        <f>AB53</f>
        <v>17.07</v>
      </c>
      <c r="CZ53" s="2">
        <f>AF53</f>
        <v>17.07</v>
      </c>
      <c r="DA53" s="2">
        <f>AJ53</f>
        <v>1</v>
      </c>
      <c r="DB53" s="2">
        <f t="shared" si="4"/>
        <v>1.02</v>
      </c>
      <c r="DC53" s="2">
        <f t="shared" si="5"/>
        <v>0.09</v>
      </c>
    </row>
    <row r="54" spans="1:107" x14ac:dyDescent="0.25">
      <c r="A54" s="2">
        <f>ROW(Source!A184)</f>
        <v>184</v>
      </c>
      <c r="B54" s="2">
        <v>52261502</v>
      </c>
      <c r="C54" s="2">
        <v>52264170</v>
      </c>
      <c r="D54" s="2">
        <v>49678455</v>
      </c>
      <c r="E54" s="2">
        <v>1</v>
      </c>
      <c r="F54" s="2">
        <v>1</v>
      </c>
      <c r="G54" s="2">
        <v>29</v>
      </c>
      <c r="H54" s="2">
        <v>2</v>
      </c>
      <c r="I54" s="2" t="s">
        <v>136</v>
      </c>
      <c r="J54" s="2" t="s">
        <v>385</v>
      </c>
      <c r="K54" s="2" t="s">
        <v>137</v>
      </c>
      <c r="L54" s="2">
        <v>1368</v>
      </c>
      <c r="N54" s="2">
        <v>1011</v>
      </c>
      <c r="O54" s="2" t="s">
        <v>82</v>
      </c>
      <c r="P54" s="2" t="s">
        <v>82</v>
      </c>
      <c r="Q54" s="2">
        <v>1</v>
      </c>
      <c r="W54" s="2">
        <v>0</v>
      </c>
      <c r="X54" s="2">
        <v>1345285351</v>
      </c>
      <c r="Y54" s="2">
        <v>0.06</v>
      </c>
      <c r="AA54" s="2">
        <v>0</v>
      </c>
      <c r="AB54" s="2">
        <v>1060.5899999999999</v>
      </c>
      <c r="AC54" s="2">
        <v>378.83</v>
      </c>
      <c r="AD54" s="2">
        <v>0</v>
      </c>
      <c r="AE54" s="2">
        <v>0</v>
      </c>
      <c r="AF54" s="2">
        <v>1060.5899999999999</v>
      </c>
      <c r="AG54" s="2">
        <v>378.83</v>
      </c>
      <c r="AH54" s="2">
        <v>0</v>
      </c>
      <c r="AI54" s="2">
        <v>1</v>
      </c>
      <c r="AJ54" s="2">
        <v>1</v>
      </c>
      <c r="AK54" s="2">
        <v>1</v>
      </c>
      <c r="AL54" s="2">
        <v>1</v>
      </c>
      <c r="AN54" s="2">
        <v>0</v>
      </c>
      <c r="AO54" s="2">
        <v>1</v>
      </c>
      <c r="AP54" s="2">
        <v>0</v>
      </c>
      <c r="AQ54" s="2">
        <v>0</v>
      </c>
      <c r="AR54" s="2">
        <v>0</v>
      </c>
      <c r="AS54" s="2" t="s">
        <v>30</v>
      </c>
      <c r="AT54" s="2">
        <v>0.06</v>
      </c>
      <c r="AU54" s="2" t="s">
        <v>30</v>
      </c>
      <c r="AV54" s="2">
        <v>0</v>
      </c>
      <c r="AW54" s="2">
        <v>2</v>
      </c>
      <c r="AX54" s="2">
        <v>52264177</v>
      </c>
      <c r="AY54" s="2">
        <v>1</v>
      </c>
      <c r="AZ54" s="2">
        <v>0</v>
      </c>
      <c r="BA54" s="2">
        <v>52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CX54" s="2">
        <f>Y54*Source!I184</f>
        <v>0.13500000000000001</v>
      </c>
      <c r="CY54" s="2">
        <f>AB54</f>
        <v>1060.5899999999999</v>
      </c>
      <c r="CZ54" s="2">
        <f>AF54</f>
        <v>1060.5899999999999</v>
      </c>
      <c r="DA54" s="2">
        <f>AJ54</f>
        <v>1</v>
      </c>
      <c r="DB54" s="2">
        <f t="shared" si="4"/>
        <v>63.64</v>
      </c>
      <c r="DC54" s="2">
        <f t="shared" si="5"/>
        <v>22.73</v>
      </c>
    </row>
    <row r="55" spans="1:107" x14ac:dyDescent="0.25">
      <c r="A55" s="2">
        <f>ROW(Source!A184)</f>
        <v>184</v>
      </c>
      <c r="B55" s="2">
        <v>52261502</v>
      </c>
      <c r="C55" s="2">
        <v>52264170</v>
      </c>
      <c r="D55" s="2">
        <v>49683083</v>
      </c>
      <c r="E55" s="2">
        <v>1</v>
      </c>
      <c r="F55" s="2">
        <v>1</v>
      </c>
      <c r="G55" s="2">
        <v>29</v>
      </c>
      <c r="H55" s="2">
        <v>3</v>
      </c>
      <c r="I55" s="2" t="s">
        <v>141</v>
      </c>
      <c r="J55" s="2" t="s">
        <v>386</v>
      </c>
      <c r="K55" s="2" t="s">
        <v>142</v>
      </c>
      <c r="L55" s="2">
        <v>1339</v>
      </c>
      <c r="N55" s="2">
        <v>1007</v>
      </c>
      <c r="O55" s="2" t="s">
        <v>62</v>
      </c>
      <c r="P55" s="2" t="s">
        <v>62</v>
      </c>
      <c r="Q55" s="2">
        <v>1</v>
      </c>
      <c r="W55" s="2">
        <v>0</v>
      </c>
      <c r="X55" s="2">
        <v>-934355594</v>
      </c>
      <c r="Y55" s="2">
        <v>15</v>
      </c>
      <c r="AA55" s="2">
        <v>790.5</v>
      </c>
      <c r="AB55" s="2">
        <v>0</v>
      </c>
      <c r="AC55" s="2">
        <v>0</v>
      </c>
      <c r="AD55" s="2">
        <v>0</v>
      </c>
      <c r="AE55" s="2">
        <v>790.5</v>
      </c>
      <c r="AF55" s="2">
        <v>0</v>
      </c>
      <c r="AG55" s="2">
        <v>0</v>
      </c>
      <c r="AH55" s="2">
        <v>0</v>
      </c>
      <c r="AI55" s="2">
        <v>1</v>
      </c>
      <c r="AJ55" s="2">
        <v>1</v>
      </c>
      <c r="AK55" s="2">
        <v>1</v>
      </c>
      <c r="AL55" s="2">
        <v>1</v>
      </c>
      <c r="AN55" s="2">
        <v>0</v>
      </c>
      <c r="AO55" s="2">
        <v>1</v>
      </c>
      <c r="AP55" s="2">
        <v>0</v>
      </c>
      <c r="AQ55" s="2">
        <v>0</v>
      </c>
      <c r="AR55" s="2">
        <v>0</v>
      </c>
      <c r="AS55" s="2" t="s">
        <v>30</v>
      </c>
      <c r="AT55" s="2">
        <v>15</v>
      </c>
      <c r="AU55" s="2" t="s">
        <v>30</v>
      </c>
      <c r="AV55" s="2">
        <v>0</v>
      </c>
      <c r="AW55" s="2">
        <v>2</v>
      </c>
      <c r="AX55" s="2">
        <v>52264178</v>
      </c>
      <c r="AY55" s="2">
        <v>1</v>
      </c>
      <c r="AZ55" s="2">
        <v>0</v>
      </c>
      <c r="BA55" s="2">
        <v>53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CX55" s="2">
        <f>Y55*Source!I184</f>
        <v>33.75</v>
      </c>
      <c r="CY55" s="2">
        <f>AA55</f>
        <v>790.5</v>
      </c>
      <c r="CZ55" s="2">
        <f>AE55</f>
        <v>790.5</v>
      </c>
      <c r="DA55" s="2">
        <f>AI55</f>
        <v>1</v>
      </c>
      <c r="DB55" s="2">
        <f t="shared" si="4"/>
        <v>11857.5</v>
      </c>
      <c r="DC55" s="2">
        <f t="shared" si="5"/>
        <v>0</v>
      </c>
    </row>
    <row r="56" spans="1:107" x14ac:dyDescent="0.25">
      <c r="A56" s="2">
        <f>ROW(Source!A185)</f>
        <v>185</v>
      </c>
      <c r="B56" s="2">
        <v>52261502</v>
      </c>
      <c r="C56" s="2">
        <v>52264179</v>
      </c>
      <c r="D56" s="2">
        <v>49677488</v>
      </c>
      <c r="E56" s="2">
        <v>29</v>
      </c>
      <c r="F56" s="2">
        <v>1</v>
      </c>
      <c r="G56" s="2">
        <v>29</v>
      </c>
      <c r="H56" s="2">
        <v>1</v>
      </c>
      <c r="I56" s="2" t="s">
        <v>359</v>
      </c>
      <c r="J56" s="2" t="s">
        <v>30</v>
      </c>
      <c r="K56" s="2" t="s">
        <v>360</v>
      </c>
      <c r="L56" s="2">
        <v>1191</v>
      </c>
      <c r="N56" s="2">
        <v>1013</v>
      </c>
      <c r="O56" s="2" t="s">
        <v>361</v>
      </c>
      <c r="P56" s="2" t="s">
        <v>361</v>
      </c>
      <c r="Q56" s="2">
        <v>1</v>
      </c>
      <c r="W56" s="2">
        <v>0</v>
      </c>
      <c r="X56" s="2">
        <v>476480486</v>
      </c>
      <c r="Y56" s="2">
        <v>46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1</v>
      </c>
      <c r="AJ56" s="2">
        <v>1</v>
      </c>
      <c r="AK56" s="2">
        <v>1</v>
      </c>
      <c r="AL56" s="2">
        <v>1</v>
      </c>
      <c r="AN56" s="2">
        <v>0</v>
      </c>
      <c r="AO56" s="2">
        <v>1</v>
      </c>
      <c r="AP56" s="2">
        <v>0</v>
      </c>
      <c r="AQ56" s="2">
        <v>0</v>
      </c>
      <c r="AR56" s="2">
        <v>0</v>
      </c>
      <c r="AS56" s="2" t="s">
        <v>30</v>
      </c>
      <c r="AT56" s="2">
        <v>46</v>
      </c>
      <c r="AU56" s="2" t="s">
        <v>30</v>
      </c>
      <c r="AV56" s="2">
        <v>1</v>
      </c>
      <c r="AW56" s="2">
        <v>2</v>
      </c>
      <c r="AX56" s="2">
        <v>52264182</v>
      </c>
      <c r="AY56" s="2">
        <v>1</v>
      </c>
      <c r="AZ56" s="2">
        <v>0</v>
      </c>
      <c r="BA56" s="2">
        <v>54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CX56" s="2">
        <f>Y56*Source!I185</f>
        <v>34.5</v>
      </c>
      <c r="CY56" s="2">
        <f>AD56</f>
        <v>0</v>
      </c>
      <c r="CZ56" s="2">
        <f>AH56</f>
        <v>0</v>
      </c>
      <c r="DA56" s="2">
        <f>AL56</f>
        <v>1</v>
      </c>
      <c r="DB56" s="2">
        <f t="shared" si="4"/>
        <v>0</v>
      </c>
      <c r="DC56" s="2">
        <f t="shared" si="5"/>
        <v>0</v>
      </c>
    </row>
    <row r="57" spans="1:107" x14ac:dyDescent="0.25">
      <c r="A57" s="2">
        <f>ROW(Source!A185)</f>
        <v>185</v>
      </c>
      <c r="B57" s="2">
        <v>52261502</v>
      </c>
      <c r="C57" s="2">
        <v>52264179</v>
      </c>
      <c r="D57" s="2">
        <v>49683083</v>
      </c>
      <c r="E57" s="2">
        <v>1</v>
      </c>
      <c r="F57" s="2">
        <v>1</v>
      </c>
      <c r="G57" s="2">
        <v>29</v>
      </c>
      <c r="H57" s="2">
        <v>3</v>
      </c>
      <c r="I57" s="2" t="s">
        <v>141</v>
      </c>
      <c r="J57" s="2" t="s">
        <v>386</v>
      </c>
      <c r="K57" s="2" t="s">
        <v>142</v>
      </c>
      <c r="L57" s="2">
        <v>1339</v>
      </c>
      <c r="N57" s="2">
        <v>1007</v>
      </c>
      <c r="O57" s="2" t="s">
        <v>62</v>
      </c>
      <c r="P57" s="2" t="s">
        <v>62</v>
      </c>
      <c r="Q57" s="2">
        <v>1</v>
      </c>
      <c r="W57" s="2">
        <v>0</v>
      </c>
      <c r="X57" s="2">
        <v>-934355594</v>
      </c>
      <c r="Y57" s="2">
        <v>15</v>
      </c>
      <c r="AA57" s="2">
        <v>790.5</v>
      </c>
      <c r="AB57" s="2">
        <v>0</v>
      </c>
      <c r="AC57" s="2">
        <v>0</v>
      </c>
      <c r="AD57" s="2">
        <v>0</v>
      </c>
      <c r="AE57" s="2">
        <v>790.5</v>
      </c>
      <c r="AF57" s="2">
        <v>0</v>
      </c>
      <c r="AG57" s="2">
        <v>0</v>
      </c>
      <c r="AH57" s="2">
        <v>0</v>
      </c>
      <c r="AI57" s="2">
        <v>1</v>
      </c>
      <c r="AJ57" s="2">
        <v>1</v>
      </c>
      <c r="AK57" s="2">
        <v>1</v>
      </c>
      <c r="AL57" s="2">
        <v>1</v>
      </c>
      <c r="AN57" s="2">
        <v>0</v>
      </c>
      <c r="AO57" s="2">
        <v>1</v>
      </c>
      <c r="AP57" s="2">
        <v>0</v>
      </c>
      <c r="AQ57" s="2">
        <v>0</v>
      </c>
      <c r="AR57" s="2">
        <v>0</v>
      </c>
      <c r="AS57" s="2" t="s">
        <v>30</v>
      </c>
      <c r="AT57" s="2">
        <v>15</v>
      </c>
      <c r="AU57" s="2" t="s">
        <v>30</v>
      </c>
      <c r="AV57" s="2">
        <v>0</v>
      </c>
      <c r="AW57" s="2">
        <v>2</v>
      </c>
      <c r="AX57" s="2">
        <v>52264183</v>
      </c>
      <c r="AY57" s="2">
        <v>1</v>
      </c>
      <c r="AZ57" s="2">
        <v>0</v>
      </c>
      <c r="BA57" s="2">
        <v>55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CX57" s="2">
        <f>Y57*Source!I185</f>
        <v>11.25</v>
      </c>
      <c r="CY57" s="2">
        <f>AA57</f>
        <v>790.5</v>
      </c>
      <c r="CZ57" s="2">
        <f>AE57</f>
        <v>790.5</v>
      </c>
      <c r="DA57" s="2">
        <f>AI57</f>
        <v>1</v>
      </c>
      <c r="DB57" s="2">
        <f t="shared" si="4"/>
        <v>11857.5</v>
      </c>
      <c r="DC57" s="2">
        <f t="shared" si="5"/>
        <v>0</v>
      </c>
    </row>
    <row r="58" spans="1:107" x14ac:dyDescent="0.25">
      <c r="A58" s="2">
        <f>ROW(Source!A186)</f>
        <v>186</v>
      </c>
      <c r="B58" s="2">
        <v>52261502</v>
      </c>
      <c r="C58" s="2">
        <v>52264184</v>
      </c>
      <c r="D58" s="2">
        <v>49677488</v>
      </c>
      <c r="E58" s="2">
        <v>29</v>
      </c>
      <c r="F58" s="2">
        <v>1</v>
      </c>
      <c r="G58" s="2">
        <v>29</v>
      </c>
      <c r="H58" s="2">
        <v>1</v>
      </c>
      <c r="I58" s="2" t="s">
        <v>359</v>
      </c>
      <c r="J58" s="2" t="s">
        <v>30</v>
      </c>
      <c r="K58" s="2" t="s">
        <v>360</v>
      </c>
      <c r="L58" s="2">
        <v>1191</v>
      </c>
      <c r="N58" s="2">
        <v>1013</v>
      </c>
      <c r="O58" s="2" t="s">
        <v>361</v>
      </c>
      <c r="P58" s="2" t="s">
        <v>361</v>
      </c>
      <c r="Q58" s="2">
        <v>1</v>
      </c>
      <c r="W58" s="2">
        <v>0</v>
      </c>
      <c r="X58" s="2">
        <v>476480486</v>
      </c>
      <c r="Y58" s="2">
        <v>6.29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1</v>
      </c>
      <c r="AJ58" s="2">
        <v>1</v>
      </c>
      <c r="AK58" s="2">
        <v>1</v>
      </c>
      <c r="AL58" s="2">
        <v>1</v>
      </c>
      <c r="AN58" s="2">
        <v>0</v>
      </c>
      <c r="AO58" s="2">
        <v>1</v>
      </c>
      <c r="AP58" s="2">
        <v>0</v>
      </c>
      <c r="AQ58" s="2">
        <v>0</v>
      </c>
      <c r="AR58" s="2">
        <v>0</v>
      </c>
      <c r="AS58" s="2" t="s">
        <v>30</v>
      </c>
      <c r="AT58" s="2">
        <v>6.29</v>
      </c>
      <c r="AU58" s="2" t="s">
        <v>30</v>
      </c>
      <c r="AV58" s="2">
        <v>1</v>
      </c>
      <c r="AW58" s="2">
        <v>2</v>
      </c>
      <c r="AX58" s="2">
        <v>52264187</v>
      </c>
      <c r="AY58" s="2">
        <v>1</v>
      </c>
      <c r="AZ58" s="2">
        <v>0</v>
      </c>
      <c r="BA58" s="2">
        <v>56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CX58" s="2">
        <f>Y58*Source!I186</f>
        <v>-18.87</v>
      </c>
      <c r="CY58" s="2">
        <f>AD58</f>
        <v>0</v>
      </c>
      <c r="CZ58" s="2">
        <f>AH58</f>
        <v>0</v>
      </c>
      <c r="DA58" s="2">
        <f>AL58</f>
        <v>1</v>
      </c>
      <c r="DB58" s="2">
        <f t="shared" si="4"/>
        <v>0</v>
      </c>
      <c r="DC58" s="2">
        <f t="shared" si="5"/>
        <v>0</v>
      </c>
    </row>
    <row r="59" spans="1:107" x14ac:dyDescent="0.25">
      <c r="A59" s="2">
        <f>ROW(Source!A186)</f>
        <v>186</v>
      </c>
      <c r="B59" s="2">
        <v>52261502</v>
      </c>
      <c r="C59" s="2">
        <v>52264184</v>
      </c>
      <c r="D59" s="2">
        <v>49683083</v>
      </c>
      <c r="E59" s="2">
        <v>1</v>
      </c>
      <c r="F59" s="2">
        <v>1</v>
      </c>
      <c r="G59" s="2">
        <v>29</v>
      </c>
      <c r="H59" s="2">
        <v>3</v>
      </c>
      <c r="I59" s="2" t="s">
        <v>141</v>
      </c>
      <c r="J59" s="2" t="s">
        <v>386</v>
      </c>
      <c r="K59" s="2" t="s">
        <v>142</v>
      </c>
      <c r="L59" s="2">
        <v>1339</v>
      </c>
      <c r="N59" s="2">
        <v>1007</v>
      </c>
      <c r="O59" s="2" t="s">
        <v>62</v>
      </c>
      <c r="P59" s="2" t="s">
        <v>62</v>
      </c>
      <c r="Q59" s="2">
        <v>1</v>
      </c>
      <c r="W59" s="2">
        <v>0</v>
      </c>
      <c r="X59" s="2">
        <v>-934355594</v>
      </c>
      <c r="Y59" s="2">
        <v>5</v>
      </c>
      <c r="AA59" s="2">
        <v>790.5</v>
      </c>
      <c r="AB59" s="2">
        <v>0</v>
      </c>
      <c r="AC59" s="2">
        <v>0</v>
      </c>
      <c r="AD59" s="2">
        <v>0</v>
      </c>
      <c r="AE59" s="2">
        <v>790.5</v>
      </c>
      <c r="AF59" s="2">
        <v>0</v>
      </c>
      <c r="AG59" s="2">
        <v>0</v>
      </c>
      <c r="AH59" s="2">
        <v>0</v>
      </c>
      <c r="AI59" s="2">
        <v>1</v>
      </c>
      <c r="AJ59" s="2">
        <v>1</v>
      </c>
      <c r="AK59" s="2">
        <v>1</v>
      </c>
      <c r="AL59" s="2">
        <v>1</v>
      </c>
      <c r="AN59" s="2">
        <v>0</v>
      </c>
      <c r="AO59" s="2">
        <v>1</v>
      </c>
      <c r="AP59" s="2">
        <v>0</v>
      </c>
      <c r="AQ59" s="2">
        <v>0</v>
      </c>
      <c r="AR59" s="2">
        <v>0</v>
      </c>
      <c r="AS59" s="2" t="s">
        <v>30</v>
      </c>
      <c r="AT59" s="2">
        <v>5</v>
      </c>
      <c r="AU59" s="2" t="s">
        <v>30</v>
      </c>
      <c r="AV59" s="2">
        <v>0</v>
      </c>
      <c r="AW59" s="2">
        <v>2</v>
      </c>
      <c r="AX59" s="2">
        <v>52264188</v>
      </c>
      <c r="AY59" s="2">
        <v>1</v>
      </c>
      <c r="AZ59" s="2">
        <v>0</v>
      </c>
      <c r="BA59" s="2">
        <v>57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CX59" s="2">
        <f>Y59*Source!I186</f>
        <v>-15</v>
      </c>
      <c r="CY59" s="2">
        <f>AA59</f>
        <v>790.5</v>
      </c>
      <c r="CZ59" s="2">
        <f>AE59</f>
        <v>790.5</v>
      </c>
      <c r="DA59" s="2">
        <f>AI59</f>
        <v>1</v>
      </c>
      <c r="DB59" s="2">
        <f t="shared" si="4"/>
        <v>3952.5</v>
      </c>
      <c r="DC59" s="2">
        <f t="shared" si="5"/>
        <v>0</v>
      </c>
    </row>
    <row r="60" spans="1:107" x14ac:dyDescent="0.25">
      <c r="A60" s="2">
        <f>ROW(Source!A187)</f>
        <v>187</v>
      </c>
      <c r="B60" s="2">
        <v>52261502</v>
      </c>
      <c r="C60" s="2">
        <v>52264189</v>
      </c>
      <c r="D60" s="2">
        <v>49677488</v>
      </c>
      <c r="E60" s="2">
        <v>29</v>
      </c>
      <c r="F60" s="2">
        <v>1</v>
      </c>
      <c r="G60" s="2">
        <v>29</v>
      </c>
      <c r="H60" s="2">
        <v>1</v>
      </c>
      <c r="I60" s="2" t="s">
        <v>359</v>
      </c>
      <c r="J60" s="2" t="s">
        <v>30</v>
      </c>
      <c r="K60" s="2" t="s">
        <v>360</v>
      </c>
      <c r="L60" s="2">
        <v>1191</v>
      </c>
      <c r="N60" s="2">
        <v>1013</v>
      </c>
      <c r="O60" s="2" t="s">
        <v>361</v>
      </c>
      <c r="P60" s="2" t="s">
        <v>361</v>
      </c>
      <c r="Q60" s="2">
        <v>1</v>
      </c>
      <c r="W60" s="2">
        <v>0</v>
      </c>
      <c r="X60" s="2">
        <v>476480486</v>
      </c>
      <c r="Y60" s="2">
        <v>6.04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1</v>
      </c>
      <c r="AJ60" s="2">
        <v>1</v>
      </c>
      <c r="AK60" s="2">
        <v>1</v>
      </c>
      <c r="AL60" s="2">
        <v>1</v>
      </c>
      <c r="AN60" s="2">
        <v>0</v>
      </c>
      <c r="AO60" s="2">
        <v>1</v>
      </c>
      <c r="AP60" s="2">
        <v>0</v>
      </c>
      <c r="AQ60" s="2">
        <v>0</v>
      </c>
      <c r="AR60" s="2">
        <v>0</v>
      </c>
      <c r="AS60" s="2" t="s">
        <v>30</v>
      </c>
      <c r="AT60" s="2">
        <v>6.04</v>
      </c>
      <c r="AU60" s="2" t="s">
        <v>30</v>
      </c>
      <c r="AV60" s="2">
        <v>1</v>
      </c>
      <c r="AW60" s="2">
        <v>2</v>
      </c>
      <c r="AX60" s="2">
        <v>52264193</v>
      </c>
      <c r="AY60" s="2">
        <v>1</v>
      </c>
      <c r="AZ60" s="2">
        <v>0</v>
      </c>
      <c r="BA60" s="2">
        <v>58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CX60" s="2">
        <f>Y60*Source!I187</f>
        <v>18.12</v>
      </c>
      <c r="CY60" s="2">
        <f>AD60</f>
        <v>0</v>
      </c>
      <c r="CZ60" s="2">
        <f>AH60</f>
        <v>0</v>
      </c>
      <c r="DA60" s="2">
        <f>AL60</f>
        <v>1</v>
      </c>
      <c r="DB60" s="2">
        <f t="shared" si="4"/>
        <v>0</v>
      </c>
      <c r="DC60" s="2">
        <f t="shared" si="5"/>
        <v>0</v>
      </c>
    </row>
    <row r="61" spans="1:107" x14ac:dyDescent="0.25">
      <c r="A61" s="2">
        <f>ROW(Source!A187)</f>
        <v>187</v>
      </c>
      <c r="B61" s="2">
        <v>52261502</v>
      </c>
      <c r="C61" s="2">
        <v>52264189</v>
      </c>
      <c r="D61" s="2">
        <v>49681352</v>
      </c>
      <c r="E61" s="2">
        <v>1</v>
      </c>
      <c r="F61" s="2">
        <v>1</v>
      </c>
      <c r="G61" s="2">
        <v>29</v>
      </c>
      <c r="H61" s="2">
        <v>3</v>
      </c>
      <c r="I61" s="2" t="s">
        <v>111</v>
      </c>
      <c r="J61" s="2" t="s">
        <v>367</v>
      </c>
      <c r="K61" s="2" t="s">
        <v>112</v>
      </c>
      <c r="L61" s="2">
        <v>1339</v>
      </c>
      <c r="N61" s="2">
        <v>1007</v>
      </c>
      <c r="O61" s="2" t="s">
        <v>62</v>
      </c>
      <c r="P61" s="2" t="s">
        <v>62</v>
      </c>
      <c r="Q61" s="2">
        <v>1</v>
      </c>
      <c r="W61" s="2">
        <v>0</v>
      </c>
      <c r="X61" s="2">
        <v>1995837903</v>
      </c>
      <c r="Y61" s="2">
        <v>10</v>
      </c>
      <c r="AA61" s="2">
        <v>36.31</v>
      </c>
      <c r="AB61" s="2">
        <v>0</v>
      </c>
      <c r="AC61" s="2">
        <v>0</v>
      </c>
      <c r="AD61" s="2">
        <v>0</v>
      </c>
      <c r="AE61" s="2">
        <v>36.31</v>
      </c>
      <c r="AF61" s="2">
        <v>0</v>
      </c>
      <c r="AG61" s="2">
        <v>0</v>
      </c>
      <c r="AH61" s="2">
        <v>0</v>
      </c>
      <c r="AI61" s="2">
        <v>1</v>
      </c>
      <c r="AJ61" s="2">
        <v>1</v>
      </c>
      <c r="AK61" s="2">
        <v>1</v>
      </c>
      <c r="AL61" s="2">
        <v>1</v>
      </c>
      <c r="AN61" s="2">
        <v>0</v>
      </c>
      <c r="AO61" s="2">
        <v>1</v>
      </c>
      <c r="AP61" s="2">
        <v>0</v>
      </c>
      <c r="AQ61" s="2">
        <v>0</v>
      </c>
      <c r="AR61" s="2">
        <v>0</v>
      </c>
      <c r="AS61" s="2" t="s">
        <v>30</v>
      </c>
      <c r="AT61" s="2">
        <v>10</v>
      </c>
      <c r="AU61" s="2" t="s">
        <v>30</v>
      </c>
      <c r="AV61" s="2">
        <v>0</v>
      </c>
      <c r="AW61" s="2">
        <v>2</v>
      </c>
      <c r="AX61" s="2">
        <v>52264194</v>
      </c>
      <c r="AY61" s="2">
        <v>1</v>
      </c>
      <c r="AZ61" s="2">
        <v>0</v>
      </c>
      <c r="BA61" s="2">
        <v>59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CX61" s="2">
        <f>Y61*Source!I187</f>
        <v>30</v>
      </c>
      <c r="CY61" s="2">
        <f>AA61</f>
        <v>36.31</v>
      </c>
      <c r="CZ61" s="2">
        <f>AE61</f>
        <v>36.31</v>
      </c>
      <c r="DA61" s="2">
        <f>AI61</f>
        <v>1</v>
      </c>
      <c r="DB61" s="2">
        <f t="shared" si="4"/>
        <v>363.1</v>
      </c>
      <c r="DC61" s="2">
        <f t="shared" si="5"/>
        <v>0</v>
      </c>
    </row>
    <row r="62" spans="1:107" x14ac:dyDescent="0.25">
      <c r="A62" s="2">
        <f>ROW(Source!A187)</f>
        <v>187</v>
      </c>
      <c r="B62" s="2">
        <v>52261502</v>
      </c>
      <c r="C62" s="2">
        <v>52264189</v>
      </c>
      <c r="D62" s="2">
        <v>49683088</v>
      </c>
      <c r="E62" s="2">
        <v>1</v>
      </c>
      <c r="F62" s="2">
        <v>1</v>
      </c>
      <c r="G62" s="2">
        <v>29</v>
      </c>
      <c r="H62" s="2">
        <v>3</v>
      </c>
      <c r="I62" s="2" t="s">
        <v>138</v>
      </c>
      <c r="J62" s="2" t="s">
        <v>387</v>
      </c>
      <c r="K62" s="2" t="s">
        <v>139</v>
      </c>
      <c r="L62" s="2">
        <v>1346</v>
      </c>
      <c r="N62" s="2">
        <v>1009</v>
      </c>
      <c r="O62" s="2" t="s">
        <v>140</v>
      </c>
      <c r="P62" s="2" t="s">
        <v>140</v>
      </c>
      <c r="Q62" s="2">
        <v>1</v>
      </c>
      <c r="W62" s="2">
        <v>0</v>
      </c>
      <c r="X62" s="2">
        <v>166899861</v>
      </c>
      <c r="Y62" s="2">
        <v>4</v>
      </c>
      <c r="AA62" s="2">
        <v>331.36</v>
      </c>
      <c r="AB62" s="2">
        <v>0</v>
      </c>
      <c r="AC62" s="2">
        <v>0</v>
      </c>
      <c r="AD62" s="2">
        <v>0</v>
      </c>
      <c r="AE62" s="2">
        <v>331.36</v>
      </c>
      <c r="AF62" s="2">
        <v>0</v>
      </c>
      <c r="AG62" s="2">
        <v>0</v>
      </c>
      <c r="AH62" s="2">
        <v>0</v>
      </c>
      <c r="AI62" s="2">
        <v>1</v>
      </c>
      <c r="AJ62" s="2">
        <v>1</v>
      </c>
      <c r="AK62" s="2">
        <v>1</v>
      </c>
      <c r="AL62" s="2">
        <v>1</v>
      </c>
      <c r="AN62" s="2">
        <v>0</v>
      </c>
      <c r="AO62" s="2">
        <v>1</v>
      </c>
      <c r="AP62" s="2">
        <v>0</v>
      </c>
      <c r="AQ62" s="2">
        <v>0</v>
      </c>
      <c r="AR62" s="2">
        <v>0</v>
      </c>
      <c r="AS62" s="2" t="s">
        <v>30</v>
      </c>
      <c r="AT62" s="2">
        <v>4</v>
      </c>
      <c r="AU62" s="2" t="s">
        <v>30</v>
      </c>
      <c r="AV62" s="2">
        <v>0</v>
      </c>
      <c r="AW62" s="2">
        <v>2</v>
      </c>
      <c r="AX62" s="2">
        <v>52264195</v>
      </c>
      <c r="AY62" s="2">
        <v>1</v>
      </c>
      <c r="AZ62" s="2">
        <v>0</v>
      </c>
      <c r="BA62" s="2">
        <v>60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CX62" s="2">
        <f>Y62*Source!I187</f>
        <v>12</v>
      </c>
      <c r="CY62" s="2">
        <f>AA62</f>
        <v>331.36</v>
      </c>
      <c r="CZ62" s="2">
        <f>AE62</f>
        <v>331.36</v>
      </c>
      <c r="DA62" s="2">
        <f>AI62</f>
        <v>1</v>
      </c>
      <c r="DB62" s="2">
        <f t="shared" si="4"/>
        <v>1325.44</v>
      </c>
      <c r="DC62" s="2">
        <f t="shared" si="5"/>
        <v>0</v>
      </c>
    </row>
    <row r="63" spans="1:107" x14ac:dyDescent="0.25">
      <c r="A63" s="2">
        <f>ROW(Source!A223)</f>
        <v>223</v>
      </c>
      <c r="B63" s="2">
        <v>52261502</v>
      </c>
      <c r="C63" s="2">
        <v>52264304</v>
      </c>
      <c r="D63" s="2">
        <v>49677488</v>
      </c>
      <c r="E63" s="2">
        <v>29</v>
      </c>
      <c r="F63" s="2">
        <v>1</v>
      </c>
      <c r="G63" s="2">
        <v>29</v>
      </c>
      <c r="H63" s="2">
        <v>1</v>
      </c>
      <c r="I63" s="2" t="s">
        <v>359</v>
      </c>
      <c r="J63" s="2" t="s">
        <v>30</v>
      </c>
      <c r="K63" s="2" t="s">
        <v>360</v>
      </c>
      <c r="L63" s="2">
        <v>1191</v>
      </c>
      <c r="N63" s="2">
        <v>1013</v>
      </c>
      <c r="O63" s="2" t="s">
        <v>361</v>
      </c>
      <c r="P63" s="2" t="s">
        <v>361</v>
      </c>
      <c r="Q63" s="2">
        <v>1</v>
      </c>
      <c r="W63" s="2">
        <v>0</v>
      </c>
      <c r="X63" s="2">
        <v>476480486</v>
      </c>
      <c r="Y63" s="2">
        <v>1.59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1</v>
      </c>
      <c r="AJ63" s="2">
        <v>1</v>
      </c>
      <c r="AK63" s="2">
        <v>1</v>
      </c>
      <c r="AL63" s="2">
        <v>1</v>
      </c>
      <c r="AN63" s="2">
        <v>0</v>
      </c>
      <c r="AO63" s="2">
        <v>1</v>
      </c>
      <c r="AP63" s="2">
        <v>0</v>
      </c>
      <c r="AQ63" s="2">
        <v>0</v>
      </c>
      <c r="AR63" s="2">
        <v>0</v>
      </c>
      <c r="AS63" s="2" t="s">
        <v>30</v>
      </c>
      <c r="AT63" s="2">
        <v>1.59</v>
      </c>
      <c r="AU63" s="2" t="s">
        <v>30</v>
      </c>
      <c r="AV63" s="2">
        <v>1</v>
      </c>
      <c r="AW63" s="2">
        <v>2</v>
      </c>
      <c r="AX63" s="2">
        <v>52264308</v>
      </c>
      <c r="AY63" s="2">
        <v>1</v>
      </c>
      <c r="AZ63" s="2">
        <v>0</v>
      </c>
      <c r="BA63" s="2">
        <v>61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CX63" s="2">
        <f>Y63*Source!I223</f>
        <v>0.150255</v>
      </c>
      <c r="CY63" s="2">
        <f>AD63</f>
        <v>0</v>
      </c>
      <c r="CZ63" s="2">
        <f>AH63</f>
        <v>0</v>
      </c>
      <c r="DA63" s="2">
        <f>AL63</f>
        <v>1</v>
      </c>
      <c r="DB63" s="2">
        <f t="shared" si="4"/>
        <v>0</v>
      </c>
      <c r="DC63" s="2">
        <f t="shared" si="5"/>
        <v>0</v>
      </c>
    </row>
    <row r="64" spans="1:107" x14ac:dyDescent="0.25">
      <c r="A64" s="2">
        <f>ROW(Source!A223)</f>
        <v>223</v>
      </c>
      <c r="B64" s="2">
        <v>52261502</v>
      </c>
      <c r="C64" s="2">
        <v>52264304</v>
      </c>
      <c r="D64" s="2">
        <v>49678404</v>
      </c>
      <c r="E64" s="2">
        <v>1</v>
      </c>
      <c r="F64" s="2">
        <v>1</v>
      </c>
      <c r="G64" s="2">
        <v>29</v>
      </c>
      <c r="H64" s="2">
        <v>2</v>
      </c>
      <c r="I64" s="2" t="s">
        <v>144</v>
      </c>
      <c r="J64" s="2" t="s">
        <v>388</v>
      </c>
      <c r="K64" s="2" t="s">
        <v>145</v>
      </c>
      <c r="L64" s="2">
        <v>1368</v>
      </c>
      <c r="N64" s="2">
        <v>1011</v>
      </c>
      <c r="O64" s="2" t="s">
        <v>82</v>
      </c>
      <c r="P64" s="2" t="s">
        <v>82</v>
      </c>
      <c r="Q64" s="2">
        <v>1</v>
      </c>
      <c r="W64" s="2">
        <v>0</v>
      </c>
      <c r="X64" s="2">
        <v>-1971161913</v>
      </c>
      <c r="Y64" s="2">
        <v>4.9800000000000004</v>
      </c>
      <c r="AA64" s="2">
        <v>0</v>
      </c>
      <c r="AB64" s="2">
        <v>1571.99</v>
      </c>
      <c r="AC64" s="2">
        <v>595.20000000000005</v>
      </c>
      <c r="AD64" s="2">
        <v>0</v>
      </c>
      <c r="AE64" s="2">
        <v>0</v>
      </c>
      <c r="AF64" s="2">
        <v>1571.99</v>
      </c>
      <c r="AG64" s="2">
        <v>595.20000000000005</v>
      </c>
      <c r="AH64" s="2">
        <v>0</v>
      </c>
      <c r="AI64" s="2">
        <v>1</v>
      </c>
      <c r="AJ64" s="2">
        <v>1</v>
      </c>
      <c r="AK64" s="2">
        <v>1</v>
      </c>
      <c r="AL64" s="2">
        <v>1</v>
      </c>
      <c r="AN64" s="2">
        <v>0</v>
      </c>
      <c r="AO64" s="2">
        <v>1</v>
      </c>
      <c r="AP64" s="2">
        <v>0</v>
      </c>
      <c r="AQ64" s="2">
        <v>0</v>
      </c>
      <c r="AR64" s="2">
        <v>0</v>
      </c>
      <c r="AS64" s="2" t="s">
        <v>30</v>
      </c>
      <c r="AT64" s="2">
        <v>4.9800000000000004</v>
      </c>
      <c r="AU64" s="2" t="s">
        <v>30</v>
      </c>
      <c r="AV64" s="2">
        <v>0</v>
      </c>
      <c r="AW64" s="2">
        <v>2</v>
      </c>
      <c r="AX64" s="2">
        <v>52264309</v>
      </c>
      <c r="AY64" s="2">
        <v>1</v>
      </c>
      <c r="AZ64" s="2">
        <v>0</v>
      </c>
      <c r="BA64" s="2">
        <v>62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CX64" s="2">
        <f>Y64*Source!I223</f>
        <v>0.47060999999999997</v>
      </c>
      <c r="CY64" s="2">
        <f>AB64</f>
        <v>1571.99</v>
      </c>
      <c r="CZ64" s="2">
        <f>AF64</f>
        <v>1571.99</v>
      </c>
      <c r="DA64" s="2">
        <f>AJ64</f>
        <v>1</v>
      </c>
      <c r="DB64" s="2">
        <f t="shared" si="4"/>
        <v>7828.51</v>
      </c>
      <c r="DC64" s="2">
        <f t="shared" si="5"/>
        <v>2964.1</v>
      </c>
    </row>
    <row r="65" spans="1:107" x14ac:dyDescent="0.25">
      <c r="A65" s="2">
        <f>ROW(Source!A223)</f>
        <v>223</v>
      </c>
      <c r="B65" s="2">
        <v>52261502</v>
      </c>
      <c r="C65" s="2">
        <v>52264304</v>
      </c>
      <c r="D65" s="2">
        <v>49678427</v>
      </c>
      <c r="E65" s="2">
        <v>1</v>
      </c>
      <c r="F65" s="2">
        <v>1</v>
      </c>
      <c r="G65" s="2">
        <v>29</v>
      </c>
      <c r="H65" s="2">
        <v>2</v>
      </c>
      <c r="I65" s="2" t="s">
        <v>148</v>
      </c>
      <c r="J65" s="2" t="s">
        <v>389</v>
      </c>
      <c r="K65" s="2" t="s">
        <v>149</v>
      </c>
      <c r="L65" s="2">
        <v>1368</v>
      </c>
      <c r="N65" s="2">
        <v>1011</v>
      </c>
      <c r="O65" s="2" t="s">
        <v>82</v>
      </c>
      <c r="P65" s="2" t="s">
        <v>82</v>
      </c>
      <c r="Q65" s="2">
        <v>1</v>
      </c>
      <c r="W65" s="2">
        <v>0</v>
      </c>
      <c r="X65" s="2">
        <v>-2084942903</v>
      </c>
      <c r="Y65" s="2">
        <v>1.25</v>
      </c>
      <c r="AA65" s="2">
        <v>0</v>
      </c>
      <c r="AB65" s="2">
        <v>1129.8900000000001</v>
      </c>
      <c r="AC65" s="2">
        <v>513.16999999999996</v>
      </c>
      <c r="AD65" s="2">
        <v>0</v>
      </c>
      <c r="AE65" s="2">
        <v>0</v>
      </c>
      <c r="AF65" s="2">
        <v>1129.8900000000001</v>
      </c>
      <c r="AG65" s="2">
        <v>513.16999999999996</v>
      </c>
      <c r="AH65" s="2">
        <v>0</v>
      </c>
      <c r="AI65" s="2">
        <v>1</v>
      </c>
      <c r="AJ65" s="2">
        <v>1</v>
      </c>
      <c r="AK65" s="2">
        <v>1</v>
      </c>
      <c r="AL65" s="2">
        <v>1</v>
      </c>
      <c r="AN65" s="2">
        <v>0</v>
      </c>
      <c r="AO65" s="2">
        <v>1</v>
      </c>
      <c r="AP65" s="2">
        <v>0</v>
      </c>
      <c r="AQ65" s="2">
        <v>0</v>
      </c>
      <c r="AR65" s="2">
        <v>0</v>
      </c>
      <c r="AS65" s="2" t="s">
        <v>30</v>
      </c>
      <c r="AT65" s="2">
        <v>1.25</v>
      </c>
      <c r="AU65" s="2" t="s">
        <v>30</v>
      </c>
      <c r="AV65" s="2">
        <v>0</v>
      </c>
      <c r="AW65" s="2">
        <v>2</v>
      </c>
      <c r="AX65" s="2">
        <v>52264310</v>
      </c>
      <c r="AY65" s="2">
        <v>1</v>
      </c>
      <c r="AZ65" s="2">
        <v>0</v>
      </c>
      <c r="BA65" s="2">
        <v>63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CX65" s="2">
        <f>Y65*Source!I223</f>
        <v>0.11812499999999999</v>
      </c>
      <c r="CY65" s="2">
        <f>AB65</f>
        <v>1129.8900000000001</v>
      </c>
      <c r="CZ65" s="2">
        <f>AF65</f>
        <v>1129.8900000000001</v>
      </c>
      <c r="DA65" s="2">
        <f>AJ65</f>
        <v>1</v>
      </c>
      <c r="DB65" s="2">
        <f t="shared" si="4"/>
        <v>1412.36</v>
      </c>
      <c r="DC65" s="2">
        <f t="shared" si="5"/>
        <v>641.46</v>
      </c>
    </row>
    <row r="66" spans="1:107" x14ac:dyDescent="0.25">
      <c r="A66" s="2">
        <f>ROW(Source!A224)</f>
        <v>224</v>
      </c>
      <c r="B66" s="2">
        <v>52261502</v>
      </c>
      <c r="C66" s="2">
        <v>52264311</v>
      </c>
      <c r="D66" s="2">
        <v>49677488</v>
      </c>
      <c r="E66" s="2">
        <v>29</v>
      </c>
      <c r="F66" s="2">
        <v>1</v>
      </c>
      <c r="G66" s="2">
        <v>29</v>
      </c>
      <c r="H66" s="2">
        <v>1</v>
      </c>
      <c r="I66" s="2" t="s">
        <v>359</v>
      </c>
      <c r="J66" s="2" t="s">
        <v>30</v>
      </c>
      <c r="K66" s="2" t="s">
        <v>360</v>
      </c>
      <c r="L66" s="2">
        <v>1191</v>
      </c>
      <c r="N66" s="2">
        <v>1013</v>
      </c>
      <c r="O66" s="2" t="s">
        <v>361</v>
      </c>
      <c r="P66" s="2" t="s">
        <v>361</v>
      </c>
      <c r="Q66" s="2">
        <v>1</v>
      </c>
      <c r="W66" s="2">
        <v>0</v>
      </c>
      <c r="X66" s="2">
        <v>476480486</v>
      </c>
      <c r="Y66" s="2">
        <v>221.6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1</v>
      </c>
      <c r="AJ66" s="2">
        <v>1</v>
      </c>
      <c r="AK66" s="2">
        <v>1</v>
      </c>
      <c r="AL66" s="2">
        <v>1</v>
      </c>
      <c r="AN66" s="2">
        <v>0</v>
      </c>
      <c r="AO66" s="2">
        <v>1</v>
      </c>
      <c r="AP66" s="2">
        <v>0</v>
      </c>
      <c r="AQ66" s="2">
        <v>0</v>
      </c>
      <c r="AR66" s="2">
        <v>0</v>
      </c>
      <c r="AS66" s="2" t="s">
        <v>30</v>
      </c>
      <c r="AT66" s="2">
        <v>221.6</v>
      </c>
      <c r="AU66" s="2" t="s">
        <v>30</v>
      </c>
      <c r="AV66" s="2">
        <v>1</v>
      </c>
      <c r="AW66" s="2">
        <v>2</v>
      </c>
      <c r="AX66" s="2">
        <v>52264313</v>
      </c>
      <c r="AY66" s="2">
        <v>1</v>
      </c>
      <c r="AZ66" s="2">
        <v>0</v>
      </c>
      <c r="BA66" s="2">
        <v>64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CX66" s="2">
        <f>Y66*Source!I224</f>
        <v>2.3268</v>
      </c>
      <c r="CY66" s="2">
        <f>AD66</f>
        <v>0</v>
      </c>
      <c r="CZ66" s="2">
        <f>AH66</f>
        <v>0</v>
      </c>
      <c r="DA66" s="2">
        <f>AL66</f>
        <v>1</v>
      </c>
      <c r="DB66" s="2">
        <f t="shared" si="4"/>
        <v>0</v>
      </c>
      <c r="DC66" s="2">
        <f t="shared" si="5"/>
        <v>0</v>
      </c>
    </row>
    <row r="67" spans="1:107" x14ac:dyDescent="0.25">
      <c r="A67" s="2">
        <f>ROW(Source!A225)</f>
        <v>225</v>
      </c>
      <c r="B67" s="2">
        <v>52261502</v>
      </c>
      <c r="C67" s="2">
        <v>52264314</v>
      </c>
      <c r="D67" s="2">
        <v>49677488</v>
      </c>
      <c r="E67" s="2">
        <v>29</v>
      </c>
      <c r="F67" s="2">
        <v>1</v>
      </c>
      <c r="G67" s="2">
        <v>29</v>
      </c>
      <c r="H67" s="2">
        <v>1</v>
      </c>
      <c r="I67" s="2" t="s">
        <v>359</v>
      </c>
      <c r="J67" s="2" t="s">
        <v>30</v>
      </c>
      <c r="K67" s="2" t="s">
        <v>360</v>
      </c>
      <c r="L67" s="2">
        <v>1191</v>
      </c>
      <c r="N67" s="2">
        <v>1013</v>
      </c>
      <c r="O67" s="2" t="s">
        <v>361</v>
      </c>
      <c r="P67" s="2" t="s">
        <v>361</v>
      </c>
      <c r="Q67" s="2">
        <v>1</v>
      </c>
      <c r="W67" s="2">
        <v>0</v>
      </c>
      <c r="X67" s="2">
        <v>476480486</v>
      </c>
      <c r="Y67" s="2">
        <v>1.59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1</v>
      </c>
      <c r="AJ67" s="2">
        <v>1</v>
      </c>
      <c r="AK67" s="2">
        <v>1</v>
      </c>
      <c r="AL67" s="2">
        <v>1</v>
      </c>
      <c r="AN67" s="2">
        <v>0</v>
      </c>
      <c r="AO67" s="2">
        <v>1</v>
      </c>
      <c r="AP67" s="2">
        <v>0</v>
      </c>
      <c r="AQ67" s="2">
        <v>0</v>
      </c>
      <c r="AR67" s="2">
        <v>0</v>
      </c>
      <c r="AS67" s="2" t="s">
        <v>30</v>
      </c>
      <c r="AT67" s="2">
        <v>1.59</v>
      </c>
      <c r="AU67" s="2" t="s">
        <v>30</v>
      </c>
      <c r="AV67" s="2">
        <v>1</v>
      </c>
      <c r="AW67" s="2">
        <v>2</v>
      </c>
      <c r="AX67" s="2">
        <v>52264318</v>
      </c>
      <c r="AY67" s="2">
        <v>1</v>
      </c>
      <c r="AZ67" s="2">
        <v>0</v>
      </c>
      <c r="BA67" s="2">
        <v>65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CX67" s="2">
        <f>Y67*Source!I225</f>
        <v>1.5025500000000001E-2</v>
      </c>
      <c r="CY67" s="2">
        <f>AD67</f>
        <v>0</v>
      </c>
      <c r="CZ67" s="2">
        <f>AH67</f>
        <v>0</v>
      </c>
      <c r="DA67" s="2">
        <f>AL67</f>
        <v>1</v>
      </c>
      <c r="DB67" s="2">
        <f t="shared" si="4"/>
        <v>0</v>
      </c>
      <c r="DC67" s="2">
        <f t="shared" si="5"/>
        <v>0</v>
      </c>
    </row>
    <row r="68" spans="1:107" x14ac:dyDescent="0.25">
      <c r="A68" s="2">
        <f>ROW(Source!A225)</f>
        <v>225</v>
      </c>
      <c r="B68" s="2">
        <v>52261502</v>
      </c>
      <c r="C68" s="2">
        <v>52264314</v>
      </c>
      <c r="D68" s="2">
        <v>49678404</v>
      </c>
      <c r="E68" s="2">
        <v>1</v>
      </c>
      <c r="F68" s="2">
        <v>1</v>
      </c>
      <c r="G68" s="2">
        <v>29</v>
      </c>
      <c r="H68" s="2">
        <v>2</v>
      </c>
      <c r="I68" s="2" t="s">
        <v>144</v>
      </c>
      <c r="J68" s="2" t="s">
        <v>388</v>
      </c>
      <c r="K68" s="2" t="s">
        <v>145</v>
      </c>
      <c r="L68" s="2">
        <v>1368</v>
      </c>
      <c r="N68" s="2">
        <v>1011</v>
      </c>
      <c r="O68" s="2" t="s">
        <v>82</v>
      </c>
      <c r="P68" s="2" t="s">
        <v>82</v>
      </c>
      <c r="Q68" s="2">
        <v>1</v>
      </c>
      <c r="W68" s="2">
        <v>0</v>
      </c>
      <c r="X68" s="2">
        <v>-1971161913</v>
      </c>
      <c r="Y68" s="2">
        <v>4.9800000000000004</v>
      </c>
      <c r="AA68" s="2">
        <v>0</v>
      </c>
      <c r="AB68" s="2">
        <v>1571.99</v>
      </c>
      <c r="AC68" s="2">
        <v>595.20000000000005</v>
      </c>
      <c r="AD68" s="2">
        <v>0</v>
      </c>
      <c r="AE68" s="2">
        <v>0</v>
      </c>
      <c r="AF68" s="2">
        <v>1571.99</v>
      </c>
      <c r="AG68" s="2">
        <v>595.20000000000005</v>
      </c>
      <c r="AH68" s="2">
        <v>0</v>
      </c>
      <c r="AI68" s="2">
        <v>1</v>
      </c>
      <c r="AJ68" s="2">
        <v>1</v>
      </c>
      <c r="AK68" s="2">
        <v>1</v>
      </c>
      <c r="AL68" s="2">
        <v>1</v>
      </c>
      <c r="AN68" s="2">
        <v>0</v>
      </c>
      <c r="AO68" s="2">
        <v>1</v>
      </c>
      <c r="AP68" s="2">
        <v>0</v>
      </c>
      <c r="AQ68" s="2">
        <v>0</v>
      </c>
      <c r="AR68" s="2">
        <v>0</v>
      </c>
      <c r="AS68" s="2" t="s">
        <v>30</v>
      </c>
      <c r="AT68" s="2">
        <v>4.9800000000000004</v>
      </c>
      <c r="AU68" s="2" t="s">
        <v>30</v>
      </c>
      <c r="AV68" s="2">
        <v>0</v>
      </c>
      <c r="AW68" s="2">
        <v>2</v>
      </c>
      <c r="AX68" s="2">
        <v>52264319</v>
      </c>
      <c r="AY68" s="2">
        <v>1</v>
      </c>
      <c r="AZ68" s="2">
        <v>0</v>
      </c>
      <c r="BA68" s="2">
        <v>66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CX68" s="2">
        <f>Y68*Source!I225</f>
        <v>4.7060999999999999E-2</v>
      </c>
      <c r="CY68" s="2">
        <f>AB68</f>
        <v>1571.99</v>
      </c>
      <c r="CZ68" s="2">
        <f>AF68</f>
        <v>1571.99</v>
      </c>
      <c r="DA68" s="2">
        <f>AJ68</f>
        <v>1</v>
      </c>
      <c r="DB68" s="2">
        <f t="shared" si="4"/>
        <v>7828.51</v>
      </c>
      <c r="DC68" s="2">
        <f t="shared" si="5"/>
        <v>2964.1</v>
      </c>
    </row>
    <row r="69" spans="1:107" x14ac:dyDescent="0.25">
      <c r="A69" s="2">
        <f>ROW(Source!A225)</f>
        <v>225</v>
      </c>
      <c r="B69" s="2">
        <v>52261502</v>
      </c>
      <c r="C69" s="2">
        <v>52264314</v>
      </c>
      <c r="D69" s="2">
        <v>49678427</v>
      </c>
      <c r="E69" s="2">
        <v>1</v>
      </c>
      <c r="F69" s="2">
        <v>1</v>
      </c>
      <c r="G69" s="2">
        <v>29</v>
      </c>
      <c r="H69" s="2">
        <v>2</v>
      </c>
      <c r="I69" s="2" t="s">
        <v>148</v>
      </c>
      <c r="J69" s="2" t="s">
        <v>389</v>
      </c>
      <c r="K69" s="2" t="s">
        <v>149</v>
      </c>
      <c r="L69" s="2">
        <v>1368</v>
      </c>
      <c r="N69" s="2">
        <v>1011</v>
      </c>
      <c r="O69" s="2" t="s">
        <v>82</v>
      </c>
      <c r="P69" s="2" t="s">
        <v>82</v>
      </c>
      <c r="Q69" s="2">
        <v>1</v>
      </c>
      <c r="W69" s="2">
        <v>0</v>
      </c>
      <c r="X69" s="2">
        <v>-2084942903</v>
      </c>
      <c r="Y69" s="2">
        <v>1.25</v>
      </c>
      <c r="AA69" s="2">
        <v>0</v>
      </c>
      <c r="AB69" s="2">
        <v>1129.8900000000001</v>
      </c>
      <c r="AC69" s="2">
        <v>513.16999999999996</v>
      </c>
      <c r="AD69" s="2">
        <v>0</v>
      </c>
      <c r="AE69" s="2">
        <v>0</v>
      </c>
      <c r="AF69" s="2">
        <v>1129.8900000000001</v>
      </c>
      <c r="AG69" s="2">
        <v>513.16999999999996</v>
      </c>
      <c r="AH69" s="2">
        <v>0</v>
      </c>
      <c r="AI69" s="2">
        <v>1</v>
      </c>
      <c r="AJ69" s="2">
        <v>1</v>
      </c>
      <c r="AK69" s="2">
        <v>1</v>
      </c>
      <c r="AL69" s="2">
        <v>1</v>
      </c>
      <c r="AN69" s="2">
        <v>0</v>
      </c>
      <c r="AO69" s="2">
        <v>1</v>
      </c>
      <c r="AP69" s="2">
        <v>0</v>
      </c>
      <c r="AQ69" s="2">
        <v>0</v>
      </c>
      <c r="AR69" s="2">
        <v>0</v>
      </c>
      <c r="AS69" s="2" t="s">
        <v>30</v>
      </c>
      <c r="AT69" s="2">
        <v>1.25</v>
      </c>
      <c r="AU69" s="2" t="s">
        <v>30</v>
      </c>
      <c r="AV69" s="2">
        <v>0</v>
      </c>
      <c r="AW69" s="2">
        <v>2</v>
      </c>
      <c r="AX69" s="2">
        <v>52264320</v>
      </c>
      <c r="AY69" s="2">
        <v>1</v>
      </c>
      <c r="AZ69" s="2">
        <v>0</v>
      </c>
      <c r="BA69" s="2">
        <v>67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CX69" s="2">
        <f>Y69*Source!I225</f>
        <v>1.18125E-2</v>
      </c>
      <c r="CY69" s="2">
        <f>AB69</f>
        <v>1129.8900000000001</v>
      </c>
      <c r="CZ69" s="2">
        <f>AF69</f>
        <v>1129.8900000000001</v>
      </c>
      <c r="DA69" s="2">
        <f>AJ69</f>
        <v>1</v>
      </c>
      <c r="DB69" s="2">
        <f t="shared" si="4"/>
        <v>1412.36</v>
      </c>
      <c r="DC69" s="2">
        <f t="shared" si="5"/>
        <v>641.46</v>
      </c>
    </row>
    <row r="70" spans="1:107" x14ac:dyDescent="0.25">
      <c r="A70" s="2">
        <f>ROW(Source!A226)</f>
        <v>226</v>
      </c>
      <c r="B70" s="2">
        <v>52261502</v>
      </c>
      <c r="C70" s="2">
        <v>52264321</v>
      </c>
      <c r="D70" s="2">
        <v>49677488</v>
      </c>
      <c r="E70" s="2">
        <v>29</v>
      </c>
      <c r="F70" s="2">
        <v>1</v>
      </c>
      <c r="G70" s="2">
        <v>29</v>
      </c>
      <c r="H70" s="2">
        <v>1</v>
      </c>
      <c r="I70" s="2" t="s">
        <v>359</v>
      </c>
      <c r="J70" s="2" t="s">
        <v>30</v>
      </c>
      <c r="K70" s="2" t="s">
        <v>360</v>
      </c>
      <c r="L70" s="2">
        <v>1191</v>
      </c>
      <c r="N70" s="2">
        <v>1013</v>
      </c>
      <c r="O70" s="2" t="s">
        <v>361</v>
      </c>
      <c r="P70" s="2" t="s">
        <v>361</v>
      </c>
      <c r="Q70" s="2">
        <v>1</v>
      </c>
      <c r="W70" s="2">
        <v>0</v>
      </c>
      <c r="X70" s="2">
        <v>476480486</v>
      </c>
      <c r="Y70" s="2">
        <v>83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1</v>
      </c>
      <c r="AJ70" s="2">
        <v>1</v>
      </c>
      <c r="AK70" s="2">
        <v>1</v>
      </c>
      <c r="AL70" s="2">
        <v>1</v>
      </c>
      <c r="AN70" s="2">
        <v>0</v>
      </c>
      <c r="AO70" s="2">
        <v>1</v>
      </c>
      <c r="AP70" s="2">
        <v>0</v>
      </c>
      <c r="AQ70" s="2">
        <v>0</v>
      </c>
      <c r="AR70" s="2">
        <v>0</v>
      </c>
      <c r="AS70" s="2" t="s">
        <v>30</v>
      </c>
      <c r="AT70" s="2">
        <v>83</v>
      </c>
      <c r="AU70" s="2" t="s">
        <v>30</v>
      </c>
      <c r="AV70" s="2">
        <v>1</v>
      </c>
      <c r="AW70" s="2">
        <v>2</v>
      </c>
      <c r="AX70" s="2">
        <v>52264323</v>
      </c>
      <c r="AY70" s="2">
        <v>1</v>
      </c>
      <c r="AZ70" s="2">
        <v>0</v>
      </c>
      <c r="BA70" s="2">
        <v>68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CX70" s="2">
        <f>Y70*Source!I226</f>
        <v>8.7150000000000005E-2</v>
      </c>
      <c r="CY70" s="2">
        <f>AD70</f>
        <v>0</v>
      </c>
      <c r="CZ70" s="2">
        <f>AH70</f>
        <v>0</v>
      </c>
      <c r="DA70" s="2">
        <f>AL70</f>
        <v>1</v>
      </c>
      <c r="DB70" s="2">
        <f t="shared" si="4"/>
        <v>0</v>
      </c>
      <c r="DC70" s="2">
        <f t="shared" si="5"/>
        <v>0</v>
      </c>
    </row>
    <row r="71" spans="1:107" x14ac:dyDescent="0.25">
      <c r="A71" s="2">
        <f>ROW(Source!A227)</f>
        <v>227</v>
      </c>
      <c r="B71" s="2">
        <v>52261502</v>
      </c>
      <c r="C71" s="2">
        <v>52264324</v>
      </c>
      <c r="D71" s="2">
        <v>49679218</v>
      </c>
      <c r="E71" s="2">
        <v>1</v>
      </c>
      <c r="F71" s="2">
        <v>1</v>
      </c>
      <c r="G71" s="2">
        <v>29</v>
      </c>
      <c r="H71" s="2">
        <v>2</v>
      </c>
      <c r="I71" s="2" t="s">
        <v>87</v>
      </c>
      <c r="J71" s="2" t="s">
        <v>375</v>
      </c>
      <c r="K71" s="2" t="s">
        <v>88</v>
      </c>
      <c r="L71" s="2">
        <v>1368</v>
      </c>
      <c r="N71" s="2">
        <v>1011</v>
      </c>
      <c r="O71" s="2" t="s">
        <v>82</v>
      </c>
      <c r="P71" s="2" t="s">
        <v>82</v>
      </c>
      <c r="Q71" s="2">
        <v>1</v>
      </c>
      <c r="W71" s="2">
        <v>0</v>
      </c>
      <c r="X71" s="2">
        <v>-421523076</v>
      </c>
      <c r="Y71" s="2">
        <v>3.1E-2</v>
      </c>
      <c r="AA71" s="2">
        <v>0</v>
      </c>
      <c r="AB71" s="2">
        <v>1080.76</v>
      </c>
      <c r="AC71" s="2">
        <v>332.99</v>
      </c>
      <c r="AD71" s="2">
        <v>0</v>
      </c>
      <c r="AE71" s="2">
        <v>0</v>
      </c>
      <c r="AF71" s="2">
        <v>1080.76</v>
      </c>
      <c r="AG71" s="2">
        <v>332.99</v>
      </c>
      <c r="AH71" s="2">
        <v>0</v>
      </c>
      <c r="AI71" s="2">
        <v>1</v>
      </c>
      <c r="AJ71" s="2">
        <v>1</v>
      </c>
      <c r="AK71" s="2">
        <v>1</v>
      </c>
      <c r="AL71" s="2">
        <v>1</v>
      </c>
      <c r="AN71" s="2">
        <v>0</v>
      </c>
      <c r="AO71" s="2">
        <v>1</v>
      </c>
      <c r="AP71" s="2">
        <v>0</v>
      </c>
      <c r="AQ71" s="2">
        <v>0</v>
      </c>
      <c r="AR71" s="2">
        <v>0</v>
      </c>
      <c r="AS71" s="2" t="s">
        <v>30</v>
      </c>
      <c r="AT71" s="2">
        <v>3.1E-2</v>
      </c>
      <c r="AU71" s="2" t="s">
        <v>30</v>
      </c>
      <c r="AV71" s="2">
        <v>0</v>
      </c>
      <c r="AW71" s="2">
        <v>2</v>
      </c>
      <c r="AX71" s="2">
        <v>52264326</v>
      </c>
      <c r="AY71" s="2">
        <v>1</v>
      </c>
      <c r="AZ71" s="2">
        <v>0</v>
      </c>
      <c r="BA71" s="2">
        <v>69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CX71" s="2">
        <f>Y71*Source!I227</f>
        <v>0.32550000000000001</v>
      </c>
      <c r="CY71" s="2">
        <f>AB71</f>
        <v>1080.76</v>
      </c>
      <c r="CZ71" s="2">
        <f>AF71</f>
        <v>1080.76</v>
      </c>
      <c r="DA71" s="2">
        <f>AJ71</f>
        <v>1</v>
      </c>
      <c r="DB71" s="2">
        <f t="shared" si="4"/>
        <v>33.5</v>
      </c>
      <c r="DC71" s="2">
        <f t="shared" si="5"/>
        <v>10.32</v>
      </c>
    </row>
    <row r="72" spans="1:107" x14ac:dyDescent="0.25">
      <c r="A72" s="2">
        <f>ROW(Source!A228)</f>
        <v>228</v>
      </c>
      <c r="B72" s="2">
        <v>52261502</v>
      </c>
      <c r="C72" s="2">
        <v>52264327</v>
      </c>
      <c r="D72" s="2">
        <v>49679218</v>
      </c>
      <c r="E72" s="2">
        <v>1</v>
      </c>
      <c r="F72" s="2">
        <v>1</v>
      </c>
      <c r="G72" s="2">
        <v>29</v>
      </c>
      <c r="H72" s="2">
        <v>2</v>
      </c>
      <c r="I72" s="2" t="s">
        <v>87</v>
      </c>
      <c r="J72" s="2" t="s">
        <v>375</v>
      </c>
      <c r="K72" s="2" t="s">
        <v>88</v>
      </c>
      <c r="L72" s="2">
        <v>1368</v>
      </c>
      <c r="N72" s="2">
        <v>1011</v>
      </c>
      <c r="O72" s="2" t="s">
        <v>82</v>
      </c>
      <c r="P72" s="2" t="s">
        <v>82</v>
      </c>
      <c r="Q72" s="2">
        <v>1</v>
      </c>
      <c r="W72" s="2">
        <v>0</v>
      </c>
      <c r="X72" s="2">
        <v>-421523076</v>
      </c>
      <c r="Y72" s="2">
        <v>0.52</v>
      </c>
      <c r="AA72" s="2">
        <v>0</v>
      </c>
      <c r="AB72" s="2">
        <v>1080.76</v>
      </c>
      <c r="AC72" s="2">
        <v>332.99</v>
      </c>
      <c r="AD72" s="2">
        <v>0</v>
      </c>
      <c r="AE72" s="2">
        <v>0</v>
      </c>
      <c r="AF72" s="2">
        <v>1080.76</v>
      </c>
      <c r="AG72" s="2">
        <v>332.99</v>
      </c>
      <c r="AH72" s="2">
        <v>0</v>
      </c>
      <c r="AI72" s="2">
        <v>1</v>
      </c>
      <c r="AJ72" s="2">
        <v>1</v>
      </c>
      <c r="AK72" s="2">
        <v>1</v>
      </c>
      <c r="AL72" s="2">
        <v>1</v>
      </c>
      <c r="AN72" s="2">
        <v>0</v>
      </c>
      <c r="AO72" s="2">
        <v>1</v>
      </c>
      <c r="AP72" s="2">
        <v>1</v>
      </c>
      <c r="AQ72" s="2">
        <v>0</v>
      </c>
      <c r="AR72" s="2">
        <v>0</v>
      </c>
      <c r="AS72" s="2" t="s">
        <v>30</v>
      </c>
      <c r="AT72" s="2">
        <v>0.01</v>
      </c>
      <c r="AU72" s="2" t="s">
        <v>207</v>
      </c>
      <c r="AV72" s="2">
        <v>0</v>
      </c>
      <c r="AW72" s="2">
        <v>2</v>
      </c>
      <c r="AX72" s="2">
        <v>52264329</v>
      </c>
      <c r="AY72" s="2">
        <v>1</v>
      </c>
      <c r="AZ72" s="2">
        <v>0</v>
      </c>
      <c r="BA72" s="2">
        <v>70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CX72" s="2">
        <f>Y72*Source!I228</f>
        <v>5.46</v>
      </c>
      <c r="CY72" s="2">
        <f>AB72</f>
        <v>1080.76</v>
      </c>
      <c r="CZ72" s="2">
        <f>AF72</f>
        <v>1080.76</v>
      </c>
      <c r="DA72" s="2">
        <f>AJ72</f>
        <v>1</v>
      </c>
      <c r="DB72" s="2">
        <f>ROUND((ROUND(AT72*CZ72,2)*52),6)</f>
        <v>562.12</v>
      </c>
      <c r="DC72" s="2">
        <f>ROUND((ROUND(AT72*AG72,2)*52),6)</f>
        <v>173.16</v>
      </c>
    </row>
    <row r="73" spans="1:107" x14ac:dyDescent="0.25">
      <c r="A73" s="2">
        <f>ROW(Source!A229)</f>
        <v>229</v>
      </c>
      <c r="B73" s="2">
        <v>52261502</v>
      </c>
      <c r="C73" s="2">
        <v>52264330</v>
      </c>
      <c r="D73" s="2">
        <v>49677488</v>
      </c>
      <c r="E73" s="2">
        <v>29</v>
      </c>
      <c r="F73" s="2">
        <v>1</v>
      </c>
      <c r="G73" s="2">
        <v>29</v>
      </c>
      <c r="H73" s="2">
        <v>1</v>
      </c>
      <c r="I73" s="2" t="s">
        <v>359</v>
      </c>
      <c r="J73" s="2" t="s">
        <v>30</v>
      </c>
      <c r="K73" s="2" t="s">
        <v>360</v>
      </c>
      <c r="L73" s="2">
        <v>1191</v>
      </c>
      <c r="N73" s="2">
        <v>1013</v>
      </c>
      <c r="O73" s="2" t="s">
        <v>361</v>
      </c>
      <c r="P73" s="2" t="s">
        <v>361</v>
      </c>
      <c r="Q73" s="2">
        <v>1</v>
      </c>
      <c r="W73" s="2">
        <v>0</v>
      </c>
      <c r="X73" s="2">
        <v>476480486</v>
      </c>
      <c r="Y73" s="2">
        <v>16.559999999999999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1</v>
      </c>
      <c r="AJ73" s="2">
        <v>1</v>
      </c>
      <c r="AK73" s="2">
        <v>1</v>
      </c>
      <c r="AL73" s="2">
        <v>1</v>
      </c>
      <c r="AN73" s="2">
        <v>0</v>
      </c>
      <c r="AO73" s="2">
        <v>1</v>
      </c>
      <c r="AP73" s="2">
        <v>0</v>
      </c>
      <c r="AQ73" s="2">
        <v>0</v>
      </c>
      <c r="AR73" s="2">
        <v>0</v>
      </c>
      <c r="AS73" s="2" t="s">
        <v>30</v>
      </c>
      <c r="AT73" s="2">
        <v>16.559999999999999</v>
      </c>
      <c r="AU73" s="2" t="s">
        <v>30</v>
      </c>
      <c r="AV73" s="2">
        <v>1</v>
      </c>
      <c r="AW73" s="2">
        <v>2</v>
      </c>
      <c r="AX73" s="2">
        <v>52264339</v>
      </c>
      <c r="AY73" s="2">
        <v>1</v>
      </c>
      <c r="AZ73" s="2">
        <v>0</v>
      </c>
      <c r="BA73" s="2">
        <v>71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CX73" s="2">
        <f>Y73*Source!I229</f>
        <v>0.69552000000000003</v>
      </c>
      <c r="CY73" s="2">
        <f>AD73</f>
        <v>0</v>
      </c>
      <c r="CZ73" s="2">
        <f>AH73</f>
        <v>0</v>
      </c>
      <c r="DA73" s="2">
        <f>AL73</f>
        <v>1</v>
      </c>
      <c r="DB73" s="2">
        <f t="shared" ref="DB73:DB95" si="6">ROUND(ROUND(AT73*CZ73,2),6)</f>
        <v>0</v>
      </c>
      <c r="DC73" s="2">
        <f t="shared" ref="DC73:DC95" si="7">ROUND(ROUND(AT73*AG73,2),6)</f>
        <v>0</v>
      </c>
    </row>
    <row r="74" spans="1:107" x14ac:dyDescent="0.25">
      <c r="A74" s="2">
        <f>ROW(Source!A229)</f>
        <v>229</v>
      </c>
      <c r="B74" s="2">
        <v>52261502</v>
      </c>
      <c r="C74" s="2">
        <v>52264330</v>
      </c>
      <c r="D74" s="2">
        <v>49678449</v>
      </c>
      <c r="E74" s="2">
        <v>1</v>
      </c>
      <c r="F74" s="2">
        <v>1</v>
      </c>
      <c r="G74" s="2">
        <v>29</v>
      </c>
      <c r="H74" s="2">
        <v>2</v>
      </c>
      <c r="I74" s="2" t="s">
        <v>89</v>
      </c>
      <c r="J74" s="2" t="s">
        <v>369</v>
      </c>
      <c r="K74" s="2" t="s">
        <v>90</v>
      </c>
      <c r="L74" s="2">
        <v>1368</v>
      </c>
      <c r="N74" s="2">
        <v>1011</v>
      </c>
      <c r="O74" s="2" t="s">
        <v>82</v>
      </c>
      <c r="P74" s="2" t="s">
        <v>82</v>
      </c>
      <c r="Q74" s="2">
        <v>1</v>
      </c>
      <c r="W74" s="2">
        <v>0</v>
      </c>
      <c r="X74" s="2">
        <v>-1395457639</v>
      </c>
      <c r="Y74" s="2">
        <v>2.08</v>
      </c>
      <c r="AA74" s="2">
        <v>0</v>
      </c>
      <c r="AB74" s="2">
        <v>780.77</v>
      </c>
      <c r="AC74" s="2">
        <v>433.88</v>
      </c>
      <c r="AD74" s="2">
        <v>0</v>
      </c>
      <c r="AE74" s="2">
        <v>0</v>
      </c>
      <c r="AF74" s="2">
        <v>780.77</v>
      </c>
      <c r="AG74" s="2">
        <v>433.88</v>
      </c>
      <c r="AH74" s="2">
        <v>0</v>
      </c>
      <c r="AI74" s="2">
        <v>1</v>
      </c>
      <c r="AJ74" s="2">
        <v>1</v>
      </c>
      <c r="AK74" s="2">
        <v>1</v>
      </c>
      <c r="AL74" s="2">
        <v>1</v>
      </c>
      <c r="AN74" s="2">
        <v>0</v>
      </c>
      <c r="AO74" s="2">
        <v>1</v>
      </c>
      <c r="AP74" s="2">
        <v>0</v>
      </c>
      <c r="AQ74" s="2">
        <v>0</v>
      </c>
      <c r="AR74" s="2">
        <v>0</v>
      </c>
      <c r="AS74" s="2" t="s">
        <v>30</v>
      </c>
      <c r="AT74" s="2">
        <v>2.08</v>
      </c>
      <c r="AU74" s="2" t="s">
        <v>30</v>
      </c>
      <c r="AV74" s="2">
        <v>0</v>
      </c>
      <c r="AW74" s="2">
        <v>2</v>
      </c>
      <c r="AX74" s="2">
        <v>52264340</v>
      </c>
      <c r="AY74" s="2">
        <v>1</v>
      </c>
      <c r="AZ74" s="2">
        <v>0</v>
      </c>
      <c r="BA74" s="2">
        <v>72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CX74" s="2">
        <f>Y74*Source!I229</f>
        <v>8.7359999999999993E-2</v>
      </c>
      <c r="CY74" s="2">
        <f>AB74</f>
        <v>780.77</v>
      </c>
      <c r="CZ74" s="2">
        <f>AF74</f>
        <v>780.77</v>
      </c>
      <c r="DA74" s="2">
        <f>AJ74</f>
        <v>1</v>
      </c>
      <c r="DB74" s="2">
        <f t="shared" si="6"/>
        <v>1624</v>
      </c>
      <c r="DC74" s="2">
        <f t="shared" si="7"/>
        <v>902.47</v>
      </c>
    </row>
    <row r="75" spans="1:107" x14ac:dyDescent="0.25">
      <c r="A75" s="2">
        <f>ROW(Source!A229)</f>
        <v>229</v>
      </c>
      <c r="B75" s="2">
        <v>52261502</v>
      </c>
      <c r="C75" s="2">
        <v>52264330</v>
      </c>
      <c r="D75" s="2">
        <v>49678606</v>
      </c>
      <c r="E75" s="2">
        <v>1</v>
      </c>
      <c r="F75" s="2">
        <v>1</v>
      </c>
      <c r="G75" s="2">
        <v>29</v>
      </c>
      <c r="H75" s="2">
        <v>2</v>
      </c>
      <c r="I75" s="2" t="s">
        <v>150</v>
      </c>
      <c r="J75" s="2" t="s">
        <v>390</v>
      </c>
      <c r="K75" s="2" t="s">
        <v>151</v>
      </c>
      <c r="L75" s="2">
        <v>1368</v>
      </c>
      <c r="N75" s="2">
        <v>1011</v>
      </c>
      <c r="O75" s="2" t="s">
        <v>82</v>
      </c>
      <c r="P75" s="2" t="s">
        <v>82</v>
      </c>
      <c r="Q75" s="2">
        <v>1</v>
      </c>
      <c r="W75" s="2">
        <v>0</v>
      </c>
      <c r="X75" s="2">
        <v>-2041200803</v>
      </c>
      <c r="Y75" s="2">
        <v>2.08</v>
      </c>
      <c r="AA75" s="2">
        <v>0</v>
      </c>
      <c r="AB75" s="2">
        <v>445.81</v>
      </c>
      <c r="AC75" s="2">
        <v>226.08</v>
      </c>
      <c r="AD75" s="2">
        <v>0</v>
      </c>
      <c r="AE75" s="2">
        <v>0</v>
      </c>
      <c r="AF75" s="2">
        <v>445.81</v>
      </c>
      <c r="AG75" s="2">
        <v>226.08</v>
      </c>
      <c r="AH75" s="2">
        <v>0</v>
      </c>
      <c r="AI75" s="2">
        <v>1</v>
      </c>
      <c r="AJ75" s="2">
        <v>1</v>
      </c>
      <c r="AK75" s="2">
        <v>1</v>
      </c>
      <c r="AL75" s="2">
        <v>1</v>
      </c>
      <c r="AN75" s="2">
        <v>0</v>
      </c>
      <c r="AO75" s="2">
        <v>1</v>
      </c>
      <c r="AP75" s="2">
        <v>0</v>
      </c>
      <c r="AQ75" s="2">
        <v>0</v>
      </c>
      <c r="AR75" s="2">
        <v>0</v>
      </c>
      <c r="AS75" s="2" t="s">
        <v>30</v>
      </c>
      <c r="AT75" s="2">
        <v>2.08</v>
      </c>
      <c r="AU75" s="2" t="s">
        <v>30</v>
      </c>
      <c r="AV75" s="2">
        <v>0</v>
      </c>
      <c r="AW75" s="2">
        <v>2</v>
      </c>
      <c r="AX75" s="2">
        <v>52264341</v>
      </c>
      <c r="AY75" s="2">
        <v>1</v>
      </c>
      <c r="AZ75" s="2">
        <v>0</v>
      </c>
      <c r="BA75" s="2">
        <v>73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CX75" s="2">
        <f>Y75*Source!I229</f>
        <v>8.7359999999999993E-2</v>
      </c>
      <c r="CY75" s="2">
        <f>AB75</f>
        <v>445.81</v>
      </c>
      <c r="CZ75" s="2">
        <f>AF75</f>
        <v>445.81</v>
      </c>
      <c r="DA75" s="2">
        <f>AJ75</f>
        <v>1</v>
      </c>
      <c r="DB75" s="2">
        <f t="shared" si="6"/>
        <v>927.28</v>
      </c>
      <c r="DC75" s="2">
        <f t="shared" si="7"/>
        <v>470.25</v>
      </c>
    </row>
    <row r="76" spans="1:107" x14ac:dyDescent="0.25">
      <c r="A76" s="2">
        <f>ROW(Source!A229)</f>
        <v>229</v>
      </c>
      <c r="B76" s="2">
        <v>52261502</v>
      </c>
      <c r="C76" s="2">
        <v>52264330</v>
      </c>
      <c r="D76" s="2">
        <v>49678609</v>
      </c>
      <c r="E76" s="2">
        <v>1</v>
      </c>
      <c r="F76" s="2">
        <v>1</v>
      </c>
      <c r="G76" s="2">
        <v>29</v>
      </c>
      <c r="H76" s="2">
        <v>2</v>
      </c>
      <c r="I76" s="2" t="s">
        <v>152</v>
      </c>
      <c r="J76" s="2" t="s">
        <v>391</v>
      </c>
      <c r="K76" s="2" t="s">
        <v>153</v>
      </c>
      <c r="L76" s="2">
        <v>1368</v>
      </c>
      <c r="N76" s="2">
        <v>1011</v>
      </c>
      <c r="O76" s="2" t="s">
        <v>82</v>
      </c>
      <c r="P76" s="2" t="s">
        <v>82</v>
      </c>
      <c r="Q76" s="2">
        <v>1</v>
      </c>
      <c r="W76" s="2">
        <v>0</v>
      </c>
      <c r="X76" s="2">
        <v>534254421</v>
      </c>
      <c r="Y76" s="2">
        <v>0.81</v>
      </c>
      <c r="AA76" s="2">
        <v>0</v>
      </c>
      <c r="AB76" s="2">
        <v>2043.52</v>
      </c>
      <c r="AC76" s="2">
        <v>481.49</v>
      </c>
      <c r="AD76" s="2">
        <v>0</v>
      </c>
      <c r="AE76" s="2">
        <v>0</v>
      </c>
      <c r="AF76" s="2">
        <v>2043.52</v>
      </c>
      <c r="AG76" s="2">
        <v>481.49</v>
      </c>
      <c r="AH76" s="2">
        <v>0</v>
      </c>
      <c r="AI76" s="2">
        <v>1</v>
      </c>
      <c r="AJ76" s="2">
        <v>1</v>
      </c>
      <c r="AK76" s="2">
        <v>1</v>
      </c>
      <c r="AL76" s="2">
        <v>1</v>
      </c>
      <c r="AN76" s="2">
        <v>0</v>
      </c>
      <c r="AO76" s="2">
        <v>1</v>
      </c>
      <c r="AP76" s="2">
        <v>0</v>
      </c>
      <c r="AQ76" s="2">
        <v>0</v>
      </c>
      <c r="AR76" s="2">
        <v>0</v>
      </c>
      <c r="AS76" s="2" t="s">
        <v>30</v>
      </c>
      <c r="AT76" s="2">
        <v>0.81</v>
      </c>
      <c r="AU76" s="2" t="s">
        <v>30</v>
      </c>
      <c r="AV76" s="2">
        <v>0</v>
      </c>
      <c r="AW76" s="2">
        <v>2</v>
      </c>
      <c r="AX76" s="2">
        <v>52264342</v>
      </c>
      <c r="AY76" s="2">
        <v>1</v>
      </c>
      <c r="AZ76" s="2">
        <v>0</v>
      </c>
      <c r="BA76" s="2">
        <v>74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CX76" s="2">
        <f>Y76*Source!I229</f>
        <v>3.4020000000000002E-2</v>
      </c>
      <c r="CY76" s="2">
        <f>AB76</f>
        <v>2043.52</v>
      </c>
      <c r="CZ76" s="2">
        <f>AF76</f>
        <v>2043.52</v>
      </c>
      <c r="DA76" s="2">
        <f>AJ76</f>
        <v>1</v>
      </c>
      <c r="DB76" s="2">
        <f t="shared" si="6"/>
        <v>1655.25</v>
      </c>
      <c r="DC76" s="2">
        <f t="shared" si="7"/>
        <v>390.01</v>
      </c>
    </row>
    <row r="77" spans="1:107" x14ac:dyDescent="0.25">
      <c r="A77" s="2">
        <f>ROW(Source!A229)</f>
        <v>229</v>
      </c>
      <c r="B77" s="2">
        <v>52261502</v>
      </c>
      <c r="C77" s="2">
        <v>52264330</v>
      </c>
      <c r="D77" s="2">
        <v>49678633</v>
      </c>
      <c r="E77" s="2">
        <v>1</v>
      </c>
      <c r="F77" s="2">
        <v>1</v>
      </c>
      <c r="G77" s="2">
        <v>29</v>
      </c>
      <c r="H77" s="2">
        <v>2</v>
      </c>
      <c r="I77" s="2" t="s">
        <v>154</v>
      </c>
      <c r="J77" s="2" t="s">
        <v>392</v>
      </c>
      <c r="K77" s="2" t="s">
        <v>155</v>
      </c>
      <c r="L77" s="2">
        <v>1368</v>
      </c>
      <c r="N77" s="2">
        <v>1011</v>
      </c>
      <c r="O77" s="2" t="s">
        <v>82</v>
      </c>
      <c r="P77" s="2" t="s">
        <v>82</v>
      </c>
      <c r="Q77" s="2">
        <v>1</v>
      </c>
      <c r="W77" s="2">
        <v>0</v>
      </c>
      <c r="X77" s="2">
        <v>1254933040</v>
      </c>
      <c r="Y77" s="2">
        <v>1.94</v>
      </c>
      <c r="AA77" s="2">
        <v>0</v>
      </c>
      <c r="AB77" s="2">
        <v>1478.7</v>
      </c>
      <c r="AC77" s="2">
        <v>673.39</v>
      </c>
      <c r="AD77" s="2">
        <v>0</v>
      </c>
      <c r="AE77" s="2">
        <v>0</v>
      </c>
      <c r="AF77" s="2">
        <v>1478.7</v>
      </c>
      <c r="AG77" s="2">
        <v>673.39</v>
      </c>
      <c r="AH77" s="2">
        <v>0</v>
      </c>
      <c r="AI77" s="2">
        <v>1</v>
      </c>
      <c r="AJ77" s="2">
        <v>1</v>
      </c>
      <c r="AK77" s="2">
        <v>1</v>
      </c>
      <c r="AL77" s="2">
        <v>1</v>
      </c>
      <c r="AN77" s="2">
        <v>0</v>
      </c>
      <c r="AO77" s="2">
        <v>1</v>
      </c>
      <c r="AP77" s="2">
        <v>0</v>
      </c>
      <c r="AQ77" s="2">
        <v>0</v>
      </c>
      <c r="AR77" s="2">
        <v>0</v>
      </c>
      <c r="AS77" s="2" t="s">
        <v>30</v>
      </c>
      <c r="AT77" s="2">
        <v>1.94</v>
      </c>
      <c r="AU77" s="2" t="s">
        <v>30</v>
      </c>
      <c r="AV77" s="2">
        <v>0</v>
      </c>
      <c r="AW77" s="2">
        <v>2</v>
      </c>
      <c r="AX77" s="2">
        <v>52264343</v>
      </c>
      <c r="AY77" s="2">
        <v>1</v>
      </c>
      <c r="AZ77" s="2">
        <v>0</v>
      </c>
      <c r="BA77" s="2">
        <v>75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CX77" s="2">
        <f>Y77*Source!I229</f>
        <v>8.1479999999999997E-2</v>
      </c>
      <c r="CY77" s="2">
        <f>AB77</f>
        <v>1478.7</v>
      </c>
      <c r="CZ77" s="2">
        <f>AF77</f>
        <v>1478.7</v>
      </c>
      <c r="DA77" s="2">
        <f>AJ77</f>
        <v>1</v>
      </c>
      <c r="DB77" s="2">
        <f t="shared" si="6"/>
        <v>2868.68</v>
      </c>
      <c r="DC77" s="2">
        <f t="shared" si="7"/>
        <v>1306.3800000000001</v>
      </c>
    </row>
    <row r="78" spans="1:107" x14ac:dyDescent="0.25">
      <c r="A78" s="2">
        <f>ROW(Source!A229)</f>
        <v>229</v>
      </c>
      <c r="B78" s="2">
        <v>52261502</v>
      </c>
      <c r="C78" s="2">
        <v>52264330</v>
      </c>
      <c r="D78" s="2">
        <v>49678599</v>
      </c>
      <c r="E78" s="2">
        <v>1</v>
      </c>
      <c r="F78" s="2">
        <v>1</v>
      </c>
      <c r="G78" s="2">
        <v>29</v>
      </c>
      <c r="H78" s="2">
        <v>2</v>
      </c>
      <c r="I78" s="2" t="s">
        <v>156</v>
      </c>
      <c r="J78" s="2" t="s">
        <v>393</v>
      </c>
      <c r="K78" s="2" t="s">
        <v>157</v>
      </c>
      <c r="L78" s="2">
        <v>1368</v>
      </c>
      <c r="N78" s="2">
        <v>1011</v>
      </c>
      <c r="O78" s="2" t="s">
        <v>82</v>
      </c>
      <c r="P78" s="2" t="s">
        <v>82</v>
      </c>
      <c r="Q78" s="2">
        <v>1</v>
      </c>
      <c r="W78" s="2">
        <v>0</v>
      </c>
      <c r="X78" s="2">
        <v>-907195224</v>
      </c>
      <c r="Y78" s="2">
        <v>0.65</v>
      </c>
      <c r="AA78" s="2">
        <v>0</v>
      </c>
      <c r="AB78" s="2">
        <v>1268.04</v>
      </c>
      <c r="AC78" s="2">
        <v>484.68</v>
      </c>
      <c r="AD78" s="2">
        <v>0</v>
      </c>
      <c r="AE78" s="2">
        <v>0</v>
      </c>
      <c r="AF78" s="2">
        <v>1268.04</v>
      </c>
      <c r="AG78" s="2">
        <v>484.68</v>
      </c>
      <c r="AH78" s="2">
        <v>0</v>
      </c>
      <c r="AI78" s="2">
        <v>1</v>
      </c>
      <c r="AJ78" s="2">
        <v>1</v>
      </c>
      <c r="AK78" s="2">
        <v>1</v>
      </c>
      <c r="AL78" s="2">
        <v>1</v>
      </c>
      <c r="AN78" s="2">
        <v>0</v>
      </c>
      <c r="AO78" s="2">
        <v>1</v>
      </c>
      <c r="AP78" s="2">
        <v>0</v>
      </c>
      <c r="AQ78" s="2">
        <v>0</v>
      </c>
      <c r="AR78" s="2">
        <v>0</v>
      </c>
      <c r="AS78" s="2" t="s">
        <v>30</v>
      </c>
      <c r="AT78" s="2">
        <v>0.65</v>
      </c>
      <c r="AU78" s="2" t="s">
        <v>30</v>
      </c>
      <c r="AV78" s="2">
        <v>0</v>
      </c>
      <c r="AW78" s="2">
        <v>2</v>
      </c>
      <c r="AX78" s="2">
        <v>52264344</v>
      </c>
      <c r="AY78" s="2">
        <v>1</v>
      </c>
      <c r="AZ78" s="2">
        <v>0</v>
      </c>
      <c r="BA78" s="2">
        <v>76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CX78" s="2">
        <f>Y78*Source!I229</f>
        <v>2.7300000000000001E-2</v>
      </c>
      <c r="CY78" s="2">
        <f>AB78</f>
        <v>1268.04</v>
      </c>
      <c r="CZ78" s="2">
        <f>AF78</f>
        <v>1268.04</v>
      </c>
      <c r="DA78" s="2">
        <f>AJ78</f>
        <v>1</v>
      </c>
      <c r="DB78" s="2">
        <f t="shared" si="6"/>
        <v>824.23</v>
      </c>
      <c r="DC78" s="2">
        <f t="shared" si="7"/>
        <v>315.04000000000002</v>
      </c>
    </row>
    <row r="79" spans="1:107" x14ac:dyDescent="0.25">
      <c r="A79" s="2">
        <f>ROW(Source!A229)</f>
        <v>229</v>
      </c>
      <c r="B79" s="2">
        <v>52261502</v>
      </c>
      <c r="C79" s="2">
        <v>52264330</v>
      </c>
      <c r="D79" s="2">
        <v>49680593</v>
      </c>
      <c r="E79" s="2">
        <v>1</v>
      </c>
      <c r="F79" s="2">
        <v>1</v>
      </c>
      <c r="G79" s="2">
        <v>29</v>
      </c>
      <c r="H79" s="2">
        <v>3</v>
      </c>
      <c r="I79" s="2" t="s">
        <v>158</v>
      </c>
      <c r="J79" s="2" t="s">
        <v>394</v>
      </c>
      <c r="K79" s="2" t="s">
        <v>159</v>
      </c>
      <c r="L79" s="2">
        <v>1339</v>
      </c>
      <c r="N79" s="2">
        <v>1007</v>
      </c>
      <c r="O79" s="2" t="s">
        <v>62</v>
      </c>
      <c r="P79" s="2" t="s">
        <v>62</v>
      </c>
      <c r="Q79" s="2">
        <v>1</v>
      </c>
      <c r="W79" s="2">
        <v>0</v>
      </c>
      <c r="X79" s="2">
        <v>132889534</v>
      </c>
      <c r="Y79" s="2">
        <v>110</v>
      </c>
      <c r="AA79" s="2">
        <v>510.02</v>
      </c>
      <c r="AB79" s="2">
        <v>0</v>
      </c>
      <c r="AC79" s="2">
        <v>0</v>
      </c>
      <c r="AD79" s="2">
        <v>0</v>
      </c>
      <c r="AE79" s="2">
        <v>510.02</v>
      </c>
      <c r="AF79" s="2">
        <v>0</v>
      </c>
      <c r="AG79" s="2">
        <v>0</v>
      </c>
      <c r="AH79" s="2">
        <v>0</v>
      </c>
      <c r="AI79" s="2">
        <v>1</v>
      </c>
      <c r="AJ79" s="2">
        <v>1</v>
      </c>
      <c r="AK79" s="2">
        <v>1</v>
      </c>
      <c r="AL79" s="2">
        <v>1</v>
      </c>
      <c r="AN79" s="2">
        <v>0</v>
      </c>
      <c r="AO79" s="2">
        <v>1</v>
      </c>
      <c r="AP79" s="2">
        <v>0</v>
      </c>
      <c r="AQ79" s="2">
        <v>0</v>
      </c>
      <c r="AR79" s="2">
        <v>0</v>
      </c>
      <c r="AS79" s="2" t="s">
        <v>30</v>
      </c>
      <c r="AT79" s="2">
        <v>110</v>
      </c>
      <c r="AU79" s="2" t="s">
        <v>30</v>
      </c>
      <c r="AV79" s="2">
        <v>0</v>
      </c>
      <c r="AW79" s="2">
        <v>2</v>
      </c>
      <c r="AX79" s="2">
        <v>52264345</v>
      </c>
      <c r="AY79" s="2">
        <v>1</v>
      </c>
      <c r="AZ79" s="2">
        <v>0</v>
      </c>
      <c r="BA79" s="2">
        <v>77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CX79" s="2">
        <f>Y79*Source!I229</f>
        <v>4.62</v>
      </c>
      <c r="CY79" s="2">
        <f>AA79</f>
        <v>510.02</v>
      </c>
      <c r="CZ79" s="2">
        <f>AE79</f>
        <v>510.02</v>
      </c>
      <c r="DA79" s="2">
        <f>AI79</f>
        <v>1</v>
      </c>
      <c r="DB79" s="2">
        <f t="shared" si="6"/>
        <v>56102.2</v>
      </c>
      <c r="DC79" s="2">
        <f t="shared" si="7"/>
        <v>0</v>
      </c>
    </row>
    <row r="80" spans="1:107" x14ac:dyDescent="0.25">
      <c r="A80" s="2">
        <f>ROW(Source!A229)</f>
        <v>229</v>
      </c>
      <c r="B80" s="2">
        <v>52261502</v>
      </c>
      <c r="C80" s="2">
        <v>52264330</v>
      </c>
      <c r="D80" s="2">
        <v>49681352</v>
      </c>
      <c r="E80" s="2">
        <v>1</v>
      </c>
      <c r="F80" s="2">
        <v>1</v>
      </c>
      <c r="G80" s="2">
        <v>29</v>
      </c>
      <c r="H80" s="2">
        <v>3</v>
      </c>
      <c r="I80" s="2" t="s">
        <v>111</v>
      </c>
      <c r="J80" s="2" t="s">
        <v>367</v>
      </c>
      <c r="K80" s="2" t="s">
        <v>112</v>
      </c>
      <c r="L80" s="2">
        <v>1339</v>
      </c>
      <c r="N80" s="2">
        <v>1007</v>
      </c>
      <c r="O80" s="2" t="s">
        <v>62</v>
      </c>
      <c r="P80" s="2" t="s">
        <v>62</v>
      </c>
      <c r="Q80" s="2">
        <v>1</v>
      </c>
      <c r="W80" s="2">
        <v>0</v>
      </c>
      <c r="X80" s="2">
        <v>1995837903</v>
      </c>
      <c r="Y80" s="2">
        <v>5</v>
      </c>
      <c r="AA80" s="2">
        <v>36.31</v>
      </c>
      <c r="AB80" s="2">
        <v>0</v>
      </c>
      <c r="AC80" s="2">
        <v>0</v>
      </c>
      <c r="AD80" s="2">
        <v>0</v>
      </c>
      <c r="AE80" s="2">
        <v>36.31</v>
      </c>
      <c r="AF80" s="2">
        <v>0</v>
      </c>
      <c r="AG80" s="2">
        <v>0</v>
      </c>
      <c r="AH80" s="2">
        <v>0</v>
      </c>
      <c r="AI80" s="2">
        <v>1</v>
      </c>
      <c r="AJ80" s="2">
        <v>1</v>
      </c>
      <c r="AK80" s="2">
        <v>1</v>
      </c>
      <c r="AL80" s="2">
        <v>1</v>
      </c>
      <c r="AN80" s="2">
        <v>0</v>
      </c>
      <c r="AO80" s="2">
        <v>1</v>
      </c>
      <c r="AP80" s="2">
        <v>0</v>
      </c>
      <c r="AQ80" s="2">
        <v>0</v>
      </c>
      <c r="AR80" s="2">
        <v>0</v>
      </c>
      <c r="AS80" s="2" t="s">
        <v>30</v>
      </c>
      <c r="AT80" s="2">
        <v>5</v>
      </c>
      <c r="AU80" s="2" t="s">
        <v>30</v>
      </c>
      <c r="AV80" s="2">
        <v>0</v>
      </c>
      <c r="AW80" s="2">
        <v>2</v>
      </c>
      <c r="AX80" s="2">
        <v>52264346</v>
      </c>
      <c r="AY80" s="2">
        <v>1</v>
      </c>
      <c r="AZ80" s="2">
        <v>0</v>
      </c>
      <c r="BA80" s="2">
        <v>78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CX80" s="2">
        <f>Y80*Source!I229</f>
        <v>0.21</v>
      </c>
      <c r="CY80" s="2">
        <f>AA80</f>
        <v>36.31</v>
      </c>
      <c r="CZ80" s="2">
        <f>AE80</f>
        <v>36.31</v>
      </c>
      <c r="DA80" s="2">
        <f>AI80</f>
        <v>1</v>
      </c>
      <c r="DB80" s="2">
        <f t="shared" si="6"/>
        <v>181.55</v>
      </c>
      <c r="DC80" s="2">
        <f t="shared" si="7"/>
        <v>0</v>
      </c>
    </row>
    <row r="81" spans="1:107" x14ac:dyDescent="0.25">
      <c r="A81" s="2">
        <f>ROW(Source!A230)</f>
        <v>230</v>
      </c>
      <c r="B81" s="2">
        <v>52261502</v>
      </c>
      <c r="C81" s="2">
        <v>52264347</v>
      </c>
      <c r="D81" s="2">
        <v>49677488</v>
      </c>
      <c r="E81" s="2">
        <v>29</v>
      </c>
      <c r="F81" s="2">
        <v>1</v>
      </c>
      <c r="G81" s="2">
        <v>29</v>
      </c>
      <c r="H81" s="2">
        <v>1</v>
      </c>
      <c r="I81" s="2" t="s">
        <v>359</v>
      </c>
      <c r="J81" s="2" t="s">
        <v>30</v>
      </c>
      <c r="K81" s="2" t="s">
        <v>360</v>
      </c>
      <c r="L81" s="2">
        <v>1191</v>
      </c>
      <c r="N81" s="2">
        <v>1013</v>
      </c>
      <c r="O81" s="2" t="s">
        <v>361</v>
      </c>
      <c r="P81" s="2" t="s">
        <v>361</v>
      </c>
      <c r="Q81" s="2">
        <v>1</v>
      </c>
      <c r="W81" s="2">
        <v>0</v>
      </c>
      <c r="X81" s="2">
        <v>476480486</v>
      </c>
      <c r="Y81" s="2">
        <v>24.84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1</v>
      </c>
      <c r="AJ81" s="2">
        <v>1</v>
      </c>
      <c r="AK81" s="2">
        <v>1</v>
      </c>
      <c r="AL81" s="2">
        <v>1</v>
      </c>
      <c r="AN81" s="2">
        <v>0</v>
      </c>
      <c r="AO81" s="2">
        <v>1</v>
      </c>
      <c r="AP81" s="2">
        <v>0</v>
      </c>
      <c r="AQ81" s="2">
        <v>0</v>
      </c>
      <c r="AR81" s="2">
        <v>0</v>
      </c>
      <c r="AS81" s="2" t="s">
        <v>30</v>
      </c>
      <c r="AT81" s="2">
        <v>24.84</v>
      </c>
      <c r="AU81" s="2" t="s">
        <v>30</v>
      </c>
      <c r="AV81" s="2">
        <v>1</v>
      </c>
      <c r="AW81" s="2">
        <v>2</v>
      </c>
      <c r="AX81" s="2">
        <v>52264358</v>
      </c>
      <c r="AY81" s="2">
        <v>1</v>
      </c>
      <c r="AZ81" s="2">
        <v>0</v>
      </c>
      <c r="BA81" s="2">
        <v>79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CX81" s="2">
        <f>Y81*Source!I230</f>
        <v>1.04328</v>
      </c>
      <c r="CY81" s="2">
        <f>AD81</f>
        <v>0</v>
      </c>
      <c r="CZ81" s="2">
        <f>AH81</f>
        <v>0</v>
      </c>
      <c r="DA81" s="2">
        <f>AL81</f>
        <v>1</v>
      </c>
      <c r="DB81" s="2">
        <f t="shared" si="6"/>
        <v>0</v>
      </c>
      <c r="DC81" s="2">
        <f t="shared" si="7"/>
        <v>0</v>
      </c>
    </row>
    <row r="82" spans="1:107" x14ac:dyDescent="0.25">
      <c r="A82" s="2">
        <f>ROW(Source!A230)</f>
        <v>230</v>
      </c>
      <c r="B82" s="2">
        <v>52261502</v>
      </c>
      <c r="C82" s="2">
        <v>52264347</v>
      </c>
      <c r="D82" s="2">
        <v>49678426</v>
      </c>
      <c r="E82" s="2">
        <v>1</v>
      </c>
      <c r="F82" s="2">
        <v>1</v>
      </c>
      <c r="G82" s="2">
        <v>29</v>
      </c>
      <c r="H82" s="2">
        <v>2</v>
      </c>
      <c r="I82" s="2" t="s">
        <v>146</v>
      </c>
      <c r="J82" s="2" t="s">
        <v>395</v>
      </c>
      <c r="K82" s="2" t="s">
        <v>147</v>
      </c>
      <c r="L82" s="2">
        <v>1368</v>
      </c>
      <c r="N82" s="2">
        <v>1011</v>
      </c>
      <c r="O82" s="2" t="s">
        <v>82</v>
      </c>
      <c r="P82" s="2" t="s">
        <v>82</v>
      </c>
      <c r="Q82" s="2">
        <v>1</v>
      </c>
      <c r="W82" s="2">
        <v>0</v>
      </c>
      <c r="X82" s="2">
        <v>825234250</v>
      </c>
      <c r="Y82" s="2">
        <v>2.94</v>
      </c>
      <c r="AA82" s="2">
        <v>0</v>
      </c>
      <c r="AB82" s="2">
        <v>1012.69</v>
      </c>
      <c r="AC82" s="2">
        <v>377.41</v>
      </c>
      <c r="AD82" s="2">
        <v>0</v>
      </c>
      <c r="AE82" s="2">
        <v>0</v>
      </c>
      <c r="AF82" s="2">
        <v>1012.69</v>
      </c>
      <c r="AG82" s="2">
        <v>377.41</v>
      </c>
      <c r="AH82" s="2">
        <v>0</v>
      </c>
      <c r="AI82" s="2">
        <v>1</v>
      </c>
      <c r="AJ82" s="2">
        <v>1</v>
      </c>
      <c r="AK82" s="2">
        <v>1</v>
      </c>
      <c r="AL82" s="2">
        <v>1</v>
      </c>
      <c r="AN82" s="2">
        <v>0</v>
      </c>
      <c r="AO82" s="2">
        <v>1</v>
      </c>
      <c r="AP82" s="2">
        <v>0</v>
      </c>
      <c r="AQ82" s="2">
        <v>0</v>
      </c>
      <c r="AR82" s="2">
        <v>0</v>
      </c>
      <c r="AS82" s="2" t="s">
        <v>30</v>
      </c>
      <c r="AT82" s="2">
        <v>2.94</v>
      </c>
      <c r="AU82" s="2" t="s">
        <v>30</v>
      </c>
      <c r="AV82" s="2">
        <v>0</v>
      </c>
      <c r="AW82" s="2">
        <v>2</v>
      </c>
      <c r="AX82" s="2">
        <v>52264359</v>
      </c>
      <c r="AY82" s="2">
        <v>1</v>
      </c>
      <c r="AZ82" s="2">
        <v>0</v>
      </c>
      <c r="BA82" s="2">
        <v>80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CX82" s="2">
        <f>Y82*Source!I230</f>
        <v>0.12348000000000001</v>
      </c>
      <c r="CY82" s="2">
        <f t="shared" ref="CY82:CY87" si="8">AB82</f>
        <v>1012.69</v>
      </c>
      <c r="CZ82" s="2">
        <f t="shared" ref="CZ82:CZ87" si="9">AF82</f>
        <v>1012.69</v>
      </c>
      <c r="DA82" s="2">
        <f t="shared" ref="DA82:DA87" si="10">AJ82</f>
        <v>1</v>
      </c>
      <c r="DB82" s="2">
        <f t="shared" si="6"/>
        <v>2977.31</v>
      </c>
      <c r="DC82" s="2">
        <f t="shared" si="7"/>
        <v>1109.5899999999999</v>
      </c>
    </row>
    <row r="83" spans="1:107" x14ac:dyDescent="0.25">
      <c r="A83" s="2">
        <f>ROW(Source!A230)</f>
        <v>230</v>
      </c>
      <c r="B83" s="2">
        <v>52261502</v>
      </c>
      <c r="C83" s="2">
        <v>52264347</v>
      </c>
      <c r="D83" s="2">
        <v>49678609</v>
      </c>
      <c r="E83" s="2">
        <v>1</v>
      </c>
      <c r="F83" s="2">
        <v>1</v>
      </c>
      <c r="G83" s="2">
        <v>29</v>
      </c>
      <c r="H83" s="2">
        <v>2</v>
      </c>
      <c r="I83" s="2" t="s">
        <v>152</v>
      </c>
      <c r="J83" s="2" t="s">
        <v>391</v>
      </c>
      <c r="K83" s="2" t="s">
        <v>153</v>
      </c>
      <c r="L83" s="2">
        <v>1368</v>
      </c>
      <c r="N83" s="2">
        <v>1011</v>
      </c>
      <c r="O83" s="2" t="s">
        <v>82</v>
      </c>
      <c r="P83" s="2" t="s">
        <v>82</v>
      </c>
      <c r="Q83" s="2">
        <v>1</v>
      </c>
      <c r="W83" s="2">
        <v>0</v>
      </c>
      <c r="X83" s="2">
        <v>534254421</v>
      </c>
      <c r="Y83" s="2">
        <v>1.1399999999999999</v>
      </c>
      <c r="AA83" s="2">
        <v>0</v>
      </c>
      <c r="AB83" s="2">
        <v>2043.52</v>
      </c>
      <c r="AC83" s="2">
        <v>481.49</v>
      </c>
      <c r="AD83" s="2">
        <v>0</v>
      </c>
      <c r="AE83" s="2">
        <v>0</v>
      </c>
      <c r="AF83" s="2">
        <v>2043.52</v>
      </c>
      <c r="AG83" s="2">
        <v>481.49</v>
      </c>
      <c r="AH83" s="2">
        <v>0</v>
      </c>
      <c r="AI83" s="2">
        <v>1</v>
      </c>
      <c r="AJ83" s="2">
        <v>1</v>
      </c>
      <c r="AK83" s="2">
        <v>1</v>
      </c>
      <c r="AL83" s="2">
        <v>1</v>
      </c>
      <c r="AN83" s="2">
        <v>0</v>
      </c>
      <c r="AO83" s="2">
        <v>1</v>
      </c>
      <c r="AP83" s="2">
        <v>0</v>
      </c>
      <c r="AQ83" s="2">
        <v>0</v>
      </c>
      <c r="AR83" s="2">
        <v>0</v>
      </c>
      <c r="AS83" s="2" t="s">
        <v>30</v>
      </c>
      <c r="AT83" s="2">
        <v>1.1399999999999999</v>
      </c>
      <c r="AU83" s="2" t="s">
        <v>30</v>
      </c>
      <c r="AV83" s="2">
        <v>0</v>
      </c>
      <c r="AW83" s="2">
        <v>2</v>
      </c>
      <c r="AX83" s="2">
        <v>52264360</v>
      </c>
      <c r="AY83" s="2">
        <v>1</v>
      </c>
      <c r="AZ83" s="2">
        <v>0</v>
      </c>
      <c r="BA83" s="2">
        <v>81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CX83" s="2">
        <f>Y83*Source!I230</f>
        <v>4.7879999999999999E-2</v>
      </c>
      <c r="CY83" s="2">
        <f t="shared" si="8"/>
        <v>2043.52</v>
      </c>
      <c r="CZ83" s="2">
        <f t="shared" si="9"/>
        <v>2043.52</v>
      </c>
      <c r="DA83" s="2">
        <f t="shared" si="10"/>
        <v>1</v>
      </c>
      <c r="DB83" s="2">
        <f t="shared" si="6"/>
        <v>2329.61</v>
      </c>
      <c r="DC83" s="2">
        <f t="shared" si="7"/>
        <v>548.9</v>
      </c>
    </row>
    <row r="84" spans="1:107" x14ac:dyDescent="0.25">
      <c r="A84" s="2">
        <f>ROW(Source!A230)</f>
        <v>230</v>
      </c>
      <c r="B84" s="2">
        <v>52261502</v>
      </c>
      <c r="C84" s="2">
        <v>52264347</v>
      </c>
      <c r="D84" s="2">
        <v>49678594</v>
      </c>
      <c r="E84" s="2">
        <v>1</v>
      </c>
      <c r="F84" s="2">
        <v>1</v>
      </c>
      <c r="G84" s="2">
        <v>29</v>
      </c>
      <c r="H84" s="2">
        <v>2</v>
      </c>
      <c r="I84" s="2" t="s">
        <v>97</v>
      </c>
      <c r="J84" s="2" t="s">
        <v>371</v>
      </c>
      <c r="K84" s="2" t="s">
        <v>98</v>
      </c>
      <c r="L84" s="2">
        <v>1368</v>
      </c>
      <c r="N84" s="2">
        <v>1011</v>
      </c>
      <c r="O84" s="2" t="s">
        <v>82</v>
      </c>
      <c r="P84" s="2" t="s">
        <v>82</v>
      </c>
      <c r="Q84" s="2">
        <v>1</v>
      </c>
      <c r="W84" s="2">
        <v>0</v>
      </c>
      <c r="X84" s="2">
        <v>-180193475</v>
      </c>
      <c r="Y84" s="2">
        <v>8.9600000000000009</v>
      </c>
      <c r="AA84" s="2">
        <v>0</v>
      </c>
      <c r="AB84" s="2">
        <v>1364.68</v>
      </c>
      <c r="AC84" s="2">
        <v>556.52</v>
      </c>
      <c r="AD84" s="2">
        <v>0</v>
      </c>
      <c r="AE84" s="2">
        <v>0</v>
      </c>
      <c r="AF84" s="2">
        <v>1364.68</v>
      </c>
      <c r="AG84" s="2">
        <v>556.52</v>
      </c>
      <c r="AH84" s="2">
        <v>0</v>
      </c>
      <c r="AI84" s="2">
        <v>1</v>
      </c>
      <c r="AJ84" s="2">
        <v>1</v>
      </c>
      <c r="AK84" s="2">
        <v>1</v>
      </c>
      <c r="AL84" s="2">
        <v>1</v>
      </c>
      <c r="AN84" s="2">
        <v>0</v>
      </c>
      <c r="AO84" s="2">
        <v>1</v>
      </c>
      <c r="AP84" s="2">
        <v>0</v>
      </c>
      <c r="AQ84" s="2">
        <v>0</v>
      </c>
      <c r="AR84" s="2">
        <v>0</v>
      </c>
      <c r="AS84" s="2" t="s">
        <v>30</v>
      </c>
      <c r="AT84" s="2">
        <v>8.9600000000000009</v>
      </c>
      <c r="AU84" s="2" t="s">
        <v>30</v>
      </c>
      <c r="AV84" s="2">
        <v>0</v>
      </c>
      <c r="AW84" s="2">
        <v>2</v>
      </c>
      <c r="AX84" s="2">
        <v>52264361</v>
      </c>
      <c r="AY84" s="2">
        <v>1</v>
      </c>
      <c r="AZ84" s="2">
        <v>0</v>
      </c>
      <c r="BA84" s="2">
        <v>82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CX84" s="2">
        <f>Y84*Source!I230</f>
        <v>0.37631999999999999</v>
      </c>
      <c r="CY84" s="2">
        <f t="shared" si="8"/>
        <v>1364.68</v>
      </c>
      <c r="CZ84" s="2">
        <f t="shared" si="9"/>
        <v>1364.68</v>
      </c>
      <c r="DA84" s="2">
        <f t="shared" si="10"/>
        <v>1</v>
      </c>
      <c r="DB84" s="2">
        <f t="shared" si="6"/>
        <v>12227.53</v>
      </c>
      <c r="DC84" s="2">
        <f t="shared" si="7"/>
        <v>4986.42</v>
      </c>
    </row>
    <row r="85" spans="1:107" x14ac:dyDescent="0.25">
      <c r="A85" s="2">
        <f>ROW(Source!A230)</f>
        <v>230</v>
      </c>
      <c r="B85" s="2">
        <v>52261502</v>
      </c>
      <c r="C85" s="2">
        <v>52264347</v>
      </c>
      <c r="D85" s="2">
        <v>49678595</v>
      </c>
      <c r="E85" s="2">
        <v>1</v>
      </c>
      <c r="F85" s="2">
        <v>1</v>
      </c>
      <c r="G85" s="2">
        <v>29</v>
      </c>
      <c r="H85" s="2">
        <v>2</v>
      </c>
      <c r="I85" s="2" t="s">
        <v>99</v>
      </c>
      <c r="J85" s="2" t="s">
        <v>372</v>
      </c>
      <c r="K85" s="2" t="s">
        <v>100</v>
      </c>
      <c r="L85" s="2">
        <v>1368</v>
      </c>
      <c r="N85" s="2">
        <v>1011</v>
      </c>
      <c r="O85" s="2" t="s">
        <v>82</v>
      </c>
      <c r="P85" s="2" t="s">
        <v>82</v>
      </c>
      <c r="Q85" s="2">
        <v>1</v>
      </c>
      <c r="W85" s="2">
        <v>0</v>
      </c>
      <c r="X85" s="2">
        <v>802121905</v>
      </c>
      <c r="Y85" s="2">
        <v>18.25</v>
      </c>
      <c r="AA85" s="2">
        <v>0</v>
      </c>
      <c r="AB85" s="2">
        <v>1888.15</v>
      </c>
      <c r="AC85" s="2">
        <v>756.58</v>
      </c>
      <c r="AD85" s="2">
        <v>0</v>
      </c>
      <c r="AE85" s="2">
        <v>0</v>
      </c>
      <c r="AF85" s="2">
        <v>1888.15</v>
      </c>
      <c r="AG85" s="2">
        <v>756.58</v>
      </c>
      <c r="AH85" s="2">
        <v>0</v>
      </c>
      <c r="AI85" s="2">
        <v>1</v>
      </c>
      <c r="AJ85" s="2">
        <v>1</v>
      </c>
      <c r="AK85" s="2">
        <v>1</v>
      </c>
      <c r="AL85" s="2">
        <v>1</v>
      </c>
      <c r="AN85" s="2">
        <v>0</v>
      </c>
      <c r="AO85" s="2">
        <v>1</v>
      </c>
      <c r="AP85" s="2">
        <v>0</v>
      </c>
      <c r="AQ85" s="2">
        <v>0</v>
      </c>
      <c r="AR85" s="2">
        <v>0</v>
      </c>
      <c r="AS85" s="2" t="s">
        <v>30</v>
      </c>
      <c r="AT85" s="2">
        <v>18.25</v>
      </c>
      <c r="AU85" s="2" t="s">
        <v>30</v>
      </c>
      <c r="AV85" s="2">
        <v>0</v>
      </c>
      <c r="AW85" s="2">
        <v>2</v>
      </c>
      <c r="AX85" s="2">
        <v>52264362</v>
      </c>
      <c r="AY85" s="2">
        <v>1</v>
      </c>
      <c r="AZ85" s="2">
        <v>0</v>
      </c>
      <c r="BA85" s="2">
        <v>83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CX85" s="2">
        <f>Y85*Source!I230</f>
        <v>0.76649999999999996</v>
      </c>
      <c r="CY85" s="2">
        <f t="shared" si="8"/>
        <v>1888.15</v>
      </c>
      <c r="CZ85" s="2">
        <f t="shared" si="9"/>
        <v>1888.15</v>
      </c>
      <c r="DA85" s="2">
        <f t="shared" si="10"/>
        <v>1</v>
      </c>
      <c r="DB85" s="2">
        <f t="shared" si="6"/>
        <v>34458.74</v>
      </c>
      <c r="DC85" s="2">
        <f t="shared" si="7"/>
        <v>13807.59</v>
      </c>
    </row>
    <row r="86" spans="1:107" x14ac:dyDescent="0.25">
      <c r="A86" s="2">
        <f>ROW(Source!A230)</f>
        <v>230</v>
      </c>
      <c r="B86" s="2">
        <v>52261502</v>
      </c>
      <c r="C86" s="2">
        <v>52264347</v>
      </c>
      <c r="D86" s="2">
        <v>49678633</v>
      </c>
      <c r="E86" s="2">
        <v>1</v>
      </c>
      <c r="F86" s="2">
        <v>1</v>
      </c>
      <c r="G86" s="2">
        <v>29</v>
      </c>
      <c r="H86" s="2">
        <v>2</v>
      </c>
      <c r="I86" s="2" t="s">
        <v>154</v>
      </c>
      <c r="J86" s="2" t="s">
        <v>392</v>
      </c>
      <c r="K86" s="2" t="s">
        <v>155</v>
      </c>
      <c r="L86" s="2">
        <v>1368</v>
      </c>
      <c r="N86" s="2">
        <v>1011</v>
      </c>
      <c r="O86" s="2" t="s">
        <v>82</v>
      </c>
      <c r="P86" s="2" t="s">
        <v>82</v>
      </c>
      <c r="Q86" s="2">
        <v>1</v>
      </c>
      <c r="W86" s="2">
        <v>0</v>
      </c>
      <c r="X86" s="2">
        <v>1254933040</v>
      </c>
      <c r="Y86" s="2">
        <v>2.2400000000000002</v>
      </c>
      <c r="AA86" s="2">
        <v>0</v>
      </c>
      <c r="AB86" s="2">
        <v>1478.7</v>
      </c>
      <c r="AC86" s="2">
        <v>673.39</v>
      </c>
      <c r="AD86" s="2">
        <v>0</v>
      </c>
      <c r="AE86" s="2">
        <v>0</v>
      </c>
      <c r="AF86" s="2">
        <v>1478.7</v>
      </c>
      <c r="AG86" s="2">
        <v>673.39</v>
      </c>
      <c r="AH86" s="2">
        <v>0</v>
      </c>
      <c r="AI86" s="2">
        <v>1</v>
      </c>
      <c r="AJ86" s="2">
        <v>1</v>
      </c>
      <c r="AK86" s="2">
        <v>1</v>
      </c>
      <c r="AL86" s="2">
        <v>1</v>
      </c>
      <c r="AN86" s="2">
        <v>0</v>
      </c>
      <c r="AO86" s="2">
        <v>1</v>
      </c>
      <c r="AP86" s="2">
        <v>0</v>
      </c>
      <c r="AQ86" s="2">
        <v>0</v>
      </c>
      <c r="AR86" s="2">
        <v>0</v>
      </c>
      <c r="AS86" s="2" t="s">
        <v>30</v>
      </c>
      <c r="AT86" s="2">
        <v>2.2400000000000002</v>
      </c>
      <c r="AU86" s="2" t="s">
        <v>30</v>
      </c>
      <c r="AV86" s="2">
        <v>0</v>
      </c>
      <c r="AW86" s="2">
        <v>2</v>
      </c>
      <c r="AX86" s="2">
        <v>52264363</v>
      </c>
      <c r="AY86" s="2">
        <v>1</v>
      </c>
      <c r="AZ86" s="2">
        <v>0</v>
      </c>
      <c r="BA86" s="2">
        <v>84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CX86" s="2">
        <f>Y86*Source!I230</f>
        <v>9.4079999999999997E-2</v>
      </c>
      <c r="CY86" s="2">
        <f t="shared" si="8"/>
        <v>1478.7</v>
      </c>
      <c r="CZ86" s="2">
        <f t="shared" si="9"/>
        <v>1478.7</v>
      </c>
      <c r="DA86" s="2">
        <f t="shared" si="10"/>
        <v>1</v>
      </c>
      <c r="DB86" s="2">
        <f t="shared" si="6"/>
        <v>3312.29</v>
      </c>
      <c r="DC86" s="2">
        <f t="shared" si="7"/>
        <v>1508.39</v>
      </c>
    </row>
    <row r="87" spans="1:107" x14ac:dyDescent="0.25">
      <c r="A87" s="2">
        <f>ROW(Source!A230)</f>
        <v>230</v>
      </c>
      <c r="B87" s="2">
        <v>52261502</v>
      </c>
      <c r="C87" s="2">
        <v>52264347</v>
      </c>
      <c r="D87" s="2">
        <v>49678599</v>
      </c>
      <c r="E87" s="2">
        <v>1</v>
      </c>
      <c r="F87" s="2">
        <v>1</v>
      </c>
      <c r="G87" s="2">
        <v>29</v>
      </c>
      <c r="H87" s="2">
        <v>2</v>
      </c>
      <c r="I87" s="2" t="s">
        <v>156</v>
      </c>
      <c r="J87" s="2" t="s">
        <v>393</v>
      </c>
      <c r="K87" s="2" t="s">
        <v>157</v>
      </c>
      <c r="L87" s="2">
        <v>1368</v>
      </c>
      <c r="N87" s="2">
        <v>1011</v>
      </c>
      <c r="O87" s="2" t="s">
        <v>82</v>
      </c>
      <c r="P87" s="2" t="s">
        <v>82</v>
      </c>
      <c r="Q87" s="2">
        <v>1</v>
      </c>
      <c r="W87" s="2">
        <v>0</v>
      </c>
      <c r="X87" s="2">
        <v>-907195224</v>
      </c>
      <c r="Y87" s="2">
        <v>0.65</v>
      </c>
      <c r="AA87" s="2">
        <v>0</v>
      </c>
      <c r="AB87" s="2">
        <v>1268.04</v>
      </c>
      <c r="AC87" s="2">
        <v>484.68</v>
      </c>
      <c r="AD87" s="2">
        <v>0</v>
      </c>
      <c r="AE87" s="2">
        <v>0</v>
      </c>
      <c r="AF87" s="2">
        <v>1268.04</v>
      </c>
      <c r="AG87" s="2">
        <v>484.68</v>
      </c>
      <c r="AH87" s="2">
        <v>0</v>
      </c>
      <c r="AI87" s="2">
        <v>1</v>
      </c>
      <c r="AJ87" s="2">
        <v>1</v>
      </c>
      <c r="AK87" s="2">
        <v>1</v>
      </c>
      <c r="AL87" s="2">
        <v>1</v>
      </c>
      <c r="AN87" s="2">
        <v>0</v>
      </c>
      <c r="AO87" s="2">
        <v>1</v>
      </c>
      <c r="AP87" s="2">
        <v>0</v>
      </c>
      <c r="AQ87" s="2">
        <v>0</v>
      </c>
      <c r="AR87" s="2">
        <v>0</v>
      </c>
      <c r="AS87" s="2" t="s">
        <v>30</v>
      </c>
      <c r="AT87" s="2">
        <v>0.65</v>
      </c>
      <c r="AU87" s="2" t="s">
        <v>30</v>
      </c>
      <c r="AV87" s="2">
        <v>0</v>
      </c>
      <c r="AW87" s="2">
        <v>2</v>
      </c>
      <c r="AX87" s="2">
        <v>52264364</v>
      </c>
      <c r="AY87" s="2">
        <v>1</v>
      </c>
      <c r="AZ87" s="2">
        <v>0</v>
      </c>
      <c r="BA87" s="2">
        <v>85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CX87" s="2">
        <f>Y87*Source!I230</f>
        <v>2.7300000000000001E-2</v>
      </c>
      <c r="CY87" s="2">
        <f t="shared" si="8"/>
        <v>1268.04</v>
      </c>
      <c r="CZ87" s="2">
        <f t="shared" si="9"/>
        <v>1268.04</v>
      </c>
      <c r="DA87" s="2">
        <f t="shared" si="10"/>
        <v>1</v>
      </c>
      <c r="DB87" s="2">
        <f t="shared" si="6"/>
        <v>824.23</v>
      </c>
      <c r="DC87" s="2">
        <f t="shared" si="7"/>
        <v>315.04000000000002</v>
      </c>
    </row>
    <row r="88" spans="1:107" x14ac:dyDescent="0.25">
      <c r="A88" s="2">
        <f>ROW(Source!A230)</f>
        <v>230</v>
      </c>
      <c r="B88" s="2">
        <v>52261502</v>
      </c>
      <c r="C88" s="2">
        <v>52264347</v>
      </c>
      <c r="D88" s="2">
        <v>49680614</v>
      </c>
      <c r="E88" s="2">
        <v>1</v>
      </c>
      <c r="F88" s="2">
        <v>1</v>
      </c>
      <c r="G88" s="2">
        <v>29</v>
      </c>
      <c r="H88" s="2">
        <v>3</v>
      </c>
      <c r="I88" s="2" t="s">
        <v>107</v>
      </c>
      <c r="J88" s="2" t="s">
        <v>197</v>
      </c>
      <c r="K88" s="2" t="s">
        <v>108</v>
      </c>
      <c r="L88" s="2">
        <v>1339</v>
      </c>
      <c r="N88" s="2">
        <v>1007</v>
      </c>
      <c r="O88" s="2" t="s">
        <v>62</v>
      </c>
      <c r="P88" s="2" t="s">
        <v>62</v>
      </c>
      <c r="Q88" s="2">
        <v>1</v>
      </c>
      <c r="W88" s="2">
        <v>0</v>
      </c>
      <c r="X88" s="2">
        <v>-579596608</v>
      </c>
      <c r="Y88" s="2">
        <v>126</v>
      </c>
      <c r="AA88" s="2">
        <v>1232.5</v>
      </c>
      <c r="AB88" s="2">
        <v>0</v>
      </c>
      <c r="AC88" s="2">
        <v>0</v>
      </c>
      <c r="AD88" s="2">
        <v>0</v>
      </c>
      <c r="AE88" s="2">
        <v>1232.5</v>
      </c>
      <c r="AF88" s="2">
        <v>0</v>
      </c>
      <c r="AG88" s="2">
        <v>0</v>
      </c>
      <c r="AH88" s="2">
        <v>0</v>
      </c>
      <c r="AI88" s="2">
        <v>1</v>
      </c>
      <c r="AJ88" s="2">
        <v>1</v>
      </c>
      <c r="AK88" s="2">
        <v>1</v>
      </c>
      <c r="AL88" s="2">
        <v>1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 t="s">
        <v>30</v>
      </c>
      <c r="AT88" s="2">
        <v>126</v>
      </c>
      <c r="AU88" s="2" t="s">
        <v>30</v>
      </c>
      <c r="AV88" s="2">
        <v>0</v>
      </c>
      <c r="AW88" s="2">
        <v>1</v>
      </c>
      <c r="AX88" s="2">
        <v>-1</v>
      </c>
      <c r="AY88" s="2">
        <v>0</v>
      </c>
      <c r="AZ88" s="2">
        <v>0</v>
      </c>
      <c r="BA88" s="2" t="s">
        <v>30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CX88" s="2">
        <f>Y88*Source!I230</f>
        <v>5.2919999999999998</v>
      </c>
      <c r="CY88" s="2">
        <f>AA88</f>
        <v>1232.5</v>
      </c>
      <c r="CZ88" s="2">
        <f>AE88</f>
        <v>1232.5</v>
      </c>
      <c r="DA88" s="2">
        <f>AI88</f>
        <v>1</v>
      </c>
      <c r="DB88" s="2">
        <f t="shared" si="6"/>
        <v>155295</v>
      </c>
      <c r="DC88" s="2">
        <f t="shared" si="7"/>
        <v>0</v>
      </c>
    </row>
    <row r="89" spans="1:107" x14ac:dyDescent="0.25">
      <c r="A89" s="2">
        <f>ROW(Source!A230)</f>
        <v>230</v>
      </c>
      <c r="B89" s="2">
        <v>52261502</v>
      </c>
      <c r="C89" s="2">
        <v>52264347</v>
      </c>
      <c r="D89" s="2">
        <v>49680619</v>
      </c>
      <c r="E89" s="2">
        <v>1</v>
      </c>
      <c r="F89" s="2">
        <v>1</v>
      </c>
      <c r="G89" s="2">
        <v>29</v>
      </c>
      <c r="H89" s="2">
        <v>3</v>
      </c>
      <c r="I89" s="2" t="s">
        <v>194</v>
      </c>
      <c r="J89" s="2" t="s">
        <v>196</v>
      </c>
      <c r="K89" s="2" t="s">
        <v>195</v>
      </c>
      <c r="L89" s="2">
        <v>1339</v>
      </c>
      <c r="N89" s="2">
        <v>1007</v>
      </c>
      <c r="O89" s="2" t="s">
        <v>62</v>
      </c>
      <c r="P89" s="2" t="s">
        <v>62</v>
      </c>
      <c r="Q89" s="2">
        <v>1</v>
      </c>
      <c r="W89" s="2">
        <v>1</v>
      </c>
      <c r="X89" s="2">
        <v>-1914292201</v>
      </c>
      <c r="Y89" s="2">
        <v>-126</v>
      </c>
      <c r="AA89" s="2">
        <v>1542.75</v>
      </c>
      <c r="AB89" s="2">
        <v>0</v>
      </c>
      <c r="AC89" s="2">
        <v>0</v>
      </c>
      <c r="AD89" s="2">
        <v>0</v>
      </c>
      <c r="AE89" s="2">
        <v>1542.75</v>
      </c>
      <c r="AF89" s="2">
        <v>0</v>
      </c>
      <c r="AG89" s="2">
        <v>0</v>
      </c>
      <c r="AH89" s="2">
        <v>0</v>
      </c>
      <c r="AI89" s="2">
        <v>1</v>
      </c>
      <c r="AJ89" s="2">
        <v>1</v>
      </c>
      <c r="AK89" s="2">
        <v>1</v>
      </c>
      <c r="AL89" s="2">
        <v>1</v>
      </c>
      <c r="AN89" s="2">
        <v>0</v>
      </c>
      <c r="AO89" s="2">
        <v>1</v>
      </c>
      <c r="AP89" s="2">
        <v>0</v>
      </c>
      <c r="AQ89" s="2">
        <v>0</v>
      </c>
      <c r="AR89" s="2">
        <v>0</v>
      </c>
      <c r="AS89" s="2" t="s">
        <v>30</v>
      </c>
      <c r="AT89" s="2">
        <v>-126</v>
      </c>
      <c r="AU89" s="2" t="s">
        <v>30</v>
      </c>
      <c r="AV89" s="2">
        <v>0</v>
      </c>
      <c r="AW89" s="2">
        <v>2</v>
      </c>
      <c r="AX89" s="2">
        <v>52264365</v>
      </c>
      <c r="AY89" s="2">
        <v>1</v>
      </c>
      <c r="AZ89" s="2">
        <v>6144</v>
      </c>
      <c r="BA89" s="2">
        <v>86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CX89" s="2">
        <f>Y89*Source!I230</f>
        <v>-5.2919999999999998</v>
      </c>
      <c r="CY89" s="2">
        <f>AA89</f>
        <v>1542.75</v>
      </c>
      <c r="CZ89" s="2">
        <f>AE89</f>
        <v>1542.75</v>
      </c>
      <c r="DA89" s="2">
        <f>AI89</f>
        <v>1</v>
      </c>
      <c r="DB89" s="2">
        <f t="shared" si="6"/>
        <v>-194386.5</v>
      </c>
      <c r="DC89" s="2">
        <f t="shared" si="7"/>
        <v>0</v>
      </c>
    </row>
    <row r="90" spans="1:107" x14ac:dyDescent="0.25">
      <c r="A90" s="2">
        <f>ROW(Source!A230)</f>
        <v>230</v>
      </c>
      <c r="B90" s="2">
        <v>52261502</v>
      </c>
      <c r="C90" s="2">
        <v>52264347</v>
      </c>
      <c r="D90" s="2">
        <v>49681352</v>
      </c>
      <c r="E90" s="2">
        <v>1</v>
      </c>
      <c r="F90" s="2">
        <v>1</v>
      </c>
      <c r="G90" s="2">
        <v>29</v>
      </c>
      <c r="H90" s="2">
        <v>3</v>
      </c>
      <c r="I90" s="2" t="s">
        <v>111</v>
      </c>
      <c r="J90" s="2" t="s">
        <v>367</v>
      </c>
      <c r="K90" s="2" t="s">
        <v>112</v>
      </c>
      <c r="L90" s="2">
        <v>1339</v>
      </c>
      <c r="N90" s="2">
        <v>1007</v>
      </c>
      <c r="O90" s="2" t="s">
        <v>62</v>
      </c>
      <c r="P90" s="2" t="s">
        <v>62</v>
      </c>
      <c r="Q90" s="2">
        <v>1</v>
      </c>
      <c r="W90" s="2">
        <v>0</v>
      </c>
      <c r="X90" s="2">
        <v>1995837903</v>
      </c>
      <c r="Y90" s="2">
        <v>7</v>
      </c>
      <c r="AA90" s="2">
        <v>36.31</v>
      </c>
      <c r="AB90" s="2">
        <v>0</v>
      </c>
      <c r="AC90" s="2">
        <v>0</v>
      </c>
      <c r="AD90" s="2">
        <v>0</v>
      </c>
      <c r="AE90" s="2">
        <v>36.31</v>
      </c>
      <c r="AF90" s="2">
        <v>0</v>
      </c>
      <c r="AG90" s="2">
        <v>0</v>
      </c>
      <c r="AH90" s="2">
        <v>0</v>
      </c>
      <c r="AI90" s="2">
        <v>1</v>
      </c>
      <c r="AJ90" s="2">
        <v>1</v>
      </c>
      <c r="AK90" s="2">
        <v>1</v>
      </c>
      <c r="AL90" s="2">
        <v>1</v>
      </c>
      <c r="AN90" s="2">
        <v>0</v>
      </c>
      <c r="AO90" s="2">
        <v>1</v>
      </c>
      <c r="AP90" s="2">
        <v>0</v>
      </c>
      <c r="AQ90" s="2">
        <v>0</v>
      </c>
      <c r="AR90" s="2">
        <v>0</v>
      </c>
      <c r="AS90" s="2" t="s">
        <v>30</v>
      </c>
      <c r="AT90" s="2">
        <v>7</v>
      </c>
      <c r="AU90" s="2" t="s">
        <v>30</v>
      </c>
      <c r="AV90" s="2">
        <v>0</v>
      </c>
      <c r="AW90" s="2">
        <v>2</v>
      </c>
      <c r="AX90" s="2">
        <v>52264366</v>
      </c>
      <c r="AY90" s="2">
        <v>1</v>
      </c>
      <c r="AZ90" s="2">
        <v>0</v>
      </c>
      <c r="BA90" s="2">
        <v>87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CX90" s="2">
        <f>Y90*Source!I230</f>
        <v>0.29399999999999998</v>
      </c>
      <c r="CY90" s="2">
        <f>AA90</f>
        <v>36.31</v>
      </c>
      <c r="CZ90" s="2">
        <f>AE90</f>
        <v>36.31</v>
      </c>
      <c r="DA90" s="2">
        <f>AI90</f>
        <v>1</v>
      </c>
      <c r="DB90" s="2">
        <f t="shared" si="6"/>
        <v>254.17</v>
      </c>
      <c r="DC90" s="2">
        <f t="shared" si="7"/>
        <v>0</v>
      </c>
    </row>
    <row r="91" spans="1:107" x14ac:dyDescent="0.25">
      <c r="A91" s="2">
        <f>ROW(Source!A233)</f>
        <v>233</v>
      </c>
      <c r="B91" s="2">
        <v>52261502</v>
      </c>
      <c r="C91" s="2">
        <v>52264369</v>
      </c>
      <c r="D91" s="2">
        <v>49677488</v>
      </c>
      <c r="E91" s="2">
        <v>29</v>
      </c>
      <c r="F91" s="2">
        <v>1</v>
      </c>
      <c r="G91" s="2">
        <v>29</v>
      </c>
      <c r="H91" s="2">
        <v>1</v>
      </c>
      <c r="I91" s="2" t="s">
        <v>359</v>
      </c>
      <c r="J91" s="2" t="s">
        <v>30</v>
      </c>
      <c r="K91" s="2" t="s">
        <v>360</v>
      </c>
      <c r="L91" s="2">
        <v>1191</v>
      </c>
      <c r="N91" s="2">
        <v>1013</v>
      </c>
      <c r="O91" s="2" t="s">
        <v>361</v>
      </c>
      <c r="P91" s="2" t="s">
        <v>361</v>
      </c>
      <c r="Q91" s="2">
        <v>1</v>
      </c>
      <c r="W91" s="2">
        <v>0</v>
      </c>
      <c r="X91" s="2">
        <v>476480486</v>
      </c>
      <c r="Y91" s="2">
        <v>10.3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1</v>
      </c>
      <c r="AJ91" s="2">
        <v>1</v>
      </c>
      <c r="AK91" s="2">
        <v>1</v>
      </c>
      <c r="AL91" s="2">
        <v>1</v>
      </c>
      <c r="AN91" s="2">
        <v>0</v>
      </c>
      <c r="AO91" s="2">
        <v>1</v>
      </c>
      <c r="AP91" s="2">
        <v>0</v>
      </c>
      <c r="AQ91" s="2">
        <v>0</v>
      </c>
      <c r="AR91" s="2">
        <v>0</v>
      </c>
      <c r="AS91" s="2" t="s">
        <v>30</v>
      </c>
      <c r="AT91" s="2">
        <v>10.3</v>
      </c>
      <c r="AU91" s="2" t="s">
        <v>30</v>
      </c>
      <c r="AV91" s="2">
        <v>1</v>
      </c>
      <c r="AW91" s="2">
        <v>2</v>
      </c>
      <c r="AX91" s="2">
        <v>52264375</v>
      </c>
      <c r="AY91" s="2">
        <v>1</v>
      </c>
      <c r="AZ91" s="2">
        <v>0</v>
      </c>
      <c r="BA91" s="2">
        <v>88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CX91" s="2">
        <f>Y91*Source!I233</f>
        <v>4.3259999999999996</v>
      </c>
      <c r="CY91" s="2">
        <f>AD91</f>
        <v>0</v>
      </c>
      <c r="CZ91" s="2">
        <f>AH91</f>
        <v>0</v>
      </c>
      <c r="DA91" s="2">
        <f>AL91</f>
        <v>1</v>
      </c>
      <c r="DB91" s="2">
        <f t="shared" si="6"/>
        <v>0</v>
      </c>
      <c r="DC91" s="2">
        <f t="shared" si="7"/>
        <v>0</v>
      </c>
    </row>
    <row r="92" spans="1:107" x14ac:dyDescent="0.25">
      <c r="A92" s="2">
        <f>ROW(Source!A233)</f>
        <v>233</v>
      </c>
      <c r="B92" s="2">
        <v>52261502</v>
      </c>
      <c r="C92" s="2">
        <v>52264369</v>
      </c>
      <c r="D92" s="2">
        <v>49678594</v>
      </c>
      <c r="E92" s="2">
        <v>1</v>
      </c>
      <c r="F92" s="2">
        <v>1</v>
      </c>
      <c r="G92" s="2">
        <v>29</v>
      </c>
      <c r="H92" s="2">
        <v>2</v>
      </c>
      <c r="I92" s="2" t="s">
        <v>97</v>
      </c>
      <c r="J92" s="2" t="s">
        <v>371</v>
      </c>
      <c r="K92" s="2" t="s">
        <v>98</v>
      </c>
      <c r="L92" s="2">
        <v>1368</v>
      </c>
      <c r="N92" s="2">
        <v>1011</v>
      </c>
      <c r="O92" s="2" t="s">
        <v>82</v>
      </c>
      <c r="P92" s="2" t="s">
        <v>82</v>
      </c>
      <c r="Q92" s="2">
        <v>1</v>
      </c>
      <c r="W92" s="2">
        <v>0</v>
      </c>
      <c r="X92" s="2">
        <v>-180193475</v>
      </c>
      <c r="Y92" s="2">
        <v>0.89</v>
      </c>
      <c r="AA92" s="2">
        <v>0</v>
      </c>
      <c r="AB92" s="2">
        <v>1364.68</v>
      </c>
      <c r="AC92" s="2">
        <v>556.52</v>
      </c>
      <c r="AD92" s="2">
        <v>0</v>
      </c>
      <c r="AE92" s="2">
        <v>0</v>
      </c>
      <c r="AF92" s="2">
        <v>1364.68</v>
      </c>
      <c r="AG92" s="2">
        <v>556.52</v>
      </c>
      <c r="AH92" s="2">
        <v>0</v>
      </c>
      <c r="AI92" s="2">
        <v>1</v>
      </c>
      <c r="AJ92" s="2">
        <v>1</v>
      </c>
      <c r="AK92" s="2">
        <v>1</v>
      </c>
      <c r="AL92" s="2">
        <v>1</v>
      </c>
      <c r="AN92" s="2">
        <v>0</v>
      </c>
      <c r="AO92" s="2">
        <v>1</v>
      </c>
      <c r="AP92" s="2">
        <v>0</v>
      </c>
      <c r="AQ92" s="2">
        <v>0</v>
      </c>
      <c r="AR92" s="2">
        <v>0</v>
      </c>
      <c r="AS92" s="2" t="s">
        <v>30</v>
      </c>
      <c r="AT92" s="2">
        <v>0.89</v>
      </c>
      <c r="AU92" s="2" t="s">
        <v>30</v>
      </c>
      <c r="AV92" s="2">
        <v>0</v>
      </c>
      <c r="AW92" s="2">
        <v>2</v>
      </c>
      <c r="AX92" s="2">
        <v>52264376</v>
      </c>
      <c r="AY92" s="2">
        <v>1</v>
      </c>
      <c r="AZ92" s="2">
        <v>0</v>
      </c>
      <c r="BA92" s="2">
        <v>89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CX92" s="2">
        <f>Y92*Source!I233</f>
        <v>0.37380000000000002</v>
      </c>
      <c r="CY92" s="2">
        <f>AB92</f>
        <v>1364.68</v>
      </c>
      <c r="CZ92" s="2">
        <f>AF92</f>
        <v>1364.68</v>
      </c>
      <c r="DA92" s="2">
        <f>AJ92</f>
        <v>1</v>
      </c>
      <c r="DB92" s="2">
        <f t="shared" si="6"/>
        <v>1214.57</v>
      </c>
      <c r="DC92" s="2">
        <f t="shared" si="7"/>
        <v>495.3</v>
      </c>
    </row>
    <row r="93" spans="1:107" x14ac:dyDescent="0.25">
      <c r="A93" s="2">
        <f>ROW(Source!A233)</f>
        <v>233</v>
      </c>
      <c r="B93" s="2">
        <v>52261502</v>
      </c>
      <c r="C93" s="2">
        <v>52264369</v>
      </c>
      <c r="D93" s="2">
        <v>49679414</v>
      </c>
      <c r="E93" s="2">
        <v>1</v>
      </c>
      <c r="F93" s="2">
        <v>1</v>
      </c>
      <c r="G93" s="2">
        <v>29</v>
      </c>
      <c r="H93" s="2">
        <v>3</v>
      </c>
      <c r="I93" s="2" t="s">
        <v>109</v>
      </c>
      <c r="J93" s="2" t="s">
        <v>376</v>
      </c>
      <c r="K93" s="2" t="s">
        <v>110</v>
      </c>
      <c r="L93" s="2">
        <v>1348</v>
      </c>
      <c r="N93" s="2">
        <v>1009</v>
      </c>
      <c r="O93" s="2" t="s">
        <v>63</v>
      </c>
      <c r="P93" s="2" t="s">
        <v>63</v>
      </c>
      <c r="Q93" s="2">
        <v>1000</v>
      </c>
      <c r="W93" s="2">
        <v>0</v>
      </c>
      <c r="X93" s="2">
        <v>2030676919</v>
      </c>
      <c r="Y93" s="2">
        <v>0.06</v>
      </c>
      <c r="AA93" s="2">
        <v>34834.18</v>
      </c>
      <c r="AB93" s="2">
        <v>0</v>
      </c>
      <c r="AC93" s="2">
        <v>0</v>
      </c>
      <c r="AD93" s="2">
        <v>0</v>
      </c>
      <c r="AE93" s="2">
        <v>34834.18</v>
      </c>
      <c r="AF93" s="2">
        <v>0</v>
      </c>
      <c r="AG93" s="2">
        <v>0</v>
      </c>
      <c r="AH93" s="2">
        <v>0</v>
      </c>
      <c r="AI93" s="2">
        <v>1</v>
      </c>
      <c r="AJ93" s="2">
        <v>1</v>
      </c>
      <c r="AK93" s="2">
        <v>1</v>
      </c>
      <c r="AL93" s="2">
        <v>1</v>
      </c>
      <c r="AN93" s="2">
        <v>0</v>
      </c>
      <c r="AO93" s="2">
        <v>1</v>
      </c>
      <c r="AP93" s="2">
        <v>0</v>
      </c>
      <c r="AQ93" s="2">
        <v>0</v>
      </c>
      <c r="AR93" s="2">
        <v>0</v>
      </c>
      <c r="AS93" s="2" t="s">
        <v>30</v>
      </c>
      <c r="AT93" s="2">
        <v>0.06</v>
      </c>
      <c r="AU93" s="2" t="s">
        <v>30</v>
      </c>
      <c r="AV93" s="2">
        <v>0</v>
      </c>
      <c r="AW93" s="2">
        <v>2</v>
      </c>
      <c r="AX93" s="2">
        <v>52264377</v>
      </c>
      <c r="AY93" s="2">
        <v>1</v>
      </c>
      <c r="AZ93" s="2">
        <v>0</v>
      </c>
      <c r="BA93" s="2">
        <v>90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CX93" s="2">
        <f>Y93*Source!I233</f>
        <v>2.52E-2</v>
      </c>
      <c r="CY93" s="2">
        <f>AA93</f>
        <v>34834.18</v>
      </c>
      <c r="CZ93" s="2">
        <f>AE93</f>
        <v>34834.18</v>
      </c>
      <c r="DA93" s="2">
        <f>AI93</f>
        <v>1</v>
      </c>
      <c r="DB93" s="2">
        <f t="shared" si="6"/>
        <v>2090.0500000000002</v>
      </c>
      <c r="DC93" s="2">
        <f t="shared" si="7"/>
        <v>0</v>
      </c>
    </row>
    <row r="94" spans="1:107" x14ac:dyDescent="0.25">
      <c r="A94" s="2">
        <f>ROW(Source!A233)</f>
        <v>233</v>
      </c>
      <c r="B94" s="2">
        <v>52261502</v>
      </c>
      <c r="C94" s="2">
        <v>52264369</v>
      </c>
      <c r="D94" s="2">
        <v>49682551</v>
      </c>
      <c r="E94" s="2">
        <v>1</v>
      </c>
      <c r="F94" s="2">
        <v>1</v>
      </c>
      <c r="G94" s="2">
        <v>29</v>
      </c>
      <c r="H94" s="2">
        <v>3</v>
      </c>
      <c r="I94" s="2" t="s">
        <v>160</v>
      </c>
      <c r="J94" s="2" t="s">
        <v>213</v>
      </c>
      <c r="K94" s="2" t="s">
        <v>212</v>
      </c>
      <c r="L94" s="2">
        <v>1348</v>
      </c>
      <c r="N94" s="2">
        <v>1009</v>
      </c>
      <c r="O94" s="2" t="s">
        <v>63</v>
      </c>
      <c r="P94" s="2" t="s">
        <v>63</v>
      </c>
      <c r="Q94" s="2">
        <v>1000</v>
      </c>
      <c r="W94" s="2">
        <v>1</v>
      </c>
      <c r="X94" s="2">
        <v>-58237108</v>
      </c>
      <c r="Y94" s="2">
        <v>-7.14</v>
      </c>
      <c r="AA94" s="2">
        <v>2954.24</v>
      </c>
      <c r="AB94" s="2">
        <v>0</v>
      </c>
      <c r="AC94" s="2">
        <v>0</v>
      </c>
      <c r="AD94" s="2">
        <v>0</v>
      </c>
      <c r="AE94" s="2">
        <v>2954.24</v>
      </c>
      <c r="AF94" s="2">
        <v>0</v>
      </c>
      <c r="AG94" s="2">
        <v>0</v>
      </c>
      <c r="AH94" s="2">
        <v>0</v>
      </c>
      <c r="AI94" s="2">
        <v>1</v>
      </c>
      <c r="AJ94" s="2">
        <v>1</v>
      </c>
      <c r="AK94" s="2">
        <v>1</v>
      </c>
      <c r="AL94" s="2">
        <v>1</v>
      </c>
      <c r="AN94" s="2">
        <v>0</v>
      </c>
      <c r="AO94" s="2">
        <v>1</v>
      </c>
      <c r="AP94" s="2">
        <v>0</v>
      </c>
      <c r="AQ94" s="2">
        <v>0</v>
      </c>
      <c r="AR94" s="2">
        <v>0</v>
      </c>
      <c r="AS94" s="2" t="s">
        <v>30</v>
      </c>
      <c r="AT94" s="2">
        <v>-7.14</v>
      </c>
      <c r="AU94" s="2" t="s">
        <v>30</v>
      </c>
      <c r="AV94" s="2">
        <v>0</v>
      </c>
      <c r="AW94" s="2">
        <v>2</v>
      </c>
      <c r="AX94" s="2">
        <v>52264378</v>
      </c>
      <c r="AY94" s="2">
        <v>1</v>
      </c>
      <c r="AZ94" s="2">
        <v>6144</v>
      </c>
      <c r="BA94" s="2">
        <v>91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CX94" s="2">
        <f>Y94*Source!I233</f>
        <v>-2.9988000000000001</v>
      </c>
      <c r="CY94" s="2">
        <f>AA94</f>
        <v>2954.24</v>
      </c>
      <c r="CZ94" s="2">
        <f>AE94</f>
        <v>2954.24</v>
      </c>
      <c r="DA94" s="2">
        <f>AI94</f>
        <v>1</v>
      </c>
      <c r="DB94" s="2">
        <f t="shared" si="6"/>
        <v>-21093.27</v>
      </c>
      <c r="DC94" s="2">
        <f t="shared" si="7"/>
        <v>0</v>
      </c>
    </row>
    <row r="95" spans="1:107" x14ac:dyDescent="0.25">
      <c r="A95" s="2">
        <f>ROW(Source!A233)</f>
        <v>233</v>
      </c>
      <c r="B95" s="2">
        <v>52261502</v>
      </c>
      <c r="C95" s="2">
        <v>52264369</v>
      </c>
      <c r="D95" s="2">
        <v>49682551</v>
      </c>
      <c r="E95" s="2">
        <v>1</v>
      </c>
      <c r="F95" s="2">
        <v>1</v>
      </c>
      <c r="G95" s="2">
        <v>29</v>
      </c>
      <c r="H95" s="2">
        <v>3</v>
      </c>
      <c r="I95" s="2" t="s">
        <v>160</v>
      </c>
      <c r="J95" s="2" t="s">
        <v>213</v>
      </c>
      <c r="K95" s="2" t="s">
        <v>161</v>
      </c>
      <c r="L95" s="2">
        <v>1348</v>
      </c>
      <c r="N95" s="2">
        <v>1009</v>
      </c>
      <c r="O95" s="2" t="s">
        <v>63</v>
      </c>
      <c r="P95" s="2" t="s">
        <v>63</v>
      </c>
      <c r="Q95" s="2">
        <v>1000</v>
      </c>
      <c r="W95" s="2">
        <v>0</v>
      </c>
      <c r="X95" s="2">
        <v>946953562</v>
      </c>
      <c r="Y95" s="2">
        <v>11.67</v>
      </c>
      <c r="AA95" s="2">
        <v>2954.24</v>
      </c>
      <c r="AB95" s="2">
        <v>0</v>
      </c>
      <c r="AC95" s="2">
        <v>0</v>
      </c>
      <c r="AD95" s="2">
        <v>0</v>
      </c>
      <c r="AE95" s="2">
        <v>2954.24</v>
      </c>
      <c r="AF95" s="2">
        <v>0</v>
      </c>
      <c r="AG95" s="2">
        <v>0</v>
      </c>
      <c r="AH95" s="2">
        <v>0</v>
      </c>
      <c r="AI95" s="2">
        <v>1</v>
      </c>
      <c r="AJ95" s="2">
        <v>1</v>
      </c>
      <c r="AK95" s="2">
        <v>1</v>
      </c>
      <c r="AL95" s="2">
        <v>1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 t="s">
        <v>30</v>
      </c>
      <c r="AT95" s="2">
        <v>11.67</v>
      </c>
      <c r="AU95" s="2" t="s">
        <v>30</v>
      </c>
      <c r="AV95" s="2">
        <v>0</v>
      </c>
      <c r="AW95" s="2">
        <v>1</v>
      </c>
      <c r="AX95" s="2">
        <v>-1</v>
      </c>
      <c r="AY95" s="2">
        <v>0</v>
      </c>
      <c r="AZ95" s="2">
        <v>0</v>
      </c>
      <c r="BA95" s="2" t="s">
        <v>30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CX95" s="2">
        <f>Y95*Source!I233</f>
        <v>4.9013999999999998</v>
      </c>
      <c r="CY95" s="2">
        <f>AA95</f>
        <v>2954.24</v>
      </c>
      <c r="CZ95" s="2">
        <f>AE95</f>
        <v>2954.24</v>
      </c>
      <c r="DA95" s="2">
        <f>AI95</f>
        <v>1</v>
      </c>
      <c r="DB95" s="2">
        <f t="shared" si="6"/>
        <v>34475.980000000003</v>
      </c>
      <c r="DC95" s="2">
        <f t="shared" si="7"/>
        <v>0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BE18C-B8F7-4A78-92B0-56A39C8E5CC9}">
  <dimension ref="A1:AR91"/>
  <sheetViews>
    <sheetView workbookViewId="0"/>
  </sheetViews>
  <sheetFormatPr defaultColWidth="9.1796875" defaultRowHeight="12.5" x14ac:dyDescent="0.25"/>
  <cols>
    <col min="1" max="256" width="9.1796875" style="2" customWidth="1"/>
    <col min="257" max="16384" width="9.1796875" style="2"/>
  </cols>
  <sheetData>
    <row r="1" spans="1:44" x14ac:dyDescent="0.25">
      <c r="A1" s="2">
        <f>ROW(Source!A28)</f>
        <v>28</v>
      </c>
      <c r="B1" s="2">
        <v>52261746</v>
      </c>
      <c r="C1" s="2">
        <v>52261737</v>
      </c>
      <c r="D1" s="2">
        <v>49677488</v>
      </c>
      <c r="E1" s="2">
        <v>29</v>
      </c>
      <c r="F1" s="2">
        <v>1</v>
      </c>
      <c r="G1" s="2">
        <v>29</v>
      </c>
      <c r="H1" s="2">
        <v>1</v>
      </c>
      <c r="I1" s="2" t="s">
        <v>359</v>
      </c>
      <c r="J1" s="2" t="s">
        <v>30</v>
      </c>
      <c r="K1" s="2" t="s">
        <v>360</v>
      </c>
      <c r="L1" s="2">
        <v>1191</v>
      </c>
      <c r="N1" s="2">
        <v>1013</v>
      </c>
      <c r="O1" s="2" t="s">
        <v>361</v>
      </c>
      <c r="P1" s="2" t="s">
        <v>361</v>
      </c>
      <c r="Q1" s="2">
        <v>1</v>
      </c>
      <c r="X1" s="2">
        <v>0.79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1</v>
      </c>
      <c r="AE1" s="2">
        <v>1</v>
      </c>
      <c r="AF1" s="2" t="s">
        <v>30</v>
      </c>
      <c r="AG1" s="2">
        <v>0.79</v>
      </c>
      <c r="AH1" s="2">
        <v>2</v>
      </c>
      <c r="AI1" s="2">
        <v>52261738</v>
      </c>
      <c r="AJ1" s="2">
        <v>1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</row>
    <row r="2" spans="1:44" x14ac:dyDescent="0.25">
      <c r="A2" s="2">
        <f>ROW(Source!A28)</f>
        <v>28</v>
      </c>
      <c r="B2" s="2">
        <v>52261748</v>
      </c>
      <c r="C2" s="2">
        <v>52261737</v>
      </c>
      <c r="D2" s="2">
        <v>49678760</v>
      </c>
      <c r="E2" s="2">
        <v>1</v>
      </c>
      <c r="F2" s="2">
        <v>1</v>
      </c>
      <c r="G2" s="2">
        <v>29</v>
      </c>
      <c r="H2" s="2">
        <v>2</v>
      </c>
      <c r="I2" s="2" t="s">
        <v>80</v>
      </c>
      <c r="J2" s="2" t="s">
        <v>362</v>
      </c>
      <c r="K2" s="2" t="s">
        <v>81</v>
      </c>
      <c r="L2" s="2">
        <v>1368</v>
      </c>
      <c r="N2" s="2">
        <v>1011</v>
      </c>
      <c r="O2" s="2" t="s">
        <v>82</v>
      </c>
      <c r="P2" s="2" t="s">
        <v>82</v>
      </c>
      <c r="Q2" s="2">
        <v>1</v>
      </c>
      <c r="X2" s="2">
        <v>0.13</v>
      </c>
      <c r="Y2" s="2">
        <v>0</v>
      </c>
      <c r="Z2" s="2">
        <v>1208.6099999999999</v>
      </c>
      <c r="AA2" s="2">
        <v>484.58</v>
      </c>
      <c r="AB2" s="2">
        <v>0</v>
      </c>
      <c r="AC2" s="2">
        <v>0</v>
      </c>
      <c r="AD2" s="2">
        <v>1</v>
      </c>
      <c r="AE2" s="2">
        <v>0</v>
      </c>
      <c r="AF2" s="2" t="s">
        <v>30</v>
      </c>
      <c r="AG2" s="2">
        <v>0.13</v>
      </c>
      <c r="AH2" s="2">
        <v>2</v>
      </c>
      <c r="AI2" s="2">
        <v>52261740</v>
      </c>
      <c r="AJ2" s="2">
        <v>2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</row>
    <row r="3" spans="1:44" x14ac:dyDescent="0.25">
      <c r="A3" s="2">
        <f>ROW(Source!A28)</f>
        <v>28</v>
      </c>
      <c r="B3" s="2">
        <v>52261747</v>
      </c>
      <c r="C3" s="2">
        <v>52261737</v>
      </c>
      <c r="D3" s="2">
        <v>49678446</v>
      </c>
      <c r="E3" s="2">
        <v>1</v>
      </c>
      <c r="F3" s="2">
        <v>1</v>
      </c>
      <c r="G3" s="2">
        <v>29</v>
      </c>
      <c r="H3" s="2">
        <v>2</v>
      </c>
      <c r="I3" s="2" t="s">
        <v>83</v>
      </c>
      <c r="J3" s="2" t="s">
        <v>363</v>
      </c>
      <c r="K3" s="2" t="s">
        <v>84</v>
      </c>
      <c r="L3" s="2">
        <v>1368</v>
      </c>
      <c r="N3" s="2">
        <v>1011</v>
      </c>
      <c r="O3" s="2" t="s">
        <v>82</v>
      </c>
      <c r="P3" s="2" t="s">
        <v>82</v>
      </c>
      <c r="Q3" s="2">
        <v>1</v>
      </c>
      <c r="X3" s="2">
        <v>0.13</v>
      </c>
      <c r="Y3" s="2">
        <v>0</v>
      </c>
      <c r="Z3" s="2">
        <v>987.45</v>
      </c>
      <c r="AA3" s="2">
        <v>437.55</v>
      </c>
      <c r="AB3" s="2">
        <v>0</v>
      </c>
      <c r="AC3" s="2">
        <v>0</v>
      </c>
      <c r="AD3" s="2">
        <v>1</v>
      </c>
      <c r="AE3" s="2">
        <v>0</v>
      </c>
      <c r="AF3" s="2" t="s">
        <v>30</v>
      </c>
      <c r="AG3" s="2">
        <v>0.13</v>
      </c>
      <c r="AH3" s="2">
        <v>2</v>
      </c>
      <c r="AI3" s="2">
        <v>52261739</v>
      </c>
      <c r="AJ3" s="2">
        <v>3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</row>
    <row r="4" spans="1:44" x14ac:dyDescent="0.25">
      <c r="A4" s="2">
        <f>ROW(Source!A28)</f>
        <v>28</v>
      </c>
      <c r="B4" s="2">
        <v>52261749</v>
      </c>
      <c r="C4" s="2">
        <v>52261737</v>
      </c>
      <c r="D4" s="2">
        <v>49679291</v>
      </c>
      <c r="E4" s="2">
        <v>1</v>
      </c>
      <c r="F4" s="2">
        <v>1</v>
      </c>
      <c r="G4" s="2">
        <v>29</v>
      </c>
      <c r="H4" s="2">
        <v>2</v>
      </c>
      <c r="I4" s="2" t="s">
        <v>91</v>
      </c>
      <c r="J4" s="2" t="s">
        <v>364</v>
      </c>
      <c r="K4" s="2" t="s">
        <v>92</v>
      </c>
      <c r="L4" s="2">
        <v>1368</v>
      </c>
      <c r="N4" s="2">
        <v>1011</v>
      </c>
      <c r="O4" s="2" t="s">
        <v>82</v>
      </c>
      <c r="P4" s="2" t="s">
        <v>82</v>
      </c>
      <c r="Q4" s="2">
        <v>1</v>
      </c>
      <c r="X4" s="2">
        <v>0.26</v>
      </c>
      <c r="Y4" s="2">
        <v>0</v>
      </c>
      <c r="Z4" s="2">
        <v>6.02</v>
      </c>
      <c r="AA4" s="2">
        <v>0.02</v>
      </c>
      <c r="AB4" s="2">
        <v>0</v>
      </c>
      <c r="AC4" s="2">
        <v>0</v>
      </c>
      <c r="AD4" s="2">
        <v>1</v>
      </c>
      <c r="AE4" s="2">
        <v>0</v>
      </c>
      <c r="AF4" s="2" t="s">
        <v>30</v>
      </c>
      <c r="AG4" s="2">
        <v>0.26</v>
      </c>
      <c r="AH4" s="2">
        <v>2</v>
      </c>
      <c r="AI4" s="2">
        <v>52261741</v>
      </c>
      <c r="AJ4" s="2">
        <v>4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</row>
    <row r="5" spans="1:44" x14ac:dyDescent="0.25">
      <c r="A5" s="2">
        <f>ROW(Source!A28)</f>
        <v>28</v>
      </c>
      <c r="B5" s="2">
        <v>52261750</v>
      </c>
      <c r="C5" s="2">
        <v>52261737</v>
      </c>
      <c r="D5" s="2">
        <v>49678662</v>
      </c>
      <c r="E5" s="2">
        <v>1</v>
      </c>
      <c r="F5" s="2">
        <v>1</v>
      </c>
      <c r="G5" s="2">
        <v>29</v>
      </c>
      <c r="H5" s="2">
        <v>2</v>
      </c>
      <c r="I5" s="2" t="s">
        <v>93</v>
      </c>
      <c r="J5" s="2" t="s">
        <v>365</v>
      </c>
      <c r="K5" s="2" t="s">
        <v>94</v>
      </c>
      <c r="L5" s="2">
        <v>1368</v>
      </c>
      <c r="N5" s="2">
        <v>1011</v>
      </c>
      <c r="O5" s="2" t="s">
        <v>82</v>
      </c>
      <c r="P5" s="2" t="s">
        <v>82</v>
      </c>
      <c r="Q5" s="2">
        <v>1</v>
      </c>
      <c r="X5" s="2">
        <v>0.25</v>
      </c>
      <c r="Y5" s="2">
        <v>0</v>
      </c>
      <c r="Z5" s="2">
        <v>7834.05</v>
      </c>
      <c r="AA5" s="2">
        <v>1037.76</v>
      </c>
      <c r="AB5" s="2">
        <v>0</v>
      </c>
      <c r="AC5" s="2">
        <v>0</v>
      </c>
      <c r="AD5" s="2">
        <v>1</v>
      </c>
      <c r="AE5" s="2">
        <v>0</v>
      </c>
      <c r="AF5" s="2" t="s">
        <v>30</v>
      </c>
      <c r="AG5" s="2">
        <v>0.25</v>
      </c>
      <c r="AH5" s="2">
        <v>2</v>
      </c>
      <c r="AI5" s="2">
        <v>52261742</v>
      </c>
      <c r="AJ5" s="2">
        <v>5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</row>
    <row r="6" spans="1:44" x14ac:dyDescent="0.25">
      <c r="A6" s="2">
        <f>ROW(Source!A28)</f>
        <v>28</v>
      </c>
      <c r="B6" s="2">
        <v>52261751</v>
      </c>
      <c r="C6" s="2">
        <v>52261737</v>
      </c>
      <c r="D6" s="2">
        <v>49678657</v>
      </c>
      <c r="E6" s="2">
        <v>1</v>
      </c>
      <c r="F6" s="2">
        <v>1</v>
      </c>
      <c r="G6" s="2">
        <v>29</v>
      </c>
      <c r="H6" s="2">
        <v>2</v>
      </c>
      <c r="I6" s="2" t="s">
        <v>103</v>
      </c>
      <c r="J6" s="2" t="s">
        <v>366</v>
      </c>
      <c r="K6" s="2" t="s">
        <v>104</v>
      </c>
      <c r="L6" s="2">
        <v>1368</v>
      </c>
      <c r="N6" s="2">
        <v>1011</v>
      </c>
      <c r="O6" s="2" t="s">
        <v>82</v>
      </c>
      <c r="P6" s="2" t="s">
        <v>82</v>
      </c>
      <c r="Q6" s="2">
        <v>1</v>
      </c>
      <c r="X6" s="2">
        <v>0.25</v>
      </c>
      <c r="Y6" s="2">
        <v>0</v>
      </c>
      <c r="Z6" s="2">
        <v>1383.17</v>
      </c>
      <c r="AA6" s="2">
        <v>522.72</v>
      </c>
      <c r="AB6" s="2">
        <v>0</v>
      </c>
      <c r="AC6" s="2">
        <v>0</v>
      </c>
      <c r="AD6" s="2">
        <v>1</v>
      </c>
      <c r="AE6" s="2">
        <v>0</v>
      </c>
      <c r="AF6" s="2" t="s">
        <v>30</v>
      </c>
      <c r="AG6" s="2">
        <v>0.25</v>
      </c>
      <c r="AH6" s="2">
        <v>2</v>
      </c>
      <c r="AI6" s="2">
        <v>52261743</v>
      </c>
      <c r="AJ6" s="2">
        <v>6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</row>
    <row r="7" spans="1:44" x14ac:dyDescent="0.25">
      <c r="A7" s="2">
        <f>ROW(Source!A28)</f>
        <v>28</v>
      </c>
      <c r="B7" s="2">
        <v>52261752</v>
      </c>
      <c r="C7" s="2">
        <v>52261737</v>
      </c>
      <c r="D7" s="2">
        <v>49681352</v>
      </c>
      <c r="E7" s="2">
        <v>1</v>
      </c>
      <c r="F7" s="2">
        <v>1</v>
      </c>
      <c r="G7" s="2">
        <v>29</v>
      </c>
      <c r="H7" s="2">
        <v>3</v>
      </c>
      <c r="I7" s="2" t="s">
        <v>111</v>
      </c>
      <c r="J7" s="2" t="s">
        <v>367</v>
      </c>
      <c r="K7" s="2" t="s">
        <v>112</v>
      </c>
      <c r="L7" s="2">
        <v>1339</v>
      </c>
      <c r="N7" s="2">
        <v>1007</v>
      </c>
      <c r="O7" s="2" t="s">
        <v>62</v>
      </c>
      <c r="P7" s="2" t="s">
        <v>62</v>
      </c>
      <c r="Q7" s="2">
        <v>1</v>
      </c>
      <c r="X7" s="2">
        <v>0.26700000000000002</v>
      </c>
      <c r="Y7" s="2">
        <v>36.31</v>
      </c>
      <c r="Z7" s="2">
        <v>0</v>
      </c>
      <c r="AA7" s="2">
        <v>0</v>
      </c>
      <c r="AB7" s="2">
        <v>0</v>
      </c>
      <c r="AC7" s="2">
        <v>0</v>
      </c>
      <c r="AD7" s="2">
        <v>1</v>
      </c>
      <c r="AE7" s="2">
        <v>0</v>
      </c>
      <c r="AF7" s="2" t="s">
        <v>30</v>
      </c>
      <c r="AG7" s="2">
        <v>0.26700000000000002</v>
      </c>
      <c r="AH7" s="2">
        <v>2</v>
      </c>
      <c r="AI7" s="2">
        <v>52261744</v>
      </c>
      <c r="AJ7" s="2">
        <v>7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</row>
    <row r="8" spans="1:44" x14ac:dyDescent="0.25">
      <c r="A8" s="2">
        <f>ROW(Source!A28)</f>
        <v>28</v>
      </c>
      <c r="B8" s="2">
        <v>52261753</v>
      </c>
      <c r="C8" s="2">
        <v>52261737</v>
      </c>
      <c r="D8" s="2">
        <v>49682077</v>
      </c>
      <c r="E8" s="2">
        <v>1</v>
      </c>
      <c r="F8" s="2">
        <v>1</v>
      </c>
      <c r="G8" s="2">
        <v>29</v>
      </c>
      <c r="H8" s="2">
        <v>3</v>
      </c>
      <c r="I8" s="2" t="s">
        <v>113</v>
      </c>
      <c r="J8" s="2" t="s">
        <v>368</v>
      </c>
      <c r="K8" s="2" t="s">
        <v>114</v>
      </c>
      <c r="L8" s="2">
        <v>1354</v>
      </c>
      <c r="N8" s="2">
        <v>1010</v>
      </c>
      <c r="O8" s="2" t="s">
        <v>67</v>
      </c>
      <c r="P8" s="2" t="s">
        <v>67</v>
      </c>
      <c r="Q8" s="2">
        <v>1</v>
      </c>
      <c r="X8" s="2">
        <v>2.5</v>
      </c>
      <c r="Y8" s="2">
        <v>256.22000000000003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0</v>
      </c>
      <c r="AF8" s="2" t="s">
        <v>30</v>
      </c>
      <c r="AG8" s="2">
        <v>2.5</v>
      </c>
      <c r="AH8" s="2">
        <v>2</v>
      </c>
      <c r="AI8" s="2">
        <v>52261745</v>
      </c>
      <c r="AJ8" s="2">
        <v>8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</row>
    <row r="9" spans="1:44" x14ac:dyDescent="0.25">
      <c r="A9" s="2">
        <f>ROW(Source!A29)</f>
        <v>29</v>
      </c>
      <c r="B9" s="2">
        <v>52261760</v>
      </c>
      <c r="C9" s="2">
        <v>52261754</v>
      </c>
      <c r="D9" s="2">
        <v>49677488</v>
      </c>
      <c r="E9" s="2">
        <v>29</v>
      </c>
      <c r="F9" s="2">
        <v>1</v>
      </c>
      <c r="G9" s="2">
        <v>29</v>
      </c>
      <c r="H9" s="2">
        <v>1</v>
      </c>
      <c r="I9" s="2" t="s">
        <v>359</v>
      </c>
      <c r="J9" s="2" t="s">
        <v>30</v>
      </c>
      <c r="K9" s="2" t="s">
        <v>360</v>
      </c>
      <c r="L9" s="2">
        <v>1191</v>
      </c>
      <c r="N9" s="2">
        <v>1013</v>
      </c>
      <c r="O9" s="2" t="s">
        <v>361</v>
      </c>
      <c r="P9" s="2" t="s">
        <v>361</v>
      </c>
      <c r="Q9" s="2">
        <v>1</v>
      </c>
      <c r="X9" s="2">
        <v>0.04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1</v>
      </c>
      <c r="AE9" s="2">
        <v>1</v>
      </c>
      <c r="AF9" s="2" t="s">
        <v>30</v>
      </c>
      <c r="AG9" s="2">
        <v>0.04</v>
      </c>
      <c r="AH9" s="2">
        <v>2</v>
      </c>
      <c r="AI9" s="2">
        <v>52261755</v>
      </c>
      <c r="AJ9" s="2">
        <v>9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</row>
    <row r="10" spans="1:44" x14ac:dyDescent="0.25">
      <c r="A10" s="2">
        <f>ROW(Source!A29)</f>
        <v>29</v>
      </c>
      <c r="B10" s="2">
        <v>52261761</v>
      </c>
      <c r="C10" s="2">
        <v>52261754</v>
      </c>
      <c r="D10" s="2">
        <v>49678662</v>
      </c>
      <c r="E10" s="2">
        <v>1</v>
      </c>
      <c r="F10" s="2">
        <v>1</v>
      </c>
      <c r="G10" s="2">
        <v>29</v>
      </c>
      <c r="H10" s="2">
        <v>2</v>
      </c>
      <c r="I10" s="2" t="s">
        <v>93</v>
      </c>
      <c r="J10" s="2" t="s">
        <v>365</v>
      </c>
      <c r="K10" s="2" t="s">
        <v>94</v>
      </c>
      <c r="L10" s="2">
        <v>1368</v>
      </c>
      <c r="N10" s="2">
        <v>1011</v>
      </c>
      <c r="O10" s="2" t="s">
        <v>82</v>
      </c>
      <c r="P10" s="2" t="s">
        <v>82</v>
      </c>
      <c r="Q10" s="2">
        <v>1</v>
      </c>
      <c r="X10" s="2">
        <v>0.04</v>
      </c>
      <c r="Y10" s="2">
        <v>0</v>
      </c>
      <c r="Z10" s="2">
        <v>7834.05</v>
      </c>
      <c r="AA10" s="2">
        <v>1037.76</v>
      </c>
      <c r="AB10" s="2">
        <v>0</v>
      </c>
      <c r="AC10" s="2">
        <v>0</v>
      </c>
      <c r="AD10" s="2">
        <v>1</v>
      </c>
      <c r="AE10" s="2">
        <v>0</v>
      </c>
      <c r="AF10" s="2" t="s">
        <v>30</v>
      </c>
      <c r="AG10" s="2">
        <v>0.04</v>
      </c>
      <c r="AH10" s="2">
        <v>2</v>
      </c>
      <c r="AI10" s="2">
        <v>52261756</v>
      </c>
      <c r="AJ10" s="2">
        <v>10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</row>
    <row r="11" spans="1:44" x14ac:dyDescent="0.25">
      <c r="A11" s="2">
        <f>ROW(Source!A29)</f>
        <v>29</v>
      </c>
      <c r="B11" s="2">
        <v>52261762</v>
      </c>
      <c r="C11" s="2">
        <v>52261754</v>
      </c>
      <c r="D11" s="2">
        <v>49678657</v>
      </c>
      <c r="E11" s="2">
        <v>1</v>
      </c>
      <c r="F11" s="2">
        <v>1</v>
      </c>
      <c r="G11" s="2">
        <v>29</v>
      </c>
      <c r="H11" s="2">
        <v>2</v>
      </c>
      <c r="I11" s="2" t="s">
        <v>103</v>
      </c>
      <c r="J11" s="2" t="s">
        <v>366</v>
      </c>
      <c r="K11" s="2" t="s">
        <v>104</v>
      </c>
      <c r="L11" s="2">
        <v>1368</v>
      </c>
      <c r="N11" s="2">
        <v>1011</v>
      </c>
      <c r="O11" s="2" t="s">
        <v>82</v>
      </c>
      <c r="P11" s="2" t="s">
        <v>82</v>
      </c>
      <c r="Q11" s="2">
        <v>1</v>
      </c>
      <c r="X11" s="2">
        <v>0.04</v>
      </c>
      <c r="Y11" s="2">
        <v>0</v>
      </c>
      <c r="Z11" s="2">
        <v>1383.17</v>
      </c>
      <c r="AA11" s="2">
        <v>522.72</v>
      </c>
      <c r="AB11" s="2">
        <v>0</v>
      </c>
      <c r="AC11" s="2">
        <v>0</v>
      </c>
      <c r="AD11" s="2">
        <v>1</v>
      </c>
      <c r="AE11" s="2">
        <v>0</v>
      </c>
      <c r="AF11" s="2" t="s">
        <v>30</v>
      </c>
      <c r="AG11" s="2">
        <v>0.04</v>
      </c>
      <c r="AH11" s="2">
        <v>2</v>
      </c>
      <c r="AI11" s="2">
        <v>52261757</v>
      </c>
      <c r="AJ11" s="2">
        <v>11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</row>
    <row r="12" spans="1:44" x14ac:dyDescent="0.25">
      <c r="A12" s="2">
        <f>ROW(Source!A29)</f>
        <v>29</v>
      </c>
      <c r="B12" s="2">
        <v>52261763</v>
      </c>
      <c r="C12" s="2">
        <v>52261754</v>
      </c>
      <c r="D12" s="2">
        <v>49681352</v>
      </c>
      <c r="E12" s="2">
        <v>1</v>
      </c>
      <c r="F12" s="2">
        <v>1</v>
      </c>
      <c r="G12" s="2">
        <v>29</v>
      </c>
      <c r="H12" s="2">
        <v>3</v>
      </c>
      <c r="I12" s="2" t="s">
        <v>111</v>
      </c>
      <c r="J12" s="2" t="s">
        <v>367</v>
      </c>
      <c r="K12" s="2" t="s">
        <v>112</v>
      </c>
      <c r="L12" s="2">
        <v>1339</v>
      </c>
      <c r="N12" s="2">
        <v>1007</v>
      </c>
      <c r="O12" s="2" t="s">
        <v>62</v>
      </c>
      <c r="P12" s="2" t="s">
        <v>62</v>
      </c>
      <c r="Q12" s="2">
        <v>1</v>
      </c>
      <c r="X12" s="2">
        <v>4.4999999999999998E-2</v>
      </c>
      <c r="Y12" s="2">
        <v>36.31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  <c r="AE12" s="2">
        <v>0</v>
      </c>
      <c r="AF12" s="2" t="s">
        <v>30</v>
      </c>
      <c r="AG12" s="2">
        <v>4.4999999999999998E-2</v>
      </c>
      <c r="AH12" s="2">
        <v>2</v>
      </c>
      <c r="AI12" s="2">
        <v>52261758</v>
      </c>
      <c r="AJ12" s="2">
        <v>12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</row>
    <row r="13" spans="1:44" x14ac:dyDescent="0.25">
      <c r="A13" s="2">
        <f>ROW(Source!A29)</f>
        <v>29</v>
      </c>
      <c r="B13" s="2">
        <v>52261764</v>
      </c>
      <c r="C13" s="2">
        <v>52261754</v>
      </c>
      <c r="D13" s="2">
        <v>49682077</v>
      </c>
      <c r="E13" s="2">
        <v>1</v>
      </c>
      <c r="F13" s="2">
        <v>1</v>
      </c>
      <c r="G13" s="2">
        <v>29</v>
      </c>
      <c r="H13" s="2">
        <v>3</v>
      </c>
      <c r="I13" s="2" t="s">
        <v>113</v>
      </c>
      <c r="J13" s="2" t="s">
        <v>368</v>
      </c>
      <c r="K13" s="2" t="s">
        <v>114</v>
      </c>
      <c r="L13" s="2">
        <v>1354</v>
      </c>
      <c r="N13" s="2">
        <v>1010</v>
      </c>
      <c r="O13" s="2" t="s">
        <v>67</v>
      </c>
      <c r="P13" s="2" t="s">
        <v>67</v>
      </c>
      <c r="Q13" s="2">
        <v>1</v>
      </c>
      <c r="X13" s="2">
        <v>0.41</v>
      </c>
      <c r="Y13" s="2">
        <v>256.22000000000003</v>
      </c>
      <c r="Z13" s="2">
        <v>0</v>
      </c>
      <c r="AA13" s="2">
        <v>0</v>
      </c>
      <c r="AB13" s="2">
        <v>0</v>
      </c>
      <c r="AC13" s="2">
        <v>0</v>
      </c>
      <c r="AD13" s="2">
        <v>1</v>
      </c>
      <c r="AE13" s="2">
        <v>0</v>
      </c>
      <c r="AF13" s="2" t="s">
        <v>30</v>
      </c>
      <c r="AG13" s="2">
        <v>0.41</v>
      </c>
      <c r="AH13" s="2">
        <v>2</v>
      </c>
      <c r="AI13" s="2">
        <v>52261759</v>
      </c>
      <c r="AJ13" s="2">
        <v>13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</row>
    <row r="14" spans="1:44" x14ac:dyDescent="0.25">
      <c r="A14" s="2">
        <f>ROW(Source!A30)</f>
        <v>30</v>
      </c>
      <c r="B14" s="2">
        <v>52261776</v>
      </c>
      <c r="C14" s="2">
        <v>52261765</v>
      </c>
      <c r="D14" s="2">
        <v>49677488</v>
      </c>
      <c r="E14" s="2">
        <v>29</v>
      </c>
      <c r="F14" s="2">
        <v>1</v>
      </c>
      <c r="G14" s="2">
        <v>29</v>
      </c>
      <c r="H14" s="2">
        <v>1</v>
      </c>
      <c r="I14" s="2" t="s">
        <v>359</v>
      </c>
      <c r="J14" s="2" t="s">
        <v>30</v>
      </c>
      <c r="K14" s="2" t="s">
        <v>360</v>
      </c>
      <c r="L14" s="2">
        <v>1191</v>
      </c>
      <c r="N14" s="2">
        <v>1013</v>
      </c>
      <c r="O14" s="2" t="s">
        <v>361</v>
      </c>
      <c r="P14" s="2" t="s">
        <v>361</v>
      </c>
      <c r="Q14" s="2">
        <v>1</v>
      </c>
      <c r="X14" s="2">
        <v>87.29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</v>
      </c>
      <c r="AE14" s="2">
        <v>1</v>
      </c>
      <c r="AF14" s="2" t="s">
        <v>30</v>
      </c>
      <c r="AG14" s="2">
        <v>87.29</v>
      </c>
      <c r="AH14" s="2">
        <v>2</v>
      </c>
      <c r="AI14" s="2">
        <v>52261766</v>
      </c>
      <c r="AJ14" s="2">
        <v>14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</row>
    <row r="15" spans="1:44" x14ac:dyDescent="0.25">
      <c r="A15" s="2">
        <f>ROW(Source!A30)</f>
        <v>30</v>
      </c>
      <c r="B15" s="2">
        <v>52261777</v>
      </c>
      <c r="C15" s="2">
        <v>52261765</v>
      </c>
      <c r="D15" s="2">
        <v>49678449</v>
      </c>
      <c r="E15" s="2">
        <v>1</v>
      </c>
      <c r="F15" s="2">
        <v>1</v>
      </c>
      <c r="G15" s="2">
        <v>29</v>
      </c>
      <c r="H15" s="2">
        <v>2</v>
      </c>
      <c r="I15" s="2" t="s">
        <v>89</v>
      </c>
      <c r="J15" s="2" t="s">
        <v>369</v>
      </c>
      <c r="K15" s="2" t="s">
        <v>90</v>
      </c>
      <c r="L15" s="2">
        <v>1368</v>
      </c>
      <c r="N15" s="2">
        <v>1011</v>
      </c>
      <c r="O15" s="2" t="s">
        <v>82</v>
      </c>
      <c r="P15" s="2" t="s">
        <v>82</v>
      </c>
      <c r="Q15" s="2">
        <v>1</v>
      </c>
      <c r="X15" s="2">
        <v>1.59</v>
      </c>
      <c r="Y15" s="2">
        <v>0</v>
      </c>
      <c r="Z15" s="2">
        <v>780.77</v>
      </c>
      <c r="AA15" s="2">
        <v>433.88</v>
      </c>
      <c r="AB15" s="2">
        <v>0</v>
      </c>
      <c r="AC15" s="2">
        <v>0</v>
      </c>
      <c r="AD15" s="2">
        <v>1</v>
      </c>
      <c r="AE15" s="2">
        <v>0</v>
      </c>
      <c r="AF15" s="2" t="s">
        <v>30</v>
      </c>
      <c r="AG15" s="2">
        <v>1.59</v>
      </c>
      <c r="AH15" s="2">
        <v>2</v>
      </c>
      <c r="AI15" s="2">
        <v>52261767</v>
      </c>
      <c r="AJ15" s="2">
        <v>15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</row>
    <row r="16" spans="1:44" x14ac:dyDescent="0.25">
      <c r="A16" s="2">
        <f>ROW(Source!A30)</f>
        <v>30</v>
      </c>
      <c r="B16" s="2">
        <v>52261778</v>
      </c>
      <c r="C16" s="2">
        <v>52261765</v>
      </c>
      <c r="D16" s="2">
        <v>49678608</v>
      </c>
      <c r="E16" s="2">
        <v>1</v>
      </c>
      <c r="F16" s="2">
        <v>1</v>
      </c>
      <c r="G16" s="2">
        <v>29</v>
      </c>
      <c r="H16" s="2">
        <v>2</v>
      </c>
      <c r="I16" s="2" t="s">
        <v>95</v>
      </c>
      <c r="J16" s="2" t="s">
        <v>370</v>
      </c>
      <c r="K16" s="2" t="s">
        <v>96</v>
      </c>
      <c r="L16" s="2">
        <v>1368</v>
      </c>
      <c r="N16" s="2">
        <v>1011</v>
      </c>
      <c r="O16" s="2" t="s">
        <v>82</v>
      </c>
      <c r="P16" s="2" t="s">
        <v>82</v>
      </c>
      <c r="Q16" s="2">
        <v>1</v>
      </c>
      <c r="X16" s="2">
        <v>5.15</v>
      </c>
      <c r="Y16" s="2">
        <v>0</v>
      </c>
      <c r="Z16" s="2">
        <v>1331.87</v>
      </c>
      <c r="AA16" s="2">
        <v>518.54999999999995</v>
      </c>
      <c r="AB16" s="2">
        <v>0</v>
      </c>
      <c r="AC16" s="2">
        <v>0</v>
      </c>
      <c r="AD16" s="2">
        <v>1</v>
      </c>
      <c r="AE16" s="2">
        <v>0</v>
      </c>
      <c r="AF16" s="2" t="s">
        <v>30</v>
      </c>
      <c r="AG16" s="2">
        <v>5.15</v>
      </c>
      <c r="AH16" s="2">
        <v>2</v>
      </c>
      <c r="AI16" s="2">
        <v>52261768</v>
      </c>
      <c r="AJ16" s="2">
        <v>16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</row>
    <row r="17" spans="1:44" x14ac:dyDescent="0.25">
      <c r="A17" s="2">
        <f>ROW(Source!A30)</f>
        <v>30</v>
      </c>
      <c r="B17" s="2">
        <v>52261779</v>
      </c>
      <c r="C17" s="2">
        <v>52261765</v>
      </c>
      <c r="D17" s="2">
        <v>49678594</v>
      </c>
      <c r="E17" s="2">
        <v>1</v>
      </c>
      <c r="F17" s="2">
        <v>1</v>
      </c>
      <c r="G17" s="2">
        <v>29</v>
      </c>
      <c r="H17" s="2">
        <v>2</v>
      </c>
      <c r="I17" s="2" t="s">
        <v>97</v>
      </c>
      <c r="J17" s="2" t="s">
        <v>371</v>
      </c>
      <c r="K17" s="2" t="s">
        <v>98</v>
      </c>
      <c r="L17" s="2">
        <v>1368</v>
      </c>
      <c r="N17" s="2">
        <v>1011</v>
      </c>
      <c r="O17" s="2" t="s">
        <v>82</v>
      </c>
      <c r="P17" s="2" t="s">
        <v>82</v>
      </c>
      <c r="Q17" s="2">
        <v>1</v>
      </c>
      <c r="X17" s="2">
        <v>11.26</v>
      </c>
      <c r="Y17" s="2">
        <v>0</v>
      </c>
      <c r="Z17" s="2">
        <v>1364.68</v>
      </c>
      <c r="AA17" s="2">
        <v>556.52</v>
      </c>
      <c r="AB17" s="2">
        <v>0</v>
      </c>
      <c r="AC17" s="2">
        <v>0</v>
      </c>
      <c r="AD17" s="2">
        <v>1</v>
      </c>
      <c r="AE17" s="2">
        <v>0</v>
      </c>
      <c r="AF17" s="2" t="s">
        <v>30</v>
      </c>
      <c r="AG17" s="2">
        <v>11.26</v>
      </c>
      <c r="AH17" s="2">
        <v>2</v>
      </c>
      <c r="AI17" s="2">
        <v>52261769</v>
      </c>
      <c r="AJ17" s="2">
        <v>17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</row>
    <row r="18" spans="1:44" x14ac:dyDescent="0.25">
      <c r="A18" s="2">
        <f>ROW(Source!A30)</f>
        <v>30</v>
      </c>
      <c r="B18" s="2">
        <v>52261780</v>
      </c>
      <c r="C18" s="2">
        <v>52261765</v>
      </c>
      <c r="D18" s="2">
        <v>49678595</v>
      </c>
      <c r="E18" s="2">
        <v>1</v>
      </c>
      <c r="F18" s="2">
        <v>1</v>
      </c>
      <c r="G18" s="2">
        <v>29</v>
      </c>
      <c r="H18" s="2">
        <v>2</v>
      </c>
      <c r="I18" s="2" t="s">
        <v>99</v>
      </c>
      <c r="J18" s="2" t="s">
        <v>372</v>
      </c>
      <c r="K18" s="2" t="s">
        <v>100</v>
      </c>
      <c r="L18" s="2">
        <v>1368</v>
      </c>
      <c r="N18" s="2">
        <v>1011</v>
      </c>
      <c r="O18" s="2" t="s">
        <v>82</v>
      </c>
      <c r="P18" s="2" t="s">
        <v>82</v>
      </c>
      <c r="Q18" s="2">
        <v>1</v>
      </c>
      <c r="X18" s="2">
        <v>32.19</v>
      </c>
      <c r="Y18" s="2">
        <v>0</v>
      </c>
      <c r="Z18" s="2">
        <v>1888.15</v>
      </c>
      <c r="AA18" s="2">
        <v>756.58</v>
      </c>
      <c r="AB18" s="2">
        <v>0</v>
      </c>
      <c r="AC18" s="2">
        <v>0</v>
      </c>
      <c r="AD18" s="2">
        <v>1</v>
      </c>
      <c r="AE18" s="2">
        <v>0</v>
      </c>
      <c r="AF18" s="2" t="s">
        <v>30</v>
      </c>
      <c r="AG18" s="2">
        <v>32.19</v>
      </c>
      <c r="AH18" s="2">
        <v>2</v>
      </c>
      <c r="AI18" s="2">
        <v>52261770</v>
      </c>
      <c r="AJ18" s="2">
        <v>18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</row>
    <row r="19" spans="1:44" x14ac:dyDescent="0.25">
      <c r="A19" s="2">
        <f>ROW(Source!A30)</f>
        <v>30</v>
      </c>
      <c r="B19" s="2">
        <v>52261781</v>
      </c>
      <c r="C19" s="2">
        <v>52261765</v>
      </c>
      <c r="D19" s="2">
        <v>49678632</v>
      </c>
      <c r="E19" s="2">
        <v>1</v>
      </c>
      <c r="F19" s="2">
        <v>1</v>
      </c>
      <c r="G19" s="2">
        <v>29</v>
      </c>
      <c r="H19" s="2">
        <v>2</v>
      </c>
      <c r="I19" s="2" t="s">
        <v>101</v>
      </c>
      <c r="J19" s="2" t="s">
        <v>373</v>
      </c>
      <c r="K19" s="2" t="s">
        <v>102</v>
      </c>
      <c r="L19" s="2">
        <v>1368</v>
      </c>
      <c r="N19" s="2">
        <v>1011</v>
      </c>
      <c r="O19" s="2" t="s">
        <v>82</v>
      </c>
      <c r="P19" s="2" t="s">
        <v>82</v>
      </c>
      <c r="Q19" s="2">
        <v>1</v>
      </c>
      <c r="X19" s="2">
        <v>5.81</v>
      </c>
      <c r="Y19" s="2">
        <v>0</v>
      </c>
      <c r="Z19" s="2">
        <v>1586.43</v>
      </c>
      <c r="AA19" s="2">
        <v>752.49</v>
      </c>
      <c r="AB19" s="2">
        <v>0</v>
      </c>
      <c r="AC19" s="2">
        <v>0</v>
      </c>
      <c r="AD19" s="2">
        <v>1</v>
      </c>
      <c r="AE19" s="2">
        <v>0</v>
      </c>
      <c r="AF19" s="2" t="s">
        <v>30</v>
      </c>
      <c r="AG19" s="2">
        <v>5.81</v>
      </c>
      <c r="AH19" s="2">
        <v>2</v>
      </c>
      <c r="AI19" s="2">
        <v>52261771</v>
      </c>
      <c r="AJ19" s="2">
        <v>19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</row>
    <row r="20" spans="1:44" x14ac:dyDescent="0.25">
      <c r="A20" s="2">
        <f>ROW(Source!A30)</f>
        <v>30</v>
      </c>
      <c r="B20" s="2">
        <v>52261782</v>
      </c>
      <c r="C20" s="2">
        <v>52261765</v>
      </c>
      <c r="D20" s="2">
        <v>49680618</v>
      </c>
      <c r="E20" s="2">
        <v>1</v>
      </c>
      <c r="F20" s="2">
        <v>1</v>
      </c>
      <c r="G20" s="2">
        <v>29</v>
      </c>
      <c r="H20" s="2">
        <v>3</v>
      </c>
      <c r="I20" s="2" t="s">
        <v>191</v>
      </c>
      <c r="J20" s="2" t="s">
        <v>193</v>
      </c>
      <c r="K20" s="2" t="s">
        <v>192</v>
      </c>
      <c r="L20" s="2">
        <v>1339</v>
      </c>
      <c r="N20" s="2">
        <v>1007</v>
      </c>
      <c r="O20" s="2" t="s">
        <v>62</v>
      </c>
      <c r="P20" s="2" t="s">
        <v>62</v>
      </c>
      <c r="Q20" s="2">
        <v>1</v>
      </c>
      <c r="X20" s="2">
        <v>11.5</v>
      </c>
      <c r="Y20" s="2">
        <v>1610.75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 t="s">
        <v>30</v>
      </c>
      <c r="AG20" s="2">
        <v>11.5</v>
      </c>
      <c r="AH20" s="2">
        <v>2</v>
      </c>
      <c r="AI20" s="2">
        <v>52261772</v>
      </c>
      <c r="AJ20" s="2">
        <v>21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</row>
    <row r="21" spans="1:44" x14ac:dyDescent="0.25">
      <c r="A21" s="2">
        <f>ROW(Source!A30)</f>
        <v>30</v>
      </c>
      <c r="B21" s="2">
        <v>52261783</v>
      </c>
      <c r="C21" s="2">
        <v>52261765</v>
      </c>
      <c r="D21" s="2">
        <v>49680619</v>
      </c>
      <c r="E21" s="2">
        <v>1</v>
      </c>
      <c r="F21" s="2">
        <v>1</v>
      </c>
      <c r="G21" s="2">
        <v>29</v>
      </c>
      <c r="H21" s="2">
        <v>3</v>
      </c>
      <c r="I21" s="2" t="s">
        <v>194</v>
      </c>
      <c r="J21" s="2" t="s">
        <v>196</v>
      </c>
      <c r="K21" s="2" t="s">
        <v>195</v>
      </c>
      <c r="L21" s="2">
        <v>1339</v>
      </c>
      <c r="N21" s="2">
        <v>1007</v>
      </c>
      <c r="O21" s="2" t="s">
        <v>62</v>
      </c>
      <c r="P21" s="2" t="s">
        <v>62</v>
      </c>
      <c r="Q21" s="2">
        <v>1</v>
      </c>
      <c r="X21" s="2">
        <v>55</v>
      </c>
      <c r="Y21" s="2">
        <v>1542.75</v>
      </c>
      <c r="Z21" s="2">
        <v>0</v>
      </c>
      <c r="AA21" s="2">
        <v>0</v>
      </c>
      <c r="AB21" s="2">
        <v>0</v>
      </c>
      <c r="AC21" s="2">
        <v>0</v>
      </c>
      <c r="AD21" s="2">
        <v>1</v>
      </c>
      <c r="AE21" s="2">
        <v>0</v>
      </c>
      <c r="AF21" s="2" t="s">
        <v>30</v>
      </c>
      <c r="AG21" s="2">
        <v>55</v>
      </c>
      <c r="AH21" s="2">
        <v>2</v>
      </c>
      <c r="AI21" s="2">
        <v>52261773</v>
      </c>
      <c r="AJ21" s="2">
        <v>22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</row>
    <row r="22" spans="1:44" x14ac:dyDescent="0.25">
      <c r="A22" s="2">
        <f>ROW(Source!A30)</f>
        <v>30</v>
      </c>
      <c r="B22" s="2">
        <v>52261784</v>
      </c>
      <c r="C22" s="2">
        <v>52261765</v>
      </c>
      <c r="D22" s="2">
        <v>49681352</v>
      </c>
      <c r="E22" s="2">
        <v>1</v>
      </c>
      <c r="F22" s="2">
        <v>1</v>
      </c>
      <c r="G22" s="2">
        <v>29</v>
      </c>
      <c r="H22" s="2">
        <v>3</v>
      </c>
      <c r="I22" s="2" t="s">
        <v>111</v>
      </c>
      <c r="J22" s="2" t="s">
        <v>367</v>
      </c>
      <c r="K22" s="2" t="s">
        <v>112</v>
      </c>
      <c r="L22" s="2">
        <v>1339</v>
      </c>
      <c r="N22" s="2">
        <v>1007</v>
      </c>
      <c r="O22" s="2" t="s">
        <v>62</v>
      </c>
      <c r="P22" s="2" t="s">
        <v>62</v>
      </c>
      <c r="Q22" s="2">
        <v>1</v>
      </c>
      <c r="X22" s="2">
        <v>25</v>
      </c>
      <c r="Y22" s="2">
        <v>36.31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  <c r="AE22" s="2">
        <v>0</v>
      </c>
      <c r="AF22" s="2" t="s">
        <v>30</v>
      </c>
      <c r="AG22" s="2">
        <v>25</v>
      </c>
      <c r="AH22" s="2">
        <v>2</v>
      </c>
      <c r="AI22" s="2">
        <v>52261774</v>
      </c>
      <c r="AJ22" s="2">
        <v>23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</row>
    <row r="23" spans="1:44" x14ac:dyDescent="0.25">
      <c r="A23" s="2">
        <f>ROW(Source!A34)</f>
        <v>34</v>
      </c>
      <c r="B23" s="2">
        <v>52261791</v>
      </c>
      <c r="C23" s="2">
        <v>52261788</v>
      </c>
      <c r="D23" s="2">
        <v>49679217</v>
      </c>
      <c r="E23" s="2">
        <v>1</v>
      </c>
      <c r="F23" s="2">
        <v>1</v>
      </c>
      <c r="G23" s="2">
        <v>29</v>
      </c>
      <c r="H23" s="2">
        <v>2</v>
      </c>
      <c r="I23" s="2" t="s">
        <v>85</v>
      </c>
      <c r="J23" s="2" t="s">
        <v>374</v>
      </c>
      <c r="K23" s="2" t="s">
        <v>86</v>
      </c>
      <c r="L23" s="2">
        <v>1368</v>
      </c>
      <c r="N23" s="2">
        <v>1011</v>
      </c>
      <c r="O23" s="2" t="s">
        <v>82</v>
      </c>
      <c r="P23" s="2" t="s">
        <v>82</v>
      </c>
      <c r="Q23" s="2">
        <v>1</v>
      </c>
      <c r="X23" s="2">
        <v>0.02</v>
      </c>
      <c r="Y23" s="2">
        <v>0</v>
      </c>
      <c r="Z23" s="2">
        <v>1070.1199999999999</v>
      </c>
      <c r="AA23" s="2">
        <v>332.66</v>
      </c>
      <c r="AB23" s="2">
        <v>0</v>
      </c>
      <c r="AC23" s="2">
        <v>0</v>
      </c>
      <c r="AD23" s="2">
        <v>1</v>
      </c>
      <c r="AE23" s="2">
        <v>0</v>
      </c>
      <c r="AF23" s="2" t="s">
        <v>30</v>
      </c>
      <c r="AG23" s="2">
        <v>0.02</v>
      </c>
      <c r="AH23" s="2">
        <v>2</v>
      </c>
      <c r="AI23" s="2">
        <v>52261789</v>
      </c>
      <c r="AJ23" s="2">
        <v>24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</row>
    <row r="24" spans="1:44" x14ac:dyDescent="0.25">
      <c r="A24" s="2">
        <f>ROW(Source!A34)</f>
        <v>34</v>
      </c>
      <c r="B24" s="2">
        <v>52261792</v>
      </c>
      <c r="C24" s="2">
        <v>52261788</v>
      </c>
      <c r="D24" s="2">
        <v>49679218</v>
      </c>
      <c r="E24" s="2">
        <v>1</v>
      </c>
      <c r="F24" s="2">
        <v>1</v>
      </c>
      <c r="G24" s="2">
        <v>29</v>
      </c>
      <c r="H24" s="2">
        <v>2</v>
      </c>
      <c r="I24" s="2" t="s">
        <v>87</v>
      </c>
      <c r="J24" s="2" t="s">
        <v>375</v>
      </c>
      <c r="K24" s="2" t="s">
        <v>88</v>
      </c>
      <c r="L24" s="2">
        <v>1368</v>
      </c>
      <c r="N24" s="2">
        <v>1011</v>
      </c>
      <c r="O24" s="2" t="s">
        <v>82</v>
      </c>
      <c r="P24" s="2" t="s">
        <v>82</v>
      </c>
      <c r="Q24" s="2">
        <v>1</v>
      </c>
      <c r="X24" s="2">
        <v>1.7999999999999999E-2</v>
      </c>
      <c r="Y24" s="2">
        <v>0</v>
      </c>
      <c r="Z24" s="2">
        <v>1080.76</v>
      </c>
      <c r="AA24" s="2">
        <v>332.99</v>
      </c>
      <c r="AB24" s="2">
        <v>0</v>
      </c>
      <c r="AC24" s="2">
        <v>0</v>
      </c>
      <c r="AD24" s="2">
        <v>1</v>
      </c>
      <c r="AE24" s="2">
        <v>0</v>
      </c>
      <c r="AF24" s="2" t="s">
        <v>30</v>
      </c>
      <c r="AG24" s="2">
        <v>1.7999999999999999E-2</v>
      </c>
      <c r="AH24" s="2">
        <v>2</v>
      </c>
      <c r="AI24" s="2">
        <v>52261790</v>
      </c>
      <c r="AJ24" s="2">
        <v>25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</row>
    <row r="25" spans="1:44" x14ac:dyDescent="0.25">
      <c r="A25" s="2">
        <f>ROW(Source!A35)</f>
        <v>35</v>
      </c>
      <c r="B25" s="2">
        <v>52261796</v>
      </c>
      <c r="C25" s="2">
        <v>52261793</v>
      </c>
      <c r="D25" s="2">
        <v>49679217</v>
      </c>
      <c r="E25" s="2">
        <v>1</v>
      </c>
      <c r="F25" s="2">
        <v>1</v>
      </c>
      <c r="G25" s="2">
        <v>29</v>
      </c>
      <c r="H25" s="2">
        <v>2</v>
      </c>
      <c r="I25" s="2" t="s">
        <v>85</v>
      </c>
      <c r="J25" s="2" t="s">
        <v>374</v>
      </c>
      <c r="K25" s="2" t="s">
        <v>86</v>
      </c>
      <c r="L25" s="2">
        <v>1368</v>
      </c>
      <c r="N25" s="2">
        <v>1011</v>
      </c>
      <c r="O25" s="2" t="s">
        <v>82</v>
      </c>
      <c r="P25" s="2" t="s">
        <v>82</v>
      </c>
      <c r="Q25" s="2">
        <v>1</v>
      </c>
      <c r="X25" s="2">
        <v>0.01</v>
      </c>
      <c r="Y25" s="2">
        <v>0</v>
      </c>
      <c r="Z25" s="2">
        <v>1070.1199999999999</v>
      </c>
      <c r="AA25" s="2">
        <v>332.66</v>
      </c>
      <c r="AB25" s="2">
        <v>0</v>
      </c>
      <c r="AC25" s="2">
        <v>0</v>
      </c>
      <c r="AD25" s="2">
        <v>1</v>
      </c>
      <c r="AE25" s="2">
        <v>0</v>
      </c>
      <c r="AF25" s="2" t="s">
        <v>207</v>
      </c>
      <c r="AG25" s="2">
        <v>0.52</v>
      </c>
      <c r="AH25" s="2">
        <v>2</v>
      </c>
      <c r="AI25" s="2">
        <v>52261794</v>
      </c>
      <c r="AJ25" s="2">
        <v>26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</row>
    <row r="26" spans="1:44" x14ac:dyDescent="0.25">
      <c r="A26" s="2">
        <f>ROW(Source!A35)</f>
        <v>35</v>
      </c>
      <c r="B26" s="2">
        <v>52261797</v>
      </c>
      <c r="C26" s="2">
        <v>52261793</v>
      </c>
      <c r="D26" s="2">
        <v>49679218</v>
      </c>
      <c r="E26" s="2">
        <v>1</v>
      </c>
      <c r="F26" s="2">
        <v>1</v>
      </c>
      <c r="G26" s="2">
        <v>29</v>
      </c>
      <c r="H26" s="2">
        <v>2</v>
      </c>
      <c r="I26" s="2" t="s">
        <v>87</v>
      </c>
      <c r="J26" s="2" t="s">
        <v>375</v>
      </c>
      <c r="K26" s="2" t="s">
        <v>88</v>
      </c>
      <c r="L26" s="2">
        <v>1368</v>
      </c>
      <c r="N26" s="2">
        <v>1011</v>
      </c>
      <c r="O26" s="2" t="s">
        <v>82</v>
      </c>
      <c r="P26" s="2" t="s">
        <v>82</v>
      </c>
      <c r="Q26" s="2">
        <v>1</v>
      </c>
      <c r="X26" s="2">
        <v>8.0000000000000002E-3</v>
      </c>
      <c r="Y26" s="2">
        <v>0</v>
      </c>
      <c r="Z26" s="2">
        <v>1080.76</v>
      </c>
      <c r="AA26" s="2">
        <v>332.99</v>
      </c>
      <c r="AB26" s="2">
        <v>0</v>
      </c>
      <c r="AC26" s="2">
        <v>0</v>
      </c>
      <c r="AD26" s="2">
        <v>1</v>
      </c>
      <c r="AE26" s="2">
        <v>0</v>
      </c>
      <c r="AF26" s="2" t="s">
        <v>207</v>
      </c>
      <c r="AG26" s="2">
        <v>0.41599999999999998</v>
      </c>
      <c r="AH26" s="2">
        <v>2</v>
      </c>
      <c r="AI26" s="2">
        <v>52261795</v>
      </c>
      <c r="AJ26" s="2">
        <v>27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</row>
    <row r="27" spans="1:44" x14ac:dyDescent="0.25">
      <c r="A27" s="2">
        <f>ROW(Source!A36)</f>
        <v>36</v>
      </c>
      <c r="B27" s="2">
        <v>52261804</v>
      </c>
      <c r="C27" s="2">
        <v>52261798</v>
      </c>
      <c r="D27" s="2">
        <v>49677488</v>
      </c>
      <c r="E27" s="2">
        <v>29</v>
      </c>
      <c r="F27" s="2">
        <v>1</v>
      </c>
      <c r="G27" s="2">
        <v>29</v>
      </c>
      <c r="H27" s="2">
        <v>1</v>
      </c>
      <c r="I27" s="2" t="s">
        <v>359</v>
      </c>
      <c r="J27" s="2" t="s">
        <v>30</v>
      </c>
      <c r="K27" s="2" t="s">
        <v>360</v>
      </c>
      <c r="L27" s="2">
        <v>1191</v>
      </c>
      <c r="N27" s="2">
        <v>1013</v>
      </c>
      <c r="O27" s="2" t="s">
        <v>361</v>
      </c>
      <c r="P27" s="2" t="s">
        <v>361</v>
      </c>
      <c r="Q27" s="2">
        <v>1</v>
      </c>
      <c r="X27" s="2">
        <v>10.3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1</v>
      </c>
      <c r="AE27" s="2">
        <v>1</v>
      </c>
      <c r="AF27" s="2" t="s">
        <v>30</v>
      </c>
      <c r="AG27" s="2">
        <v>10.3</v>
      </c>
      <c r="AH27" s="2">
        <v>2</v>
      </c>
      <c r="AI27" s="2">
        <v>52261799</v>
      </c>
      <c r="AJ27" s="2">
        <v>28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</row>
    <row r="28" spans="1:44" x14ac:dyDescent="0.25">
      <c r="A28" s="2">
        <f>ROW(Source!A36)</f>
        <v>36</v>
      </c>
      <c r="B28" s="2">
        <v>52261805</v>
      </c>
      <c r="C28" s="2">
        <v>52261798</v>
      </c>
      <c r="D28" s="2">
        <v>49678594</v>
      </c>
      <c r="E28" s="2">
        <v>1</v>
      </c>
      <c r="F28" s="2">
        <v>1</v>
      </c>
      <c r="G28" s="2">
        <v>29</v>
      </c>
      <c r="H28" s="2">
        <v>2</v>
      </c>
      <c r="I28" s="2" t="s">
        <v>97</v>
      </c>
      <c r="J28" s="2" t="s">
        <v>371</v>
      </c>
      <c r="K28" s="2" t="s">
        <v>98</v>
      </c>
      <c r="L28" s="2">
        <v>1368</v>
      </c>
      <c r="N28" s="2">
        <v>1011</v>
      </c>
      <c r="O28" s="2" t="s">
        <v>82</v>
      </c>
      <c r="P28" s="2" t="s">
        <v>82</v>
      </c>
      <c r="Q28" s="2">
        <v>1</v>
      </c>
      <c r="X28" s="2">
        <v>0.89</v>
      </c>
      <c r="Y28" s="2">
        <v>0</v>
      </c>
      <c r="Z28" s="2">
        <v>1364.68</v>
      </c>
      <c r="AA28" s="2">
        <v>556.52</v>
      </c>
      <c r="AB28" s="2">
        <v>0</v>
      </c>
      <c r="AC28" s="2">
        <v>0</v>
      </c>
      <c r="AD28" s="2">
        <v>1</v>
      </c>
      <c r="AE28" s="2">
        <v>0</v>
      </c>
      <c r="AF28" s="2" t="s">
        <v>30</v>
      </c>
      <c r="AG28" s="2">
        <v>0.89</v>
      </c>
      <c r="AH28" s="2">
        <v>2</v>
      </c>
      <c r="AI28" s="2">
        <v>52261800</v>
      </c>
      <c r="AJ28" s="2">
        <v>29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</row>
    <row r="29" spans="1:44" x14ac:dyDescent="0.25">
      <c r="A29" s="2">
        <f>ROW(Source!A36)</f>
        <v>36</v>
      </c>
      <c r="B29" s="2">
        <v>52261806</v>
      </c>
      <c r="C29" s="2">
        <v>52261798</v>
      </c>
      <c r="D29" s="2">
        <v>49679414</v>
      </c>
      <c r="E29" s="2">
        <v>1</v>
      </c>
      <c r="F29" s="2">
        <v>1</v>
      </c>
      <c r="G29" s="2">
        <v>29</v>
      </c>
      <c r="H29" s="2">
        <v>3</v>
      </c>
      <c r="I29" s="2" t="s">
        <v>109</v>
      </c>
      <c r="J29" s="2" t="s">
        <v>376</v>
      </c>
      <c r="K29" s="2" t="s">
        <v>110</v>
      </c>
      <c r="L29" s="2">
        <v>1348</v>
      </c>
      <c r="N29" s="2">
        <v>1009</v>
      </c>
      <c r="O29" s="2" t="s">
        <v>63</v>
      </c>
      <c r="P29" s="2" t="s">
        <v>63</v>
      </c>
      <c r="Q29" s="2">
        <v>1000</v>
      </c>
      <c r="X29" s="2">
        <v>0.06</v>
      </c>
      <c r="Y29" s="2">
        <v>34834.18</v>
      </c>
      <c r="Z29" s="2">
        <v>0</v>
      </c>
      <c r="AA29" s="2">
        <v>0</v>
      </c>
      <c r="AB29" s="2">
        <v>0</v>
      </c>
      <c r="AC29" s="2">
        <v>0</v>
      </c>
      <c r="AD29" s="2">
        <v>1</v>
      </c>
      <c r="AE29" s="2">
        <v>0</v>
      </c>
      <c r="AF29" s="2" t="s">
        <v>30</v>
      </c>
      <c r="AG29" s="2">
        <v>0.06</v>
      </c>
      <c r="AH29" s="2">
        <v>2</v>
      </c>
      <c r="AI29" s="2">
        <v>52261801</v>
      </c>
      <c r="AJ29" s="2">
        <v>30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</row>
    <row r="30" spans="1:44" x14ac:dyDescent="0.25">
      <c r="A30" s="2">
        <f>ROW(Source!A36)</f>
        <v>36</v>
      </c>
      <c r="B30" s="2">
        <v>52261807</v>
      </c>
      <c r="C30" s="2">
        <v>52261798</v>
      </c>
      <c r="D30" s="2">
        <v>49682551</v>
      </c>
      <c r="E30" s="2">
        <v>1</v>
      </c>
      <c r="F30" s="2">
        <v>1</v>
      </c>
      <c r="G30" s="2">
        <v>29</v>
      </c>
      <c r="H30" s="2">
        <v>3</v>
      </c>
      <c r="I30" s="2" t="s">
        <v>160</v>
      </c>
      <c r="J30" s="2" t="s">
        <v>213</v>
      </c>
      <c r="K30" s="2" t="s">
        <v>212</v>
      </c>
      <c r="L30" s="2">
        <v>1348</v>
      </c>
      <c r="N30" s="2">
        <v>1009</v>
      </c>
      <c r="O30" s="2" t="s">
        <v>63</v>
      </c>
      <c r="P30" s="2" t="s">
        <v>63</v>
      </c>
      <c r="Q30" s="2">
        <v>1000</v>
      </c>
      <c r="X30" s="2">
        <v>7.14</v>
      </c>
      <c r="Y30" s="2">
        <v>2954.24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  <c r="AF30" s="2" t="s">
        <v>30</v>
      </c>
      <c r="AG30" s="2">
        <v>7.14</v>
      </c>
      <c r="AH30" s="2">
        <v>2</v>
      </c>
      <c r="AI30" s="2">
        <v>52261802</v>
      </c>
      <c r="AJ30" s="2">
        <v>31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</row>
    <row r="31" spans="1:44" x14ac:dyDescent="0.25">
      <c r="A31" s="2">
        <f>ROW(Source!A84)</f>
        <v>84</v>
      </c>
      <c r="B31" s="2">
        <v>52261829</v>
      </c>
      <c r="C31" s="2">
        <v>52261810</v>
      </c>
      <c r="D31" s="2">
        <v>49677488</v>
      </c>
      <c r="E31" s="2">
        <v>29</v>
      </c>
      <c r="F31" s="2">
        <v>1</v>
      </c>
      <c r="G31" s="2">
        <v>29</v>
      </c>
      <c r="H31" s="2">
        <v>1</v>
      </c>
      <c r="I31" s="2" t="s">
        <v>359</v>
      </c>
      <c r="J31" s="2" t="s">
        <v>30</v>
      </c>
      <c r="K31" s="2" t="s">
        <v>360</v>
      </c>
      <c r="L31" s="2">
        <v>1191</v>
      </c>
      <c r="N31" s="2">
        <v>1013</v>
      </c>
      <c r="O31" s="2" t="s">
        <v>361</v>
      </c>
      <c r="P31" s="2" t="s">
        <v>361</v>
      </c>
      <c r="Q31" s="2">
        <v>1</v>
      </c>
      <c r="X31" s="2">
        <v>0.66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</v>
      </c>
      <c r="AE31" s="2">
        <v>1</v>
      </c>
      <c r="AF31" s="2" t="s">
        <v>30</v>
      </c>
      <c r="AG31" s="2">
        <v>0.66</v>
      </c>
      <c r="AH31" s="2">
        <v>2</v>
      </c>
      <c r="AI31" s="2">
        <v>52261811</v>
      </c>
      <c r="AJ31" s="2">
        <v>33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</row>
    <row r="32" spans="1:44" x14ac:dyDescent="0.25">
      <c r="A32" s="2">
        <f>ROW(Source!A84)</f>
        <v>84</v>
      </c>
      <c r="B32" s="2">
        <v>52261830</v>
      </c>
      <c r="C32" s="2">
        <v>52261810</v>
      </c>
      <c r="D32" s="2">
        <v>49678762</v>
      </c>
      <c r="E32" s="2">
        <v>1</v>
      </c>
      <c r="F32" s="2">
        <v>1</v>
      </c>
      <c r="G32" s="2">
        <v>29</v>
      </c>
      <c r="H32" s="2">
        <v>2</v>
      </c>
      <c r="I32" s="2" t="s">
        <v>116</v>
      </c>
      <c r="J32" s="2" t="s">
        <v>377</v>
      </c>
      <c r="K32" s="2" t="s">
        <v>117</v>
      </c>
      <c r="L32" s="2">
        <v>1368</v>
      </c>
      <c r="N32" s="2">
        <v>1011</v>
      </c>
      <c r="O32" s="2" t="s">
        <v>82</v>
      </c>
      <c r="P32" s="2" t="s">
        <v>82</v>
      </c>
      <c r="Q32" s="2">
        <v>1</v>
      </c>
      <c r="X32" s="2">
        <v>0.13200000000000001</v>
      </c>
      <c r="Y32" s="2">
        <v>0</v>
      </c>
      <c r="Z32" s="2">
        <v>493.52</v>
      </c>
      <c r="AA32" s="2">
        <v>377.79</v>
      </c>
      <c r="AB32" s="2">
        <v>0</v>
      </c>
      <c r="AC32" s="2">
        <v>0</v>
      </c>
      <c r="AD32" s="2">
        <v>1</v>
      </c>
      <c r="AE32" s="2">
        <v>0</v>
      </c>
      <c r="AF32" s="2" t="s">
        <v>30</v>
      </c>
      <c r="AG32" s="2">
        <v>0.13200000000000001</v>
      </c>
      <c r="AH32" s="2">
        <v>2</v>
      </c>
      <c r="AI32" s="2">
        <v>52261812</v>
      </c>
      <c r="AJ32" s="2">
        <v>34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</row>
    <row r="33" spans="1:44" x14ac:dyDescent="0.25">
      <c r="A33" s="2">
        <f>ROW(Source!A84)</f>
        <v>84</v>
      </c>
      <c r="B33" s="2">
        <v>52261831</v>
      </c>
      <c r="C33" s="2">
        <v>52261810</v>
      </c>
      <c r="D33" s="2">
        <v>49679228</v>
      </c>
      <c r="E33" s="2">
        <v>1</v>
      </c>
      <c r="F33" s="2">
        <v>1</v>
      </c>
      <c r="G33" s="2">
        <v>29</v>
      </c>
      <c r="H33" s="2">
        <v>2</v>
      </c>
      <c r="I33" s="2" t="s">
        <v>118</v>
      </c>
      <c r="J33" s="2" t="s">
        <v>378</v>
      </c>
      <c r="K33" s="2" t="s">
        <v>119</v>
      </c>
      <c r="L33" s="2">
        <v>1368</v>
      </c>
      <c r="N33" s="2">
        <v>1011</v>
      </c>
      <c r="O33" s="2" t="s">
        <v>82</v>
      </c>
      <c r="P33" s="2" t="s">
        <v>82</v>
      </c>
      <c r="Q33" s="2">
        <v>1</v>
      </c>
      <c r="X33" s="2">
        <v>0.05</v>
      </c>
      <c r="Y33" s="2">
        <v>0</v>
      </c>
      <c r="Z33" s="2">
        <v>1153.51</v>
      </c>
      <c r="AA33" s="2">
        <v>408.74</v>
      </c>
      <c r="AB33" s="2">
        <v>0</v>
      </c>
      <c r="AC33" s="2">
        <v>0</v>
      </c>
      <c r="AD33" s="2">
        <v>1</v>
      </c>
      <c r="AE33" s="2">
        <v>0</v>
      </c>
      <c r="AF33" s="2" t="s">
        <v>30</v>
      </c>
      <c r="AG33" s="2">
        <v>0.05</v>
      </c>
      <c r="AH33" s="2">
        <v>2</v>
      </c>
      <c r="AI33" s="2">
        <v>52261813</v>
      </c>
      <c r="AJ33" s="2">
        <v>35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</row>
    <row r="34" spans="1:44" x14ac:dyDescent="0.25">
      <c r="A34" s="2">
        <f>ROW(Source!A84)</f>
        <v>84</v>
      </c>
      <c r="B34" s="2">
        <v>52261832</v>
      </c>
      <c r="C34" s="2">
        <v>52261810</v>
      </c>
      <c r="D34" s="2">
        <v>49679291</v>
      </c>
      <c r="E34" s="2">
        <v>1</v>
      </c>
      <c r="F34" s="2">
        <v>1</v>
      </c>
      <c r="G34" s="2">
        <v>29</v>
      </c>
      <c r="H34" s="2">
        <v>2</v>
      </c>
      <c r="I34" s="2" t="s">
        <v>91</v>
      </c>
      <c r="J34" s="2" t="s">
        <v>364</v>
      </c>
      <c r="K34" s="2" t="s">
        <v>92</v>
      </c>
      <c r="L34" s="2">
        <v>1368</v>
      </c>
      <c r="N34" s="2">
        <v>1011</v>
      </c>
      <c r="O34" s="2" t="s">
        <v>82</v>
      </c>
      <c r="P34" s="2" t="s">
        <v>82</v>
      </c>
      <c r="Q34" s="2">
        <v>1</v>
      </c>
      <c r="X34" s="2">
        <v>0.13200000000000001</v>
      </c>
      <c r="Y34" s="2">
        <v>0</v>
      </c>
      <c r="Z34" s="2">
        <v>6.02</v>
      </c>
      <c r="AA34" s="2">
        <v>0.02</v>
      </c>
      <c r="AB34" s="2">
        <v>0</v>
      </c>
      <c r="AC34" s="2">
        <v>0</v>
      </c>
      <c r="AD34" s="2">
        <v>1</v>
      </c>
      <c r="AE34" s="2">
        <v>0</v>
      </c>
      <c r="AF34" s="2" t="s">
        <v>30</v>
      </c>
      <c r="AG34" s="2">
        <v>0.13200000000000001</v>
      </c>
      <c r="AH34" s="2">
        <v>2</v>
      </c>
      <c r="AI34" s="2">
        <v>52261814</v>
      </c>
      <c r="AJ34" s="2">
        <v>36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</row>
    <row r="35" spans="1:44" x14ac:dyDescent="0.25">
      <c r="A35" s="2">
        <f>ROW(Source!A84)</f>
        <v>84</v>
      </c>
      <c r="B35" s="2">
        <v>52261833</v>
      </c>
      <c r="C35" s="2">
        <v>52261810</v>
      </c>
      <c r="D35" s="2">
        <v>49678516</v>
      </c>
      <c r="E35" s="2">
        <v>1</v>
      </c>
      <c r="F35" s="2">
        <v>1</v>
      </c>
      <c r="G35" s="2">
        <v>29</v>
      </c>
      <c r="H35" s="2">
        <v>2</v>
      </c>
      <c r="I35" s="2" t="s">
        <v>120</v>
      </c>
      <c r="J35" s="2" t="s">
        <v>379</v>
      </c>
      <c r="K35" s="2" t="s">
        <v>121</v>
      </c>
      <c r="L35" s="2">
        <v>1368</v>
      </c>
      <c r="N35" s="2">
        <v>1011</v>
      </c>
      <c r="O35" s="2" t="s">
        <v>82</v>
      </c>
      <c r="P35" s="2" t="s">
        <v>82</v>
      </c>
      <c r="Q35" s="2">
        <v>1</v>
      </c>
      <c r="X35" s="2">
        <v>8.8999999999999996E-2</v>
      </c>
      <c r="Y35" s="2">
        <v>0</v>
      </c>
      <c r="Z35" s="2">
        <v>857.91</v>
      </c>
      <c r="AA35" s="2">
        <v>479.87</v>
      </c>
      <c r="AB35" s="2">
        <v>0</v>
      </c>
      <c r="AC35" s="2">
        <v>0</v>
      </c>
      <c r="AD35" s="2">
        <v>1</v>
      </c>
      <c r="AE35" s="2">
        <v>0</v>
      </c>
      <c r="AF35" s="2" t="s">
        <v>30</v>
      </c>
      <c r="AG35" s="2">
        <v>8.8999999999999996E-2</v>
      </c>
      <c r="AH35" s="2">
        <v>2</v>
      </c>
      <c r="AI35" s="2">
        <v>52261815</v>
      </c>
      <c r="AJ35" s="2">
        <v>37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</row>
    <row r="36" spans="1:44" x14ac:dyDescent="0.25">
      <c r="A36" s="2">
        <f>ROW(Source!A84)</f>
        <v>84</v>
      </c>
      <c r="B36" s="2">
        <v>52261834</v>
      </c>
      <c r="C36" s="2">
        <v>52261810</v>
      </c>
      <c r="D36" s="2">
        <v>49682289</v>
      </c>
      <c r="E36" s="2">
        <v>1</v>
      </c>
      <c r="F36" s="2">
        <v>1</v>
      </c>
      <c r="G36" s="2">
        <v>29</v>
      </c>
      <c r="H36" s="2">
        <v>3</v>
      </c>
      <c r="I36" s="2" t="s">
        <v>124</v>
      </c>
      <c r="J36" s="2" t="s">
        <v>380</v>
      </c>
      <c r="K36" s="2" t="s">
        <v>125</v>
      </c>
      <c r="L36" s="2">
        <v>1339</v>
      </c>
      <c r="N36" s="2">
        <v>1007</v>
      </c>
      <c r="O36" s="2" t="s">
        <v>62</v>
      </c>
      <c r="P36" s="2" t="s">
        <v>62</v>
      </c>
      <c r="Q36" s="2">
        <v>1</v>
      </c>
      <c r="X36" s="2">
        <v>5.8999999999999997E-2</v>
      </c>
      <c r="Y36" s="2">
        <v>3886.23</v>
      </c>
      <c r="Z36" s="2">
        <v>0</v>
      </c>
      <c r="AA36" s="2">
        <v>0</v>
      </c>
      <c r="AB36" s="2">
        <v>0</v>
      </c>
      <c r="AC36" s="2">
        <v>0</v>
      </c>
      <c r="AD36" s="2">
        <v>1</v>
      </c>
      <c r="AE36" s="2">
        <v>0</v>
      </c>
      <c r="AF36" s="2" t="s">
        <v>30</v>
      </c>
      <c r="AG36" s="2">
        <v>5.8999999999999997E-2</v>
      </c>
      <c r="AH36" s="2">
        <v>2</v>
      </c>
      <c r="AI36" s="2">
        <v>52261816</v>
      </c>
      <c r="AJ36" s="2">
        <v>38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</row>
    <row r="37" spans="1:44" x14ac:dyDescent="0.25">
      <c r="A37" s="2">
        <f>ROW(Source!A84)</f>
        <v>84</v>
      </c>
      <c r="B37" s="2">
        <v>52261835</v>
      </c>
      <c r="C37" s="2">
        <v>52261810</v>
      </c>
      <c r="D37" s="2">
        <v>49682398</v>
      </c>
      <c r="E37" s="2">
        <v>1</v>
      </c>
      <c r="F37" s="2">
        <v>1</v>
      </c>
      <c r="G37" s="2">
        <v>29</v>
      </c>
      <c r="H37" s="2">
        <v>3</v>
      </c>
      <c r="I37" s="2" t="s">
        <v>286</v>
      </c>
      <c r="J37" s="2" t="s">
        <v>288</v>
      </c>
      <c r="K37" s="2" t="s">
        <v>287</v>
      </c>
      <c r="L37" s="2">
        <v>1339</v>
      </c>
      <c r="N37" s="2">
        <v>1007</v>
      </c>
      <c r="O37" s="2" t="s">
        <v>62</v>
      </c>
      <c r="P37" s="2" t="s">
        <v>62</v>
      </c>
      <c r="Q37" s="2">
        <v>1</v>
      </c>
      <c r="X37" s="2">
        <v>5.9999999999999995E-4</v>
      </c>
      <c r="Y37" s="2">
        <v>3427.48</v>
      </c>
      <c r="Z37" s="2">
        <v>0</v>
      </c>
      <c r="AA37" s="2">
        <v>0</v>
      </c>
      <c r="AB37" s="2">
        <v>0</v>
      </c>
      <c r="AC37" s="2">
        <v>0</v>
      </c>
      <c r="AD37" s="2">
        <v>1</v>
      </c>
      <c r="AE37" s="2">
        <v>0</v>
      </c>
      <c r="AF37" s="2" t="s">
        <v>30</v>
      </c>
      <c r="AG37" s="2">
        <v>5.9999999999999995E-4</v>
      </c>
      <c r="AH37" s="2">
        <v>2</v>
      </c>
      <c r="AI37" s="2">
        <v>52261817</v>
      </c>
      <c r="AJ37" s="2">
        <v>39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</row>
    <row r="38" spans="1:44" x14ac:dyDescent="0.25">
      <c r="A38" s="2">
        <f>ROW(Source!A84)</f>
        <v>84</v>
      </c>
      <c r="B38" s="2">
        <v>52261836</v>
      </c>
      <c r="C38" s="2">
        <v>52261810</v>
      </c>
      <c r="D38" s="2">
        <v>49683146</v>
      </c>
      <c r="E38" s="2">
        <v>1</v>
      </c>
      <c r="F38" s="2">
        <v>1</v>
      </c>
      <c r="G38" s="2">
        <v>29</v>
      </c>
      <c r="H38" s="2">
        <v>3</v>
      </c>
      <c r="I38" s="2" t="s">
        <v>128</v>
      </c>
      <c r="J38" s="2" t="s">
        <v>381</v>
      </c>
      <c r="K38" s="2" t="s">
        <v>129</v>
      </c>
      <c r="L38" s="2">
        <v>1339</v>
      </c>
      <c r="N38" s="2">
        <v>1007</v>
      </c>
      <c r="O38" s="2" t="s">
        <v>62</v>
      </c>
      <c r="P38" s="2" t="s">
        <v>62</v>
      </c>
      <c r="Q38" s="2">
        <v>1</v>
      </c>
      <c r="X38" s="2">
        <v>4.36E-2</v>
      </c>
      <c r="Y38" s="2">
        <v>7871.69</v>
      </c>
      <c r="Z38" s="2">
        <v>0</v>
      </c>
      <c r="AA38" s="2">
        <v>0</v>
      </c>
      <c r="AB38" s="2">
        <v>0</v>
      </c>
      <c r="AC38" s="2">
        <v>0</v>
      </c>
      <c r="AD38" s="2">
        <v>1</v>
      </c>
      <c r="AE38" s="2">
        <v>0</v>
      </c>
      <c r="AF38" s="2" t="s">
        <v>30</v>
      </c>
      <c r="AG38" s="2">
        <v>4.36E-2</v>
      </c>
      <c r="AH38" s="2">
        <v>2</v>
      </c>
      <c r="AI38" s="2">
        <v>52261818</v>
      </c>
      <c r="AJ38" s="2">
        <v>40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</row>
    <row r="39" spans="1:44" x14ac:dyDescent="0.25">
      <c r="A39" s="2">
        <f>ROW(Source!A84)</f>
        <v>84</v>
      </c>
      <c r="B39" s="2">
        <v>52261837</v>
      </c>
      <c r="C39" s="2">
        <v>52261810</v>
      </c>
      <c r="D39" s="2">
        <v>49677490</v>
      </c>
      <c r="E39" s="2">
        <v>29</v>
      </c>
      <c r="F39" s="2">
        <v>1</v>
      </c>
      <c r="G39" s="2">
        <v>29</v>
      </c>
      <c r="H39" s="2">
        <v>3</v>
      </c>
      <c r="I39" s="2" t="s">
        <v>289</v>
      </c>
      <c r="J39" s="2" t="s">
        <v>30</v>
      </c>
      <c r="K39" s="2" t="s">
        <v>290</v>
      </c>
      <c r="L39" s="2">
        <v>1348</v>
      </c>
      <c r="N39" s="2">
        <v>1009</v>
      </c>
      <c r="O39" s="2" t="s">
        <v>63</v>
      </c>
      <c r="P39" s="2" t="s">
        <v>63</v>
      </c>
      <c r="Q39" s="2">
        <v>1000</v>
      </c>
      <c r="X39" s="2">
        <v>0.246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1</v>
      </c>
      <c r="AE39" s="2">
        <v>0</v>
      </c>
      <c r="AF39" s="2" t="s">
        <v>30</v>
      </c>
      <c r="AG39" s="2">
        <v>0.246</v>
      </c>
      <c r="AH39" s="2">
        <v>2</v>
      </c>
      <c r="AI39" s="2">
        <v>52261819</v>
      </c>
      <c r="AJ39" s="2">
        <v>41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</row>
    <row r="40" spans="1:44" x14ac:dyDescent="0.25">
      <c r="A40" s="2">
        <f>ROW(Source!A87)</f>
        <v>87</v>
      </c>
      <c r="B40" s="2">
        <v>52261845</v>
      </c>
      <c r="C40" s="2">
        <v>52261840</v>
      </c>
      <c r="D40" s="2">
        <v>49679217</v>
      </c>
      <c r="E40" s="2">
        <v>1</v>
      </c>
      <c r="F40" s="2">
        <v>1</v>
      </c>
      <c r="G40" s="2">
        <v>29</v>
      </c>
      <c r="H40" s="2">
        <v>2</v>
      </c>
      <c r="I40" s="2" t="s">
        <v>85</v>
      </c>
      <c r="J40" s="2" t="s">
        <v>374</v>
      </c>
      <c r="K40" s="2" t="s">
        <v>86</v>
      </c>
      <c r="L40" s="2">
        <v>1368</v>
      </c>
      <c r="N40" s="2">
        <v>1011</v>
      </c>
      <c r="O40" s="2" t="s">
        <v>82</v>
      </c>
      <c r="P40" s="2" t="s">
        <v>82</v>
      </c>
      <c r="Q40" s="2">
        <v>1</v>
      </c>
      <c r="X40" s="2">
        <v>0.02</v>
      </c>
      <c r="Y40" s="2">
        <v>0</v>
      </c>
      <c r="Z40" s="2">
        <v>1070.1199999999999</v>
      </c>
      <c r="AA40" s="2">
        <v>332.66</v>
      </c>
      <c r="AB40" s="2">
        <v>0</v>
      </c>
      <c r="AC40" s="2">
        <v>0</v>
      </c>
      <c r="AD40" s="2">
        <v>1</v>
      </c>
      <c r="AE40" s="2">
        <v>0</v>
      </c>
      <c r="AF40" s="2" t="s">
        <v>30</v>
      </c>
      <c r="AG40" s="2">
        <v>0.02</v>
      </c>
      <c r="AH40" s="2">
        <v>2</v>
      </c>
      <c r="AI40" s="2">
        <v>52261841</v>
      </c>
      <c r="AJ40" s="2">
        <v>42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</row>
    <row r="41" spans="1:44" x14ac:dyDescent="0.25">
      <c r="A41" s="2">
        <f>ROW(Source!A87)</f>
        <v>87</v>
      </c>
      <c r="B41" s="2">
        <v>52261846</v>
      </c>
      <c r="C41" s="2">
        <v>52261840</v>
      </c>
      <c r="D41" s="2">
        <v>49679218</v>
      </c>
      <c r="E41" s="2">
        <v>1</v>
      </c>
      <c r="F41" s="2">
        <v>1</v>
      </c>
      <c r="G41" s="2">
        <v>29</v>
      </c>
      <c r="H41" s="2">
        <v>2</v>
      </c>
      <c r="I41" s="2" t="s">
        <v>87</v>
      </c>
      <c r="J41" s="2" t="s">
        <v>375</v>
      </c>
      <c r="K41" s="2" t="s">
        <v>88</v>
      </c>
      <c r="L41" s="2">
        <v>1368</v>
      </c>
      <c r="N41" s="2">
        <v>1011</v>
      </c>
      <c r="O41" s="2" t="s">
        <v>82</v>
      </c>
      <c r="P41" s="2" t="s">
        <v>82</v>
      </c>
      <c r="Q41" s="2">
        <v>1</v>
      </c>
      <c r="X41" s="2">
        <v>1.7999999999999999E-2</v>
      </c>
      <c r="Y41" s="2">
        <v>0</v>
      </c>
      <c r="Z41" s="2">
        <v>1080.76</v>
      </c>
      <c r="AA41" s="2">
        <v>332.99</v>
      </c>
      <c r="AB41" s="2">
        <v>0</v>
      </c>
      <c r="AC41" s="2">
        <v>0</v>
      </c>
      <c r="AD41" s="2">
        <v>1</v>
      </c>
      <c r="AE41" s="2">
        <v>0</v>
      </c>
      <c r="AF41" s="2" t="s">
        <v>30</v>
      </c>
      <c r="AG41" s="2">
        <v>1.7999999999999999E-2</v>
      </c>
      <c r="AH41" s="2">
        <v>2</v>
      </c>
      <c r="AI41" s="2">
        <v>52261842</v>
      </c>
      <c r="AJ41" s="2">
        <v>43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</row>
    <row r="42" spans="1:44" x14ac:dyDescent="0.25">
      <c r="A42" s="2">
        <f>ROW(Source!A88)</f>
        <v>88</v>
      </c>
      <c r="B42" s="2">
        <v>52261852</v>
      </c>
      <c r="C42" s="2">
        <v>52261847</v>
      </c>
      <c r="D42" s="2">
        <v>49679217</v>
      </c>
      <c r="E42" s="2">
        <v>1</v>
      </c>
      <c r="F42" s="2">
        <v>1</v>
      </c>
      <c r="G42" s="2">
        <v>29</v>
      </c>
      <c r="H42" s="2">
        <v>2</v>
      </c>
      <c r="I42" s="2" t="s">
        <v>85</v>
      </c>
      <c r="J42" s="2" t="s">
        <v>374</v>
      </c>
      <c r="K42" s="2" t="s">
        <v>86</v>
      </c>
      <c r="L42" s="2">
        <v>1368</v>
      </c>
      <c r="N42" s="2">
        <v>1011</v>
      </c>
      <c r="O42" s="2" t="s">
        <v>82</v>
      </c>
      <c r="P42" s="2" t="s">
        <v>82</v>
      </c>
      <c r="Q42" s="2">
        <v>1</v>
      </c>
      <c r="X42" s="2">
        <v>0.01</v>
      </c>
      <c r="Y42" s="2">
        <v>0</v>
      </c>
      <c r="Z42" s="2">
        <v>1070.1199999999999</v>
      </c>
      <c r="AA42" s="2">
        <v>332.66</v>
      </c>
      <c r="AB42" s="2">
        <v>0</v>
      </c>
      <c r="AC42" s="2">
        <v>0</v>
      </c>
      <c r="AD42" s="2">
        <v>1</v>
      </c>
      <c r="AE42" s="2">
        <v>0</v>
      </c>
      <c r="AF42" s="2" t="s">
        <v>207</v>
      </c>
      <c r="AG42" s="2">
        <v>0.52</v>
      </c>
      <c r="AH42" s="2">
        <v>2</v>
      </c>
      <c r="AI42" s="2">
        <v>52261848</v>
      </c>
      <c r="AJ42" s="2">
        <v>44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</row>
    <row r="43" spans="1:44" x14ac:dyDescent="0.25">
      <c r="A43" s="2">
        <f>ROW(Source!A88)</f>
        <v>88</v>
      </c>
      <c r="B43" s="2">
        <v>52261853</v>
      </c>
      <c r="C43" s="2">
        <v>52261847</v>
      </c>
      <c r="D43" s="2">
        <v>49679218</v>
      </c>
      <c r="E43" s="2">
        <v>1</v>
      </c>
      <c r="F43" s="2">
        <v>1</v>
      </c>
      <c r="G43" s="2">
        <v>29</v>
      </c>
      <c r="H43" s="2">
        <v>2</v>
      </c>
      <c r="I43" s="2" t="s">
        <v>87</v>
      </c>
      <c r="J43" s="2" t="s">
        <v>375</v>
      </c>
      <c r="K43" s="2" t="s">
        <v>88</v>
      </c>
      <c r="L43" s="2">
        <v>1368</v>
      </c>
      <c r="N43" s="2">
        <v>1011</v>
      </c>
      <c r="O43" s="2" t="s">
        <v>82</v>
      </c>
      <c r="P43" s="2" t="s">
        <v>82</v>
      </c>
      <c r="Q43" s="2">
        <v>1</v>
      </c>
      <c r="X43" s="2">
        <v>8.0000000000000002E-3</v>
      </c>
      <c r="Y43" s="2">
        <v>0</v>
      </c>
      <c r="Z43" s="2">
        <v>1080.76</v>
      </c>
      <c r="AA43" s="2">
        <v>332.99</v>
      </c>
      <c r="AB43" s="2">
        <v>0</v>
      </c>
      <c r="AC43" s="2">
        <v>0</v>
      </c>
      <c r="AD43" s="2">
        <v>1</v>
      </c>
      <c r="AE43" s="2">
        <v>0</v>
      </c>
      <c r="AF43" s="2" t="s">
        <v>207</v>
      </c>
      <c r="AG43" s="2">
        <v>0.41599999999999998</v>
      </c>
      <c r="AH43" s="2">
        <v>2</v>
      </c>
      <c r="AI43" s="2">
        <v>52261849</v>
      </c>
      <c r="AJ43" s="2">
        <v>45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</row>
    <row r="44" spans="1:44" x14ac:dyDescent="0.25">
      <c r="A44" s="2">
        <f>ROW(Source!A89)</f>
        <v>89</v>
      </c>
      <c r="B44" s="2">
        <v>52261863</v>
      </c>
      <c r="C44" s="2">
        <v>52261854</v>
      </c>
      <c r="D44" s="2">
        <v>49677488</v>
      </c>
      <c r="E44" s="2">
        <v>29</v>
      </c>
      <c r="F44" s="2">
        <v>1</v>
      </c>
      <c r="G44" s="2">
        <v>29</v>
      </c>
      <c r="H44" s="2">
        <v>1</v>
      </c>
      <c r="I44" s="2" t="s">
        <v>359</v>
      </c>
      <c r="J44" s="2" t="s">
        <v>30</v>
      </c>
      <c r="K44" s="2" t="s">
        <v>360</v>
      </c>
      <c r="L44" s="2">
        <v>1191</v>
      </c>
      <c r="N44" s="2">
        <v>1013</v>
      </c>
      <c r="O44" s="2" t="s">
        <v>361</v>
      </c>
      <c r="P44" s="2" t="s">
        <v>361</v>
      </c>
      <c r="Q44" s="2">
        <v>1</v>
      </c>
      <c r="X44" s="2">
        <v>80.27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</v>
      </c>
      <c r="AE44" s="2">
        <v>1</v>
      </c>
      <c r="AF44" s="2" t="s">
        <v>30</v>
      </c>
      <c r="AG44" s="2">
        <v>80.27</v>
      </c>
      <c r="AH44" s="2">
        <v>2</v>
      </c>
      <c r="AI44" s="2">
        <v>52261855</v>
      </c>
      <c r="AJ44" s="2">
        <v>46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</row>
    <row r="45" spans="1:44" x14ac:dyDescent="0.25">
      <c r="A45" s="2">
        <f>ROW(Source!A89)</f>
        <v>89</v>
      </c>
      <c r="B45" s="2">
        <v>52261864</v>
      </c>
      <c r="C45" s="2">
        <v>52261854</v>
      </c>
      <c r="D45" s="2">
        <v>49682322</v>
      </c>
      <c r="E45" s="2">
        <v>1</v>
      </c>
      <c r="F45" s="2">
        <v>1</v>
      </c>
      <c r="G45" s="2">
        <v>29</v>
      </c>
      <c r="H45" s="2">
        <v>3</v>
      </c>
      <c r="I45" s="2" t="s">
        <v>126</v>
      </c>
      <c r="J45" s="2" t="s">
        <v>382</v>
      </c>
      <c r="K45" s="2" t="s">
        <v>127</v>
      </c>
      <c r="L45" s="2">
        <v>1339</v>
      </c>
      <c r="N45" s="2">
        <v>1007</v>
      </c>
      <c r="O45" s="2" t="s">
        <v>62</v>
      </c>
      <c r="P45" s="2" t="s">
        <v>62</v>
      </c>
      <c r="Q45" s="2">
        <v>1</v>
      </c>
      <c r="X45" s="2">
        <v>5.9</v>
      </c>
      <c r="Y45" s="2">
        <v>3917.3</v>
      </c>
      <c r="Z45" s="2">
        <v>0</v>
      </c>
      <c r="AA45" s="2">
        <v>0</v>
      </c>
      <c r="AB45" s="2">
        <v>0</v>
      </c>
      <c r="AC45" s="2">
        <v>0</v>
      </c>
      <c r="AD45" s="2">
        <v>1</v>
      </c>
      <c r="AE45" s="2">
        <v>0</v>
      </c>
      <c r="AF45" s="2" t="s">
        <v>30</v>
      </c>
      <c r="AG45" s="2">
        <v>5.9</v>
      </c>
      <c r="AH45" s="2">
        <v>2</v>
      </c>
      <c r="AI45" s="2">
        <v>52261856</v>
      </c>
      <c r="AJ45" s="2">
        <v>47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</row>
    <row r="46" spans="1:44" x14ac:dyDescent="0.25">
      <c r="A46" s="2">
        <f>ROW(Source!A89)</f>
        <v>89</v>
      </c>
      <c r="B46" s="2">
        <v>52261865</v>
      </c>
      <c r="C46" s="2">
        <v>52261854</v>
      </c>
      <c r="D46" s="2">
        <v>49682398</v>
      </c>
      <c r="E46" s="2">
        <v>1</v>
      </c>
      <c r="F46" s="2">
        <v>1</v>
      </c>
      <c r="G46" s="2">
        <v>29</v>
      </c>
      <c r="H46" s="2">
        <v>3</v>
      </c>
      <c r="I46" s="2" t="s">
        <v>286</v>
      </c>
      <c r="J46" s="2" t="s">
        <v>288</v>
      </c>
      <c r="K46" s="2" t="s">
        <v>287</v>
      </c>
      <c r="L46" s="2">
        <v>1339</v>
      </c>
      <c r="N46" s="2">
        <v>1007</v>
      </c>
      <c r="O46" s="2" t="s">
        <v>62</v>
      </c>
      <c r="P46" s="2" t="s">
        <v>62</v>
      </c>
      <c r="Q46" s="2">
        <v>1</v>
      </c>
      <c r="X46" s="2">
        <v>0.06</v>
      </c>
      <c r="Y46" s="2">
        <v>3427.48</v>
      </c>
      <c r="Z46" s="2">
        <v>0</v>
      </c>
      <c r="AA46" s="2">
        <v>0</v>
      </c>
      <c r="AB46" s="2">
        <v>0</v>
      </c>
      <c r="AC46" s="2">
        <v>0</v>
      </c>
      <c r="AD46" s="2">
        <v>1</v>
      </c>
      <c r="AE46" s="2">
        <v>0</v>
      </c>
      <c r="AF46" s="2" t="s">
        <v>30</v>
      </c>
      <c r="AG46" s="2">
        <v>0.06</v>
      </c>
      <c r="AH46" s="2">
        <v>2</v>
      </c>
      <c r="AI46" s="2">
        <v>52261857</v>
      </c>
      <c r="AJ46" s="2">
        <v>48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</row>
    <row r="47" spans="1:44" x14ac:dyDescent="0.25">
      <c r="A47" s="2">
        <f>ROW(Source!A89)</f>
        <v>89</v>
      </c>
      <c r="B47" s="2">
        <v>52261866</v>
      </c>
      <c r="C47" s="2">
        <v>52261854</v>
      </c>
      <c r="D47" s="2">
        <v>49683146</v>
      </c>
      <c r="E47" s="2">
        <v>1</v>
      </c>
      <c r="F47" s="2">
        <v>1</v>
      </c>
      <c r="G47" s="2">
        <v>29</v>
      </c>
      <c r="H47" s="2">
        <v>3</v>
      </c>
      <c r="I47" s="2" t="s">
        <v>128</v>
      </c>
      <c r="J47" s="2" t="s">
        <v>381</v>
      </c>
      <c r="K47" s="2" t="s">
        <v>129</v>
      </c>
      <c r="L47" s="2">
        <v>1339</v>
      </c>
      <c r="N47" s="2">
        <v>1007</v>
      </c>
      <c r="O47" s="2" t="s">
        <v>62</v>
      </c>
      <c r="P47" s="2" t="s">
        <v>62</v>
      </c>
      <c r="Q47" s="2">
        <v>1</v>
      </c>
      <c r="X47" s="2">
        <v>4.3</v>
      </c>
      <c r="Y47" s="2">
        <v>7871.69</v>
      </c>
      <c r="Z47" s="2">
        <v>0</v>
      </c>
      <c r="AA47" s="2">
        <v>0</v>
      </c>
      <c r="AB47" s="2">
        <v>0</v>
      </c>
      <c r="AC47" s="2">
        <v>0</v>
      </c>
      <c r="AD47" s="2">
        <v>1</v>
      </c>
      <c r="AE47" s="2">
        <v>0</v>
      </c>
      <c r="AF47" s="2" t="s">
        <v>30</v>
      </c>
      <c r="AG47" s="2">
        <v>4.3</v>
      </c>
      <c r="AH47" s="2">
        <v>2</v>
      </c>
      <c r="AI47" s="2">
        <v>52261858</v>
      </c>
      <c r="AJ47" s="2">
        <v>49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</row>
    <row r="48" spans="1:44" x14ac:dyDescent="0.25">
      <c r="A48" s="2">
        <f>ROW(Source!A91)</f>
        <v>91</v>
      </c>
      <c r="B48" s="2">
        <v>52261873</v>
      </c>
      <c r="C48" s="2">
        <v>52261868</v>
      </c>
      <c r="D48" s="2">
        <v>49677488</v>
      </c>
      <c r="E48" s="2">
        <v>29</v>
      </c>
      <c r="F48" s="2">
        <v>1</v>
      </c>
      <c r="G48" s="2">
        <v>29</v>
      </c>
      <c r="H48" s="2">
        <v>1</v>
      </c>
      <c r="I48" s="2" t="s">
        <v>359</v>
      </c>
      <c r="J48" s="2" t="s">
        <v>30</v>
      </c>
      <c r="K48" s="2" t="s">
        <v>360</v>
      </c>
      <c r="L48" s="2">
        <v>1191</v>
      </c>
      <c r="N48" s="2">
        <v>1013</v>
      </c>
      <c r="O48" s="2" t="s">
        <v>361</v>
      </c>
      <c r="P48" s="2" t="s">
        <v>361</v>
      </c>
      <c r="Q48" s="2">
        <v>1</v>
      </c>
      <c r="X48" s="2">
        <v>1.1499999999999999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</v>
      </c>
      <c r="AE48" s="2">
        <v>1</v>
      </c>
      <c r="AF48" s="2" t="s">
        <v>30</v>
      </c>
      <c r="AG48" s="2">
        <v>1.1499999999999999</v>
      </c>
      <c r="AH48" s="2">
        <v>2</v>
      </c>
      <c r="AI48" s="2">
        <v>52261869</v>
      </c>
      <c r="AJ48" s="2">
        <v>50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</row>
    <row r="49" spans="1:44" x14ac:dyDescent="0.25">
      <c r="A49" s="2">
        <f>ROW(Source!A91)</f>
        <v>91</v>
      </c>
      <c r="B49" s="2">
        <v>52261874</v>
      </c>
      <c r="C49" s="2">
        <v>52261868</v>
      </c>
      <c r="D49" s="2">
        <v>49682152</v>
      </c>
      <c r="E49" s="2">
        <v>1</v>
      </c>
      <c r="F49" s="2">
        <v>1</v>
      </c>
      <c r="G49" s="2">
        <v>29</v>
      </c>
      <c r="H49" s="2">
        <v>3</v>
      </c>
      <c r="I49" s="2" t="s">
        <v>122</v>
      </c>
      <c r="J49" s="2" t="s">
        <v>383</v>
      </c>
      <c r="K49" s="2" t="s">
        <v>123</v>
      </c>
      <c r="L49" s="2">
        <v>1354</v>
      </c>
      <c r="N49" s="2">
        <v>1010</v>
      </c>
      <c r="O49" s="2" t="s">
        <v>67</v>
      </c>
      <c r="P49" s="2" t="s">
        <v>67</v>
      </c>
      <c r="Q49" s="2">
        <v>1</v>
      </c>
      <c r="X49" s="2">
        <v>100.1</v>
      </c>
      <c r="Y49" s="2">
        <v>140.25</v>
      </c>
      <c r="Z49" s="2">
        <v>0</v>
      </c>
      <c r="AA49" s="2">
        <v>0</v>
      </c>
      <c r="AB49" s="2">
        <v>0</v>
      </c>
      <c r="AC49" s="2">
        <v>0</v>
      </c>
      <c r="AD49" s="2">
        <v>1</v>
      </c>
      <c r="AE49" s="2">
        <v>0</v>
      </c>
      <c r="AF49" s="2" t="s">
        <v>30</v>
      </c>
      <c r="AG49" s="2">
        <v>100.1</v>
      </c>
      <c r="AH49" s="2">
        <v>2</v>
      </c>
      <c r="AI49" s="2">
        <v>52261870</v>
      </c>
      <c r="AJ49" s="2">
        <v>51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</row>
    <row r="50" spans="1:44" x14ac:dyDescent="0.25">
      <c r="A50" s="2">
        <f>ROW(Source!A184)</f>
        <v>184</v>
      </c>
      <c r="B50" s="2">
        <v>52264175</v>
      </c>
      <c r="C50" s="2">
        <v>52264170</v>
      </c>
      <c r="D50" s="2">
        <v>49677488</v>
      </c>
      <c r="E50" s="2">
        <v>29</v>
      </c>
      <c r="F50" s="2">
        <v>1</v>
      </c>
      <c r="G50" s="2">
        <v>29</v>
      </c>
      <c r="H50" s="2">
        <v>1</v>
      </c>
      <c r="I50" s="2" t="s">
        <v>359</v>
      </c>
      <c r="J50" s="2" t="s">
        <v>30</v>
      </c>
      <c r="K50" s="2" t="s">
        <v>360</v>
      </c>
      <c r="L50" s="2">
        <v>1191</v>
      </c>
      <c r="N50" s="2">
        <v>1013</v>
      </c>
      <c r="O50" s="2" t="s">
        <v>361</v>
      </c>
      <c r="P50" s="2" t="s">
        <v>361</v>
      </c>
      <c r="Q50" s="2">
        <v>1</v>
      </c>
      <c r="X50" s="2">
        <v>30.8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</v>
      </c>
      <c r="AE50" s="2">
        <v>1</v>
      </c>
      <c r="AF50" s="2" t="s">
        <v>30</v>
      </c>
      <c r="AG50" s="2">
        <v>30.8</v>
      </c>
      <c r="AH50" s="2">
        <v>2</v>
      </c>
      <c r="AI50" s="2">
        <v>52264171</v>
      </c>
      <c r="AJ50" s="2">
        <v>52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</row>
    <row r="51" spans="1:44" x14ac:dyDescent="0.25">
      <c r="A51" s="2">
        <f>ROW(Source!A184)</f>
        <v>184</v>
      </c>
      <c r="B51" s="2">
        <v>52264176</v>
      </c>
      <c r="C51" s="2">
        <v>52264170</v>
      </c>
      <c r="D51" s="2">
        <v>49679009</v>
      </c>
      <c r="E51" s="2">
        <v>1</v>
      </c>
      <c r="F51" s="2">
        <v>1</v>
      </c>
      <c r="G51" s="2">
        <v>29</v>
      </c>
      <c r="H51" s="2">
        <v>2</v>
      </c>
      <c r="I51" s="2" t="s">
        <v>134</v>
      </c>
      <c r="J51" s="2" t="s">
        <v>384</v>
      </c>
      <c r="K51" s="2" t="s">
        <v>135</v>
      </c>
      <c r="L51" s="2">
        <v>1368</v>
      </c>
      <c r="N51" s="2">
        <v>1011</v>
      </c>
      <c r="O51" s="2" t="s">
        <v>82</v>
      </c>
      <c r="P51" s="2" t="s">
        <v>82</v>
      </c>
      <c r="Q51" s="2">
        <v>1</v>
      </c>
      <c r="X51" s="2">
        <v>0.06</v>
      </c>
      <c r="Y51" s="2">
        <v>0</v>
      </c>
      <c r="Z51" s="2">
        <v>17.07</v>
      </c>
      <c r="AA51" s="2">
        <v>1.45</v>
      </c>
      <c r="AB51" s="2">
        <v>0</v>
      </c>
      <c r="AC51" s="2">
        <v>0</v>
      </c>
      <c r="AD51" s="2">
        <v>1</v>
      </c>
      <c r="AE51" s="2">
        <v>0</v>
      </c>
      <c r="AF51" s="2" t="s">
        <v>30</v>
      </c>
      <c r="AG51" s="2">
        <v>0.06</v>
      </c>
      <c r="AH51" s="2">
        <v>2</v>
      </c>
      <c r="AI51" s="2">
        <v>52264172</v>
      </c>
      <c r="AJ51" s="2">
        <v>53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</row>
    <row r="52" spans="1:44" x14ac:dyDescent="0.25">
      <c r="A52" s="2">
        <f>ROW(Source!A184)</f>
        <v>184</v>
      </c>
      <c r="B52" s="2">
        <v>52264177</v>
      </c>
      <c r="C52" s="2">
        <v>52264170</v>
      </c>
      <c r="D52" s="2">
        <v>49678455</v>
      </c>
      <c r="E52" s="2">
        <v>1</v>
      </c>
      <c r="F52" s="2">
        <v>1</v>
      </c>
      <c r="G52" s="2">
        <v>29</v>
      </c>
      <c r="H52" s="2">
        <v>2</v>
      </c>
      <c r="I52" s="2" t="s">
        <v>136</v>
      </c>
      <c r="J52" s="2" t="s">
        <v>385</v>
      </c>
      <c r="K52" s="2" t="s">
        <v>137</v>
      </c>
      <c r="L52" s="2">
        <v>1368</v>
      </c>
      <c r="N52" s="2">
        <v>1011</v>
      </c>
      <c r="O52" s="2" t="s">
        <v>82</v>
      </c>
      <c r="P52" s="2" t="s">
        <v>82</v>
      </c>
      <c r="Q52" s="2">
        <v>1</v>
      </c>
      <c r="X52" s="2">
        <v>0.06</v>
      </c>
      <c r="Y52" s="2">
        <v>0</v>
      </c>
      <c r="Z52" s="2">
        <v>1060.5899999999999</v>
      </c>
      <c r="AA52" s="2">
        <v>378.83</v>
      </c>
      <c r="AB52" s="2">
        <v>0</v>
      </c>
      <c r="AC52" s="2">
        <v>0</v>
      </c>
      <c r="AD52" s="2">
        <v>1</v>
      </c>
      <c r="AE52" s="2">
        <v>0</v>
      </c>
      <c r="AF52" s="2" t="s">
        <v>30</v>
      </c>
      <c r="AG52" s="2">
        <v>0.06</v>
      </c>
      <c r="AH52" s="2">
        <v>2</v>
      </c>
      <c r="AI52" s="2">
        <v>52264173</v>
      </c>
      <c r="AJ52" s="2">
        <v>54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</row>
    <row r="53" spans="1:44" x14ac:dyDescent="0.25">
      <c r="A53" s="2">
        <f>ROW(Source!A184)</f>
        <v>184</v>
      </c>
      <c r="B53" s="2">
        <v>52264178</v>
      </c>
      <c r="C53" s="2">
        <v>52264170</v>
      </c>
      <c r="D53" s="2">
        <v>49683083</v>
      </c>
      <c r="E53" s="2">
        <v>1</v>
      </c>
      <c r="F53" s="2">
        <v>1</v>
      </c>
      <c r="G53" s="2">
        <v>29</v>
      </c>
      <c r="H53" s="2">
        <v>3</v>
      </c>
      <c r="I53" s="2" t="s">
        <v>141</v>
      </c>
      <c r="J53" s="2" t="s">
        <v>386</v>
      </c>
      <c r="K53" s="2" t="s">
        <v>142</v>
      </c>
      <c r="L53" s="2">
        <v>1339</v>
      </c>
      <c r="N53" s="2">
        <v>1007</v>
      </c>
      <c r="O53" s="2" t="s">
        <v>62</v>
      </c>
      <c r="P53" s="2" t="s">
        <v>62</v>
      </c>
      <c r="Q53" s="2">
        <v>1</v>
      </c>
      <c r="X53" s="2">
        <v>15</v>
      </c>
      <c r="Y53" s="2">
        <v>790.5</v>
      </c>
      <c r="Z53" s="2">
        <v>0</v>
      </c>
      <c r="AA53" s="2">
        <v>0</v>
      </c>
      <c r="AB53" s="2">
        <v>0</v>
      </c>
      <c r="AC53" s="2">
        <v>0</v>
      </c>
      <c r="AD53" s="2">
        <v>1</v>
      </c>
      <c r="AE53" s="2">
        <v>0</v>
      </c>
      <c r="AF53" s="2" t="s">
        <v>30</v>
      </c>
      <c r="AG53" s="2">
        <v>15</v>
      </c>
      <c r="AH53" s="2">
        <v>2</v>
      </c>
      <c r="AI53" s="2">
        <v>52264174</v>
      </c>
      <c r="AJ53" s="2">
        <v>55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</row>
    <row r="54" spans="1:44" x14ac:dyDescent="0.25">
      <c r="A54" s="2">
        <f>ROW(Source!A185)</f>
        <v>185</v>
      </c>
      <c r="B54" s="2">
        <v>52264182</v>
      </c>
      <c r="C54" s="2">
        <v>52264179</v>
      </c>
      <c r="D54" s="2">
        <v>49677488</v>
      </c>
      <c r="E54" s="2">
        <v>29</v>
      </c>
      <c r="F54" s="2">
        <v>1</v>
      </c>
      <c r="G54" s="2">
        <v>29</v>
      </c>
      <c r="H54" s="2">
        <v>1</v>
      </c>
      <c r="I54" s="2" t="s">
        <v>359</v>
      </c>
      <c r="J54" s="2" t="s">
        <v>30</v>
      </c>
      <c r="K54" s="2" t="s">
        <v>360</v>
      </c>
      <c r="L54" s="2">
        <v>1191</v>
      </c>
      <c r="N54" s="2">
        <v>1013</v>
      </c>
      <c r="O54" s="2" t="s">
        <v>361</v>
      </c>
      <c r="P54" s="2" t="s">
        <v>361</v>
      </c>
      <c r="Q54" s="2">
        <v>1</v>
      </c>
      <c r="X54" s="2">
        <v>46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1</v>
      </c>
      <c r="AE54" s="2">
        <v>1</v>
      </c>
      <c r="AF54" s="2" t="s">
        <v>30</v>
      </c>
      <c r="AG54" s="2">
        <v>46</v>
      </c>
      <c r="AH54" s="2">
        <v>2</v>
      </c>
      <c r="AI54" s="2">
        <v>52264180</v>
      </c>
      <c r="AJ54" s="2">
        <v>56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</row>
    <row r="55" spans="1:44" x14ac:dyDescent="0.25">
      <c r="A55" s="2">
        <f>ROW(Source!A185)</f>
        <v>185</v>
      </c>
      <c r="B55" s="2">
        <v>52264183</v>
      </c>
      <c r="C55" s="2">
        <v>52264179</v>
      </c>
      <c r="D55" s="2">
        <v>49683083</v>
      </c>
      <c r="E55" s="2">
        <v>1</v>
      </c>
      <c r="F55" s="2">
        <v>1</v>
      </c>
      <c r="G55" s="2">
        <v>29</v>
      </c>
      <c r="H55" s="2">
        <v>3</v>
      </c>
      <c r="I55" s="2" t="s">
        <v>141</v>
      </c>
      <c r="J55" s="2" t="s">
        <v>386</v>
      </c>
      <c r="K55" s="2" t="s">
        <v>142</v>
      </c>
      <c r="L55" s="2">
        <v>1339</v>
      </c>
      <c r="N55" s="2">
        <v>1007</v>
      </c>
      <c r="O55" s="2" t="s">
        <v>62</v>
      </c>
      <c r="P55" s="2" t="s">
        <v>62</v>
      </c>
      <c r="Q55" s="2">
        <v>1</v>
      </c>
      <c r="X55" s="2">
        <v>15</v>
      </c>
      <c r="Y55" s="2">
        <v>790.5</v>
      </c>
      <c r="Z55" s="2">
        <v>0</v>
      </c>
      <c r="AA55" s="2">
        <v>0</v>
      </c>
      <c r="AB55" s="2">
        <v>0</v>
      </c>
      <c r="AC55" s="2">
        <v>0</v>
      </c>
      <c r="AD55" s="2">
        <v>1</v>
      </c>
      <c r="AE55" s="2">
        <v>0</v>
      </c>
      <c r="AF55" s="2" t="s">
        <v>30</v>
      </c>
      <c r="AG55" s="2">
        <v>15</v>
      </c>
      <c r="AH55" s="2">
        <v>2</v>
      </c>
      <c r="AI55" s="2">
        <v>52264181</v>
      </c>
      <c r="AJ55" s="2">
        <v>57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</row>
    <row r="56" spans="1:44" x14ac:dyDescent="0.25">
      <c r="A56" s="2">
        <f>ROW(Source!A186)</f>
        <v>186</v>
      </c>
      <c r="B56" s="2">
        <v>52264187</v>
      </c>
      <c r="C56" s="2">
        <v>52264184</v>
      </c>
      <c r="D56" s="2">
        <v>49677488</v>
      </c>
      <c r="E56" s="2">
        <v>29</v>
      </c>
      <c r="F56" s="2">
        <v>1</v>
      </c>
      <c r="G56" s="2">
        <v>29</v>
      </c>
      <c r="H56" s="2">
        <v>1</v>
      </c>
      <c r="I56" s="2" t="s">
        <v>359</v>
      </c>
      <c r="J56" s="2" t="s">
        <v>30</v>
      </c>
      <c r="K56" s="2" t="s">
        <v>360</v>
      </c>
      <c r="L56" s="2">
        <v>1191</v>
      </c>
      <c r="N56" s="2">
        <v>1013</v>
      </c>
      <c r="O56" s="2" t="s">
        <v>361</v>
      </c>
      <c r="P56" s="2" t="s">
        <v>361</v>
      </c>
      <c r="Q56" s="2">
        <v>1</v>
      </c>
      <c r="X56" s="2">
        <v>6.29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1</v>
      </c>
      <c r="AE56" s="2">
        <v>1</v>
      </c>
      <c r="AF56" s="2" t="s">
        <v>30</v>
      </c>
      <c r="AG56" s="2">
        <v>6.29</v>
      </c>
      <c r="AH56" s="2">
        <v>2</v>
      </c>
      <c r="AI56" s="2">
        <v>52264185</v>
      </c>
      <c r="AJ56" s="2">
        <v>58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</row>
    <row r="57" spans="1:44" x14ac:dyDescent="0.25">
      <c r="A57" s="2">
        <f>ROW(Source!A186)</f>
        <v>186</v>
      </c>
      <c r="B57" s="2">
        <v>52264188</v>
      </c>
      <c r="C57" s="2">
        <v>52264184</v>
      </c>
      <c r="D57" s="2">
        <v>49683083</v>
      </c>
      <c r="E57" s="2">
        <v>1</v>
      </c>
      <c r="F57" s="2">
        <v>1</v>
      </c>
      <c r="G57" s="2">
        <v>29</v>
      </c>
      <c r="H57" s="2">
        <v>3</v>
      </c>
      <c r="I57" s="2" t="s">
        <v>141</v>
      </c>
      <c r="J57" s="2" t="s">
        <v>386</v>
      </c>
      <c r="K57" s="2" t="s">
        <v>142</v>
      </c>
      <c r="L57" s="2">
        <v>1339</v>
      </c>
      <c r="N57" s="2">
        <v>1007</v>
      </c>
      <c r="O57" s="2" t="s">
        <v>62</v>
      </c>
      <c r="P57" s="2" t="s">
        <v>62</v>
      </c>
      <c r="Q57" s="2">
        <v>1</v>
      </c>
      <c r="X57" s="2">
        <v>5</v>
      </c>
      <c r="Y57" s="2">
        <v>790.5</v>
      </c>
      <c r="Z57" s="2">
        <v>0</v>
      </c>
      <c r="AA57" s="2">
        <v>0</v>
      </c>
      <c r="AB57" s="2">
        <v>0</v>
      </c>
      <c r="AC57" s="2">
        <v>0</v>
      </c>
      <c r="AD57" s="2">
        <v>1</v>
      </c>
      <c r="AE57" s="2">
        <v>0</v>
      </c>
      <c r="AF57" s="2" t="s">
        <v>30</v>
      </c>
      <c r="AG57" s="2">
        <v>5</v>
      </c>
      <c r="AH57" s="2">
        <v>2</v>
      </c>
      <c r="AI57" s="2">
        <v>52264186</v>
      </c>
      <c r="AJ57" s="2">
        <v>59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</row>
    <row r="58" spans="1:44" x14ac:dyDescent="0.25">
      <c r="A58" s="2">
        <f>ROW(Source!A187)</f>
        <v>187</v>
      </c>
      <c r="B58" s="2">
        <v>52264193</v>
      </c>
      <c r="C58" s="2">
        <v>52264189</v>
      </c>
      <c r="D58" s="2">
        <v>49677488</v>
      </c>
      <c r="E58" s="2">
        <v>29</v>
      </c>
      <c r="F58" s="2">
        <v>1</v>
      </c>
      <c r="G58" s="2">
        <v>29</v>
      </c>
      <c r="H58" s="2">
        <v>1</v>
      </c>
      <c r="I58" s="2" t="s">
        <v>359</v>
      </c>
      <c r="J58" s="2" t="s">
        <v>30</v>
      </c>
      <c r="K58" s="2" t="s">
        <v>360</v>
      </c>
      <c r="L58" s="2">
        <v>1191</v>
      </c>
      <c r="N58" s="2">
        <v>1013</v>
      </c>
      <c r="O58" s="2" t="s">
        <v>361</v>
      </c>
      <c r="P58" s="2" t="s">
        <v>361</v>
      </c>
      <c r="Q58" s="2">
        <v>1</v>
      </c>
      <c r="X58" s="2">
        <v>6.04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1</v>
      </c>
      <c r="AE58" s="2">
        <v>1</v>
      </c>
      <c r="AF58" s="2" t="s">
        <v>30</v>
      </c>
      <c r="AG58" s="2">
        <v>6.04</v>
      </c>
      <c r="AH58" s="2">
        <v>2</v>
      </c>
      <c r="AI58" s="2">
        <v>52264190</v>
      </c>
      <c r="AJ58" s="2">
        <v>60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</row>
    <row r="59" spans="1:44" x14ac:dyDescent="0.25">
      <c r="A59" s="2">
        <f>ROW(Source!A187)</f>
        <v>187</v>
      </c>
      <c r="B59" s="2">
        <v>52264194</v>
      </c>
      <c r="C59" s="2">
        <v>52264189</v>
      </c>
      <c r="D59" s="2">
        <v>49681352</v>
      </c>
      <c r="E59" s="2">
        <v>1</v>
      </c>
      <c r="F59" s="2">
        <v>1</v>
      </c>
      <c r="G59" s="2">
        <v>29</v>
      </c>
      <c r="H59" s="2">
        <v>3</v>
      </c>
      <c r="I59" s="2" t="s">
        <v>111</v>
      </c>
      <c r="J59" s="2" t="s">
        <v>367</v>
      </c>
      <c r="K59" s="2" t="s">
        <v>112</v>
      </c>
      <c r="L59" s="2">
        <v>1339</v>
      </c>
      <c r="N59" s="2">
        <v>1007</v>
      </c>
      <c r="O59" s="2" t="s">
        <v>62</v>
      </c>
      <c r="P59" s="2" t="s">
        <v>62</v>
      </c>
      <c r="Q59" s="2">
        <v>1</v>
      </c>
      <c r="X59" s="2">
        <v>10</v>
      </c>
      <c r="Y59" s="2">
        <v>36.31</v>
      </c>
      <c r="Z59" s="2">
        <v>0</v>
      </c>
      <c r="AA59" s="2">
        <v>0</v>
      </c>
      <c r="AB59" s="2">
        <v>0</v>
      </c>
      <c r="AC59" s="2">
        <v>0</v>
      </c>
      <c r="AD59" s="2">
        <v>1</v>
      </c>
      <c r="AE59" s="2">
        <v>0</v>
      </c>
      <c r="AF59" s="2" t="s">
        <v>30</v>
      </c>
      <c r="AG59" s="2">
        <v>10</v>
      </c>
      <c r="AH59" s="2">
        <v>2</v>
      </c>
      <c r="AI59" s="2">
        <v>52264191</v>
      </c>
      <c r="AJ59" s="2">
        <v>61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</row>
    <row r="60" spans="1:44" x14ac:dyDescent="0.25">
      <c r="A60" s="2">
        <f>ROW(Source!A187)</f>
        <v>187</v>
      </c>
      <c r="B60" s="2">
        <v>52264195</v>
      </c>
      <c r="C60" s="2">
        <v>52264189</v>
      </c>
      <c r="D60" s="2">
        <v>49683088</v>
      </c>
      <c r="E60" s="2">
        <v>1</v>
      </c>
      <c r="F60" s="2">
        <v>1</v>
      </c>
      <c r="G60" s="2">
        <v>29</v>
      </c>
      <c r="H60" s="2">
        <v>3</v>
      </c>
      <c r="I60" s="2" t="s">
        <v>138</v>
      </c>
      <c r="J60" s="2" t="s">
        <v>387</v>
      </c>
      <c r="K60" s="2" t="s">
        <v>139</v>
      </c>
      <c r="L60" s="2">
        <v>1346</v>
      </c>
      <c r="N60" s="2">
        <v>1009</v>
      </c>
      <c r="O60" s="2" t="s">
        <v>140</v>
      </c>
      <c r="P60" s="2" t="s">
        <v>140</v>
      </c>
      <c r="Q60" s="2">
        <v>1</v>
      </c>
      <c r="X60" s="2">
        <v>4</v>
      </c>
      <c r="Y60" s="2">
        <v>331.36</v>
      </c>
      <c r="Z60" s="2">
        <v>0</v>
      </c>
      <c r="AA60" s="2">
        <v>0</v>
      </c>
      <c r="AB60" s="2">
        <v>0</v>
      </c>
      <c r="AC60" s="2">
        <v>0</v>
      </c>
      <c r="AD60" s="2">
        <v>1</v>
      </c>
      <c r="AE60" s="2">
        <v>0</v>
      </c>
      <c r="AF60" s="2" t="s">
        <v>30</v>
      </c>
      <c r="AG60" s="2">
        <v>4</v>
      </c>
      <c r="AH60" s="2">
        <v>2</v>
      </c>
      <c r="AI60" s="2">
        <v>52264192</v>
      </c>
      <c r="AJ60" s="2">
        <v>62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</row>
    <row r="61" spans="1:44" x14ac:dyDescent="0.25">
      <c r="A61" s="2">
        <f>ROW(Source!A223)</f>
        <v>223</v>
      </c>
      <c r="B61" s="2">
        <v>52264308</v>
      </c>
      <c r="C61" s="2">
        <v>52264304</v>
      </c>
      <c r="D61" s="2">
        <v>49677488</v>
      </c>
      <c r="E61" s="2">
        <v>29</v>
      </c>
      <c r="F61" s="2">
        <v>1</v>
      </c>
      <c r="G61" s="2">
        <v>29</v>
      </c>
      <c r="H61" s="2">
        <v>1</v>
      </c>
      <c r="I61" s="2" t="s">
        <v>359</v>
      </c>
      <c r="J61" s="2" t="s">
        <v>30</v>
      </c>
      <c r="K61" s="2" t="s">
        <v>360</v>
      </c>
      <c r="L61" s="2">
        <v>1191</v>
      </c>
      <c r="N61" s="2">
        <v>1013</v>
      </c>
      <c r="O61" s="2" t="s">
        <v>361</v>
      </c>
      <c r="P61" s="2" t="s">
        <v>361</v>
      </c>
      <c r="Q61" s="2">
        <v>1</v>
      </c>
      <c r="X61" s="2">
        <v>1.59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1</v>
      </c>
      <c r="AE61" s="2">
        <v>1</v>
      </c>
      <c r="AF61" s="2" t="s">
        <v>30</v>
      </c>
      <c r="AG61" s="2">
        <v>1.59</v>
      </c>
      <c r="AH61" s="2">
        <v>2</v>
      </c>
      <c r="AI61" s="2">
        <v>52264305</v>
      </c>
      <c r="AJ61" s="2">
        <v>63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</row>
    <row r="62" spans="1:44" x14ac:dyDescent="0.25">
      <c r="A62" s="2">
        <f>ROW(Source!A223)</f>
        <v>223</v>
      </c>
      <c r="B62" s="2">
        <v>52264309</v>
      </c>
      <c r="C62" s="2">
        <v>52264304</v>
      </c>
      <c r="D62" s="2">
        <v>49678404</v>
      </c>
      <c r="E62" s="2">
        <v>1</v>
      </c>
      <c r="F62" s="2">
        <v>1</v>
      </c>
      <c r="G62" s="2">
        <v>29</v>
      </c>
      <c r="H62" s="2">
        <v>2</v>
      </c>
      <c r="I62" s="2" t="s">
        <v>144</v>
      </c>
      <c r="J62" s="2" t="s">
        <v>388</v>
      </c>
      <c r="K62" s="2" t="s">
        <v>145</v>
      </c>
      <c r="L62" s="2">
        <v>1368</v>
      </c>
      <c r="N62" s="2">
        <v>1011</v>
      </c>
      <c r="O62" s="2" t="s">
        <v>82</v>
      </c>
      <c r="P62" s="2" t="s">
        <v>82</v>
      </c>
      <c r="Q62" s="2">
        <v>1</v>
      </c>
      <c r="X62" s="2">
        <v>4.9800000000000004</v>
      </c>
      <c r="Y62" s="2">
        <v>0</v>
      </c>
      <c r="Z62" s="2">
        <v>1571.99</v>
      </c>
      <c r="AA62" s="2">
        <v>595.20000000000005</v>
      </c>
      <c r="AB62" s="2">
        <v>0</v>
      </c>
      <c r="AC62" s="2">
        <v>0</v>
      </c>
      <c r="AD62" s="2">
        <v>1</v>
      </c>
      <c r="AE62" s="2">
        <v>0</v>
      </c>
      <c r="AF62" s="2" t="s">
        <v>30</v>
      </c>
      <c r="AG62" s="2">
        <v>4.9800000000000004</v>
      </c>
      <c r="AH62" s="2">
        <v>2</v>
      </c>
      <c r="AI62" s="2">
        <v>52264306</v>
      </c>
      <c r="AJ62" s="2">
        <v>64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</row>
    <row r="63" spans="1:44" x14ac:dyDescent="0.25">
      <c r="A63" s="2">
        <f>ROW(Source!A223)</f>
        <v>223</v>
      </c>
      <c r="B63" s="2">
        <v>52264310</v>
      </c>
      <c r="C63" s="2">
        <v>52264304</v>
      </c>
      <c r="D63" s="2">
        <v>49678427</v>
      </c>
      <c r="E63" s="2">
        <v>1</v>
      </c>
      <c r="F63" s="2">
        <v>1</v>
      </c>
      <c r="G63" s="2">
        <v>29</v>
      </c>
      <c r="H63" s="2">
        <v>2</v>
      </c>
      <c r="I63" s="2" t="s">
        <v>148</v>
      </c>
      <c r="J63" s="2" t="s">
        <v>389</v>
      </c>
      <c r="K63" s="2" t="s">
        <v>149</v>
      </c>
      <c r="L63" s="2">
        <v>1368</v>
      </c>
      <c r="N63" s="2">
        <v>1011</v>
      </c>
      <c r="O63" s="2" t="s">
        <v>82</v>
      </c>
      <c r="P63" s="2" t="s">
        <v>82</v>
      </c>
      <c r="Q63" s="2">
        <v>1</v>
      </c>
      <c r="X63" s="2">
        <v>1.25</v>
      </c>
      <c r="Y63" s="2">
        <v>0</v>
      </c>
      <c r="Z63" s="2">
        <v>1129.8900000000001</v>
      </c>
      <c r="AA63" s="2">
        <v>513.16999999999996</v>
      </c>
      <c r="AB63" s="2">
        <v>0</v>
      </c>
      <c r="AC63" s="2">
        <v>0</v>
      </c>
      <c r="AD63" s="2">
        <v>1</v>
      </c>
      <c r="AE63" s="2">
        <v>0</v>
      </c>
      <c r="AF63" s="2" t="s">
        <v>30</v>
      </c>
      <c r="AG63" s="2">
        <v>1.25</v>
      </c>
      <c r="AH63" s="2">
        <v>2</v>
      </c>
      <c r="AI63" s="2">
        <v>52264307</v>
      </c>
      <c r="AJ63" s="2">
        <v>65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</row>
    <row r="64" spans="1:44" x14ac:dyDescent="0.25">
      <c r="A64" s="2">
        <f>ROW(Source!A224)</f>
        <v>224</v>
      </c>
      <c r="B64" s="2">
        <v>52264313</v>
      </c>
      <c r="C64" s="2">
        <v>52264311</v>
      </c>
      <c r="D64" s="2">
        <v>49677488</v>
      </c>
      <c r="E64" s="2">
        <v>29</v>
      </c>
      <c r="F64" s="2">
        <v>1</v>
      </c>
      <c r="G64" s="2">
        <v>29</v>
      </c>
      <c r="H64" s="2">
        <v>1</v>
      </c>
      <c r="I64" s="2" t="s">
        <v>359</v>
      </c>
      <c r="J64" s="2" t="s">
        <v>30</v>
      </c>
      <c r="K64" s="2" t="s">
        <v>360</v>
      </c>
      <c r="L64" s="2">
        <v>1191</v>
      </c>
      <c r="N64" s="2">
        <v>1013</v>
      </c>
      <c r="O64" s="2" t="s">
        <v>361</v>
      </c>
      <c r="P64" s="2" t="s">
        <v>361</v>
      </c>
      <c r="Q64" s="2">
        <v>1</v>
      </c>
      <c r="X64" s="2">
        <v>221.6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</v>
      </c>
      <c r="AE64" s="2">
        <v>1</v>
      </c>
      <c r="AF64" s="2" t="s">
        <v>30</v>
      </c>
      <c r="AG64" s="2">
        <v>221.6</v>
      </c>
      <c r="AH64" s="2">
        <v>2</v>
      </c>
      <c r="AI64" s="2">
        <v>52264312</v>
      </c>
      <c r="AJ64" s="2">
        <v>66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</row>
    <row r="65" spans="1:44" x14ac:dyDescent="0.25">
      <c r="A65" s="2">
        <f>ROW(Source!A225)</f>
        <v>225</v>
      </c>
      <c r="B65" s="2">
        <v>52264318</v>
      </c>
      <c r="C65" s="2">
        <v>52264314</v>
      </c>
      <c r="D65" s="2">
        <v>49677488</v>
      </c>
      <c r="E65" s="2">
        <v>29</v>
      </c>
      <c r="F65" s="2">
        <v>1</v>
      </c>
      <c r="G65" s="2">
        <v>29</v>
      </c>
      <c r="H65" s="2">
        <v>1</v>
      </c>
      <c r="I65" s="2" t="s">
        <v>359</v>
      </c>
      <c r="J65" s="2" t="s">
        <v>30</v>
      </c>
      <c r="K65" s="2" t="s">
        <v>360</v>
      </c>
      <c r="L65" s="2">
        <v>1191</v>
      </c>
      <c r="N65" s="2">
        <v>1013</v>
      </c>
      <c r="O65" s="2" t="s">
        <v>361</v>
      </c>
      <c r="P65" s="2" t="s">
        <v>361</v>
      </c>
      <c r="Q65" s="2">
        <v>1</v>
      </c>
      <c r="X65" s="2">
        <v>1.59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1</v>
      </c>
      <c r="AE65" s="2">
        <v>1</v>
      </c>
      <c r="AF65" s="2" t="s">
        <v>30</v>
      </c>
      <c r="AG65" s="2">
        <v>1.59</v>
      </c>
      <c r="AH65" s="2">
        <v>2</v>
      </c>
      <c r="AI65" s="2">
        <v>52264315</v>
      </c>
      <c r="AJ65" s="2">
        <v>67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</row>
    <row r="66" spans="1:44" x14ac:dyDescent="0.25">
      <c r="A66" s="2">
        <f>ROW(Source!A225)</f>
        <v>225</v>
      </c>
      <c r="B66" s="2">
        <v>52264319</v>
      </c>
      <c r="C66" s="2">
        <v>52264314</v>
      </c>
      <c r="D66" s="2">
        <v>49678404</v>
      </c>
      <c r="E66" s="2">
        <v>1</v>
      </c>
      <c r="F66" s="2">
        <v>1</v>
      </c>
      <c r="G66" s="2">
        <v>29</v>
      </c>
      <c r="H66" s="2">
        <v>2</v>
      </c>
      <c r="I66" s="2" t="s">
        <v>144</v>
      </c>
      <c r="J66" s="2" t="s">
        <v>388</v>
      </c>
      <c r="K66" s="2" t="s">
        <v>145</v>
      </c>
      <c r="L66" s="2">
        <v>1368</v>
      </c>
      <c r="N66" s="2">
        <v>1011</v>
      </c>
      <c r="O66" s="2" t="s">
        <v>82</v>
      </c>
      <c r="P66" s="2" t="s">
        <v>82</v>
      </c>
      <c r="Q66" s="2">
        <v>1</v>
      </c>
      <c r="X66" s="2">
        <v>4.9800000000000004</v>
      </c>
      <c r="Y66" s="2">
        <v>0</v>
      </c>
      <c r="Z66" s="2">
        <v>1571.99</v>
      </c>
      <c r="AA66" s="2">
        <v>595.20000000000005</v>
      </c>
      <c r="AB66" s="2">
        <v>0</v>
      </c>
      <c r="AC66" s="2">
        <v>0</v>
      </c>
      <c r="AD66" s="2">
        <v>1</v>
      </c>
      <c r="AE66" s="2">
        <v>0</v>
      </c>
      <c r="AF66" s="2" t="s">
        <v>30</v>
      </c>
      <c r="AG66" s="2">
        <v>4.9800000000000004</v>
      </c>
      <c r="AH66" s="2">
        <v>2</v>
      </c>
      <c r="AI66" s="2">
        <v>52264316</v>
      </c>
      <c r="AJ66" s="2">
        <v>68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</row>
    <row r="67" spans="1:44" x14ac:dyDescent="0.25">
      <c r="A67" s="2">
        <f>ROW(Source!A225)</f>
        <v>225</v>
      </c>
      <c r="B67" s="2">
        <v>52264320</v>
      </c>
      <c r="C67" s="2">
        <v>52264314</v>
      </c>
      <c r="D67" s="2">
        <v>49678427</v>
      </c>
      <c r="E67" s="2">
        <v>1</v>
      </c>
      <c r="F67" s="2">
        <v>1</v>
      </c>
      <c r="G67" s="2">
        <v>29</v>
      </c>
      <c r="H67" s="2">
        <v>2</v>
      </c>
      <c r="I67" s="2" t="s">
        <v>148</v>
      </c>
      <c r="J67" s="2" t="s">
        <v>389</v>
      </c>
      <c r="K67" s="2" t="s">
        <v>149</v>
      </c>
      <c r="L67" s="2">
        <v>1368</v>
      </c>
      <c r="N67" s="2">
        <v>1011</v>
      </c>
      <c r="O67" s="2" t="s">
        <v>82</v>
      </c>
      <c r="P67" s="2" t="s">
        <v>82</v>
      </c>
      <c r="Q67" s="2">
        <v>1</v>
      </c>
      <c r="X67" s="2">
        <v>1.25</v>
      </c>
      <c r="Y67" s="2">
        <v>0</v>
      </c>
      <c r="Z67" s="2">
        <v>1129.8900000000001</v>
      </c>
      <c r="AA67" s="2">
        <v>513.16999999999996</v>
      </c>
      <c r="AB67" s="2">
        <v>0</v>
      </c>
      <c r="AC67" s="2">
        <v>0</v>
      </c>
      <c r="AD67" s="2">
        <v>1</v>
      </c>
      <c r="AE67" s="2">
        <v>0</v>
      </c>
      <c r="AF67" s="2" t="s">
        <v>30</v>
      </c>
      <c r="AG67" s="2">
        <v>1.25</v>
      </c>
      <c r="AH67" s="2">
        <v>2</v>
      </c>
      <c r="AI67" s="2">
        <v>52264317</v>
      </c>
      <c r="AJ67" s="2">
        <v>69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</row>
    <row r="68" spans="1:44" x14ac:dyDescent="0.25">
      <c r="A68" s="2">
        <f>ROW(Source!A226)</f>
        <v>226</v>
      </c>
      <c r="B68" s="2">
        <v>52264323</v>
      </c>
      <c r="C68" s="2">
        <v>52264321</v>
      </c>
      <c r="D68" s="2">
        <v>49677488</v>
      </c>
      <c r="E68" s="2">
        <v>29</v>
      </c>
      <c r="F68" s="2">
        <v>1</v>
      </c>
      <c r="G68" s="2">
        <v>29</v>
      </c>
      <c r="H68" s="2">
        <v>1</v>
      </c>
      <c r="I68" s="2" t="s">
        <v>359</v>
      </c>
      <c r="J68" s="2" t="s">
        <v>30</v>
      </c>
      <c r="K68" s="2" t="s">
        <v>360</v>
      </c>
      <c r="L68" s="2">
        <v>1191</v>
      </c>
      <c r="N68" s="2">
        <v>1013</v>
      </c>
      <c r="O68" s="2" t="s">
        <v>361</v>
      </c>
      <c r="P68" s="2" t="s">
        <v>361</v>
      </c>
      <c r="Q68" s="2">
        <v>1</v>
      </c>
      <c r="X68" s="2">
        <v>83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1</v>
      </c>
      <c r="AE68" s="2">
        <v>1</v>
      </c>
      <c r="AF68" s="2" t="s">
        <v>30</v>
      </c>
      <c r="AG68" s="2">
        <v>83</v>
      </c>
      <c r="AH68" s="2">
        <v>2</v>
      </c>
      <c r="AI68" s="2">
        <v>52264322</v>
      </c>
      <c r="AJ68" s="2">
        <v>70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</row>
    <row r="69" spans="1:44" x14ac:dyDescent="0.25">
      <c r="A69" s="2">
        <f>ROW(Source!A227)</f>
        <v>227</v>
      </c>
      <c r="B69" s="2">
        <v>52264326</v>
      </c>
      <c r="C69" s="2">
        <v>52264324</v>
      </c>
      <c r="D69" s="2">
        <v>49679218</v>
      </c>
      <c r="E69" s="2">
        <v>1</v>
      </c>
      <c r="F69" s="2">
        <v>1</v>
      </c>
      <c r="G69" s="2">
        <v>29</v>
      </c>
      <c r="H69" s="2">
        <v>2</v>
      </c>
      <c r="I69" s="2" t="s">
        <v>87</v>
      </c>
      <c r="J69" s="2" t="s">
        <v>375</v>
      </c>
      <c r="K69" s="2" t="s">
        <v>88</v>
      </c>
      <c r="L69" s="2">
        <v>1368</v>
      </c>
      <c r="N69" s="2">
        <v>1011</v>
      </c>
      <c r="O69" s="2" t="s">
        <v>82</v>
      </c>
      <c r="P69" s="2" t="s">
        <v>82</v>
      </c>
      <c r="Q69" s="2">
        <v>1</v>
      </c>
      <c r="X69" s="2">
        <v>3.1E-2</v>
      </c>
      <c r="Y69" s="2">
        <v>0</v>
      </c>
      <c r="Z69" s="2">
        <v>1080.76</v>
      </c>
      <c r="AA69" s="2">
        <v>332.99</v>
      </c>
      <c r="AB69" s="2">
        <v>0</v>
      </c>
      <c r="AC69" s="2">
        <v>0</v>
      </c>
      <c r="AD69" s="2">
        <v>1</v>
      </c>
      <c r="AE69" s="2">
        <v>0</v>
      </c>
      <c r="AF69" s="2" t="s">
        <v>30</v>
      </c>
      <c r="AG69" s="2">
        <v>3.1E-2</v>
      </c>
      <c r="AH69" s="2">
        <v>2</v>
      </c>
      <c r="AI69" s="2">
        <v>52264325</v>
      </c>
      <c r="AJ69" s="2">
        <v>71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</row>
    <row r="70" spans="1:44" x14ac:dyDescent="0.25">
      <c r="A70" s="2">
        <f>ROW(Source!A228)</f>
        <v>228</v>
      </c>
      <c r="B70" s="2">
        <v>52264329</v>
      </c>
      <c r="C70" s="2">
        <v>52264327</v>
      </c>
      <c r="D70" s="2">
        <v>49679218</v>
      </c>
      <c r="E70" s="2">
        <v>1</v>
      </c>
      <c r="F70" s="2">
        <v>1</v>
      </c>
      <c r="G70" s="2">
        <v>29</v>
      </c>
      <c r="H70" s="2">
        <v>2</v>
      </c>
      <c r="I70" s="2" t="s">
        <v>87</v>
      </c>
      <c r="J70" s="2" t="s">
        <v>375</v>
      </c>
      <c r="K70" s="2" t="s">
        <v>88</v>
      </c>
      <c r="L70" s="2">
        <v>1368</v>
      </c>
      <c r="N70" s="2">
        <v>1011</v>
      </c>
      <c r="O70" s="2" t="s">
        <v>82</v>
      </c>
      <c r="P70" s="2" t="s">
        <v>82</v>
      </c>
      <c r="Q70" s="2">
        <v>1</v>
      </c>
      <c r="X70" s="2">
        <v>0.01</v>
      </c>
      <c r="Y70" s="2">
        <v>0</v>
      </c>
      <c r="Z70" s="2">
        <v>1080.76</v>
      </c>
      <c r="AA70" s="2">
        <v>332.99</v>
      </c>
      <c r="AB70" s="2">
        <v>0</v>
      </c>
      <c r="AC70" s="2">
        <v>0</v>
      </c>
      <c r="AD70" s="2">
        <v>1</v>
      </c>
      <c r="AE70" s="2">
        <v>0</v>
      </c>
      <c r="AF70" s="2" t="s">
        <v>207</v>
      </c>
      <c r="AG70" s="2">
        <v>0.52</v>
      </c>
      <c r="AH70" s="2">
        <v>2</v>
      </c>
      <c r="AI70" s="2">
        <v>52264328</v>
      </c>
      <c r="AJ70" s="2">
        <v>72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</row>
    <row r="71" spans="1:44" x14ac:dyDescent="0.25">
      <c r="A71" s="2">
        <f>ROW(Source!A229)</f>
        <v>229</v>
      </c>
      <c r="B71" s="2">
        <v>52264339</v>
      </c>
      <c r="C71" s="2">
        <v>52264330</v>
      </c>
      <c r="D71" s="2">
        <v>49677488</v>
      </c>
      <c r="E71" s="2">
        <v>29</v>
      </c>
      <c r="F71" s="2">
        <v>1</v>
      </c>
      <c r="G71" s="2">
        <v>29</v>
      </c>
      <c r="H71" s="2">
        <v>1</v>
      </c>
      <c r="I71" s="2" t="s">
        <v>359</v>
      </c>
      <c r="J71" s="2" t="s">
        <v>30</v>
      </c>
      <c r="K71" s="2" t="s">
        <v>360</v>
      </c>
      <c r="L71" s="2">
        <v>1191</v>
      </c>
      <c r="N71" s="2">
        <v>1013</v>
      </c>
      <c r="O71" s="2" t="s">
        <v>361</v>
      </c>
      <c r="P71" s="2" t="s">
        <v>361</v>
      </c>
      <c r="Q71" s="2">
        <v>1</v>
      </c>
      <c r="X71" s="2">
        <v>16.559999999999999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1</v>
      </c>
      <c r="AE71" s="2">
        <v>1</v>
      </c>
      <c r="AF71" s="2" t="s">
        <v>30</v>
      </c>
      <c r="AG71" s="2">
        <v>16.559999999999999</v>
      </c>
      <c r="AH71" s="2">
        <v>2</v>
      </c>
      <c r="AI71" s="2">
        <v>52264331</v>
      </c>
      <c r="AJ71" s="2">
        <v>73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</row>
    <row r="72" spans="1:44" x14ac:dyDescent="0.25">
      <c r="A72" s="2">
        <f>ROW(Source!A229)</f>
        <v>229</v>
      </c>
      <c r="B72" s="2">
        <v>52264340</v>
      </c>
      <c r="C72" s="2">
        <v>52264330</v>
      </c>
      <c r="D72" s="2">
        <v>49678449</v>
      </c>
      <c r="E72" s="2">
        <v>1</v>
      </c>
      <c r="F72" s="2">
        <v>1</v>
      </c>
      <c r="G72" s="2">
        <v>29</v>
      </c>
      <c r="H72" s="2">
        <v>2</v>
      </c>
      <c r="I72" s="2" t="s">
        <v>89</v>
      </c>
      <c r="J72" s="2" t="s">
        <v>369</v>
      </c>
      <c r="K72" s="2" t="s">
        <v>90</v>
      </c>
      <c r="L72" s="2">
        <v>1368</v>
      </c>
      <c r="N72" s="2">
        <v>1011</v>
      </c>
      <c r="O72" s="2" t="s">
        <v>82</v>
      </c>
      <c r="P72" s="2" t="s">
        <v>82</v>
      </c>
      <c r="Q72" s="2">
        <v>1</v>
      </c>
      <c r="X72" s="2">
        <v>2.08</v>
      </c>
      <c r="Y72" s="2">
        <v>0</v>
      </c>
      <c r="Z72" s="2">
        <v>780.77</v>
      </c>
      <c r="AA72" s="2">
        <v>433.88</v>
      </c>
      <c r="AB72" s="2">
        <v>0</v>
      </c>
      <c r="AC72" s="2">
        <v>0</v>
      </c>
      <c r="AD72" s="2">
        <v>1</v>
      </c>
      <c r="AE72" s="2">
        <v>0</v>
      </c>
      <c r="AF72" s="2" t="s">
        <v>30</v>
      </c>
      <c r="AG72" s="2">
        <v>2.08</v>
      </c>
      <c r="AH72" s="2">
        <v>2</v>
      </c>
      <c r="AI72" s="2">
        <v>52264332</v>
      </c>
      <c r="AJ72" s="2">
        <v>74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</row>
    <row r="73" spans="1:44" x14ac:dyDescent="0.25">
      <c r="A73" s="2">
        <f>ROW(Source!A229)</f>
        <v>229</v>
      </c>
      <c r="B73" s="2">
        <v>52264341</v>
      </c>
      <c r="C73" s="2">
        <v>52264330</v>
      </c>
      <c r="D73" s="2">
        <v>49678606</v>
      </c>
      <c r="E73" s="2">
        <v>1</v>
      </c>
      <c r="F73" s="2">
        <v>1</v>
      </c>
      <c r="G73" s="2">
        <v>29</v>
      </c>
      <c r="H73" s="2">
        <v>2</v>
      </c>
      <c r="I73" s="2" t="s">
        <v>150</v>
      </c>
      <c r="J73" s="2" t="s">
        <v>390</v>
      </c>
      <c r="K73" s="2" t="s">
        <v>151</v>
      </c>
      <c r="L73" s="2">
        <v>1368</v>
      </c>
      <c r="N73" s="2">
        <v>1011</v>
      </c>
      <c r="O73" s="2" t="s">
        <v>82</v>
      </c>
      <c r="P73" s="2" t="s">
        <v>82</v>
      </c>
      <c r="Q73" s="2">
        <v>1</v>
      </c>
      <c r="X73" s="2">
        <v>2.08</v>
      </c>
      <c r="Y73" s="2">
        <v>0</v>
      </c>
      <c r="Z73" s="2">
        <v>445.81</v>
      </c>
      <c r="AA73" s="2">
        <v>226.08</v>
      </c>
      <c r="AB73" s="2">
        <v>0</v>
      </c>
      <c r="AC73" s="2">
        <v>0</v>
      </c>
      <c r="AD73" s="2">
        <v>1</v>
      </c>
      <c r="AE73" s="2">
        <v>0</v>
      </c>
      <c r="AF73" s="2" t="s">
        <v>30</v>
      </c>
      <c r="AG73" s="2">
        <v>2.08</v>
      </c>
      <c r="AH73" s="2">
        <v>2</v>
      </c>
      <c r="AI73" s="2">
        <v>52264333</v>
      </c>
      <c r="AJ73" s="2">
        <v>75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</row>
    <row r="74" spans="1:44" x14ac:dyDescent="0.25">
      <c r="A74" s="2">
        <f>ROW(Source!A229)</f>
        <v>229</v>
      </c>
      <c r="B74" s="2">
        <v>52264342</v>
      </c>
      <c r="C74" s="2">
        <v>52264330</v>
      </c>
      <c r="D74" s="2">
        <v>49678609</v>
      </c>
      <c r="E74" s="2">
        <v>1</v>
      </c>
      <c r="F74" s="2">
        <v>1</v>
      </c>
      <c r="G74" s="2">
        <v>29</v>
      </c>
      <c r="H74" s="2">
        <v>2</v>
      </c>
      <c r="I74" s="2" t="s">
        <v>152</v>
      </c>
      <c r="J74" s="2" t="s">
        <v>391</v>
      </c>
      <c r="K74" s="2" t="s">
        <v>153</v>
      </c>
      <c r="L74" s="2">
        <v>1368</v>
      </c>
      <c r="N74" s="2">
        <v>1011</v>
      </c>
      <c r="O74" s="2" t="s">
        <v>82</v>
      </c>
      <c r="P74" s="2" t="s">
        <v>82</v>
      </c>
      <c r="Q74" s="2">
        <v>1</v>
      </c>
      <c r="X74" s="2">
        <v>0.81</v>
      </c>
      <c r="Y74" s="2">
        <v>0</v>
      </c>
      <c r="Z74" s="2">
        <v>2043.52</v>
      </c>
      <c r="AA74" s="2">
        <v>481.49</v>
      </c>
      <c r="AB74" s="2">
        <v>0</v>
      </c>
      <c r="AC74" s="2">
        <v>0</v>
      </c>
      <c r="AD74" s="2">
        <v>1</v>
      </c>
      <c r="AE74" s="2">
        <v>0</v>
      </c>
      <c r="AF74" s="2" t="s">
        <v>30</v>
      </c>
      <c r="AG74" s="2">
        <v>0.81</v>
      </c>
      <c r="AH74" s="2">
        <v>2</v>
      </c>
      <c r="AI74" s="2">
        <v>52264334</v>
      </c>
      <c r="AJ74" s="2">
        <v>76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</row>
    <row r="75" spans="1:44" x14ac:dyDescent="0.25">
      <c r="A75" s="2">
        <f>ROW(Source!A229)</f>
        <v>229</v>
      </c>
      <c r="B75" s="2">
        <v>52264343</v>
      </c>
      <c r="C75" s="2">
        <v>52264330</v>
      </c>
      <c r="D75" s="2">
        <v>49678633</v>
      </c>
      <c r="E75" s="2">
        <v>1</v>
      </c>
      <c r="F75" s="2">
        <v>1</v>
      </c>
      <c r="G75" s="2">
        <v>29</v>
      </c>
      <c r="H75" s="2">
        <v>2</v>
      </c>
      <c r="I75" s="2" t="s">
        <v>154</v>
      </c>
      <c r="J75" s="2" t="s">
        <v>392</v>
      </c>
      <c r="K75" s="2" t="s">
        <v>155</v>
      </c>
      <c r="L75" s="2">
        <v>1368</v>
      </c>
      <c r="N75" s="2">
        <v>1011</v>
      </c>
      <c r="O75" s="2" t="s">
        <v>82</v>
      </c>
      <c r="P75" s="2" t="s">
        <v>82</v>
      </c>
      <c r="Q75" s="2">
        <v>1</v>
      </c>
      <c r="X75" s="2">
        <v>1.94</v>
      </c>
      <c r="Y75" s="2">
        <v>0</v>
      </c>
      <c r="Z75" s="2">
        <v>1478.7</v>
      </c>
      <c r="AA75" s="2">
        <v>673.39</v>
      </c>
      <c r="AB75" s="2">
        <v>0</v>
      </c>
      <c r="AC75" s="2">
        <v>0</v>
      </c>
      <c r="AD75" s="2">
        <v>1</v>
      </c>
      <c r="AE75" s="2">
        <v>0</v>
      </c>
      <c r="AF75" s="2" t="s">
        <v>30</v>
      </c>
      <c r="AG75" s="2">
        <v>1.94</v>
      </c>
      <c r="AH75" s="2">
        <v>2</v>
      </c>
      <c r="AI75" s="2">
        <v>52264335</v>
      </c>
      <c r="AJ75" s="2">
        <v>77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</row>
    <row r="76" spans="1:44" x14ac:dyDescent="0.25">
      <c r="A76" s="2">
        <f>ROW(Source!A229)</f>
        <v>229</v>
      </c>
      <c r="B76" s="2">
        <v>52264344</v>
      </c>
      <c r="C76" s="2">
        <v>52264330</v>
      </c>
      <c r="D76" s="2">
        <v>49678599</v>
      </c>
      <c r="E76" s="2">
        <v>1</v>
      </c>
      <c r="F76" s="2">
        <v>1</v>
      </c>
      <c r="G76" s="2">
        <v>29</v>
      </c>
      <c r="H76" s="2">
        <v>2</v>
      </c>
      <c r="I76" s="2" t="s">
        <v>156</v>
      </c>
      <c r="J76" s="2" t="s">
        <v>393</v>
      </c>
      <c r="K76" s="2" t="s">
        <v>157</v>
      </c>
      <c r="L76" s="2">
        <v>1368</v>
      </c>
      <c r="N76" s="2">
        <v>1011</v>
      </c>
      <c r="O76" s="2" t="s">
        <v>82</v>
      </c>
      <c r="P76" s="2" t="s">
        <v>82</v>
      </c>
      <c r="Q76" s="2">
        <v>1</v>
      </c>
      <c r="X76" s="2">
        <v>0.65</v>
      </c>
      <c r="Y76" s="2">
        <v>0</v>
      </c>
      <c r="Z76" s="2">
        <v>1268.04</v>
      </c>
      <c r="AA76" s="2">
        <v>484.68</v>
      </c>
      <c r="AB76" s="2">
        <v>0</v>
      </c>
      <c r="AC76" s="2">
        <v>0</v>
      </c>
      <c r="AD76" s="2">
        <v>1</v>
      </c>
      <c r="AE76" s="2">
        <v>0</v>
      </c>
      <c r="AF76" s="2" t="s">
        <v>30</v>
      </c>
      <c r="AG76" s="2">
        <v>0.65</v>
      </c>
      <c r="AH76" s="2">
        <v>2</v>
      </c>
      <c r="AI76" s="2">
        <v>52264336</v>
      </c>
      <c r="AJ76" s="2">
        <v>78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</row>
    <row r="77" spans="1:44" x14ac:dyDescent="0.25">
      <c r="A77" s="2">
        <f>ROW(Source!A229)</f>
        <v>229</v>
      </c>
      <c r="B77" s="2">
        <v>52264345</v>
      </c>
      <c r="C77" s="2">
        <v>52264330</v>
      </c>
      <c r="D77" s="2">
        <v>49680593</v>
      </c>
      <c r="E77" s="2">
        <v>1</v>
      </c>
      <c r="F77" s="2">
        <v>1</v>
      </c>
      <c r="G77" s="2">
        <v>29</v>
      </c>
      <c r="H77" s="2">
        <v>3</v>
      </c>
      <c r="I77" s="2" t="s">
        <v>158</v>
      </c>
      <c r="J77" s="2" t="s">
        <v>394</v>
      </c>
      <c r="K77" s="2" t="s">
        <v>159</v>
      </c>
      <c r="L77" s="2">
        <v>1339</v>
      </c>
      <c r="N77" s="2">
        <v>1007</v>
      </c>
      <c r="O77" s="2" t="s">
        <v>62</v>
      </c>
      <c r="P77" s="2" t="s">
        <v>62</v>
      </c>
      <c r="Q77" s="2">
        <v>1</v>
      </c>
      <c r="X77" s="2">
        <v>110</v>
      </c>
      <c r="Y77" s="2">
        <v>510.02</v>
      </c>
      <c r="Z77" s="2">
        <v>0</v>
      </c>
      <c r="AA77" s="2">
        <v>0</v>
      </c>
      <c r="AB77" s="2">
        <v>0</v>
      </c>
      <c r="AC77" s="2">
        <v>0</v>
      </c>
      <c r="AD77" s="2">
        <v>1</v>
      </c>
      <c r="AE77" s="2">
        <v>0</v>
      </c>
      <c r="AF77" s="2" t="s">
        <v>30</v>
      </c>
      <c r="AG77" s="2">
        <v>110</v>
      </c>
      <c r="AH77" s="2">
        <v>2</v>
      </c>
      <c r="AI77" s="2">
        <v>52264337</v>
      </c>
      <c r="AJ77" s="2">
        <v>79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</row>
    <row r="78" spans="1:44" x14ac:dyDescent="0.25">
      <c r="A78" s="2">
        <f>ROW(Source!A229)</f>
        <v>229</v>
      </c>
      <c r="B78" s="2">
        <v>52264346</v>
      </c>
      <c r="C78" s="2">
        <v>52264330</v>
      </c>
      <c r="D78" s="2">
        <v>49681352</v>
      </c>
      <c r="E78" s="2">
        <v>1</v>
      </c>
      <c r="F78" s="2">
        <v>1</v>
      </c>
      <c r="G78" s="2">
        <v>29</v>
      </c>
      <c r="H78" s="2">
        <v>3</v>
      </c>
      <c r="I78" s="2" t="s">
        <v>111</v>
      </c>
      <c r="J78" s="2" t="s">
        <v>367</v>
      </c>
      <c r="K78" s="2" t="s">
        <v>112</v>
      </c>
      <c r="L78" s="2">
        <v>1339</v>
      </c>
      <c r="N78" s="2">
        <v>1007</v>
      </c>
      <c r="O78" s="2" t="s">
        <v>62</v>
      </c>
      <c r="P78" s="2" t="s">
        <v>62</v>
      </c>
      <c r="Q78" s="2">
        <v>1</v>
      </c>
      <c r="X78" s="2">
        <v>5</v>
      </c>
      <c r="Y78" s="2">
        <v>36.31</v>
      </c>
      <c r="Z78" s="2">
        <v>0</v>
      </c>
      <c r="AA78" s="2">
        <v>0</v>
      </c>
      <c r="AB78" s="2">
        <v>0</v>
      </c>
      <c r="AC78" s="2">
        <v>0</v>
      </c>
      <c r="AD78" s="2">
        <v>1</v>
      </c>
      <c r="AE78" s="2">
        <v>0</v>
      </c>
      <c r="AF78" s="2" t="s">
        <v>30</v>
      </c>
      <c r="AG78" s="2">
        <v>5</v>
      </c>
      <c r="AH78" s="2">
        <v>2</v>
      </c>
      <c r="AI78" s="2">
        <v>52264338</v>
      </c>
      <c r="AJ78" s="2">
        <v>80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</row>
    <row r="79" spans="1:44" x14ac:dyDescent="0.25">
      <c r="A79" s="2">
        <f>ROW(Source!A230)</f>
        <v>230</v>
      </c>
      <c r="B79" s="2">
        <v>52264358</v>
      </c>
      <c r="C79" s="2">
        <v>52264347</v>
      </c>
      <c r="D79" s="2">
        <v>49677488</v>
      </c>
      <c r="E79" s="2">
        <v>29</v>
      </c>
      <c r="F79" s="2">
        <v>1</v>
      </c>
      <c r="G79" s="2">
        <v>29</v>
      </c>
      <c r="H79" s="2">
        <v>1</v>
      </c>
      <c r="I79" s="2" t="s">
        <v>359</v>
      </c>
      <c r="J79" s="2" t="s">
        <v>30</v>
      </c>
      <c r="K79" s="2" t="s">
        <v>360</v>
      </c>
      <c r="L79" s="2">
        <v>1191</v>
      </c>
      <c r="N79" s="2">
        <v>1013</v>
      </c>
      <c r="O79" s="2" t="s">
        <v>361</v>
      </c>
      <c r="P79" s="2" t="s">
        <v>361</v>
      </c>
      <c r="Q79" s="2">
        <v>1</v>
      </c>
      <c r="X79" s="2">
        <v>24.84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1</v>
      </c>
      <c r="AE79" s="2">
        <v>1</v>
      </c>
      <c r="AF79" s="2" t="s">
        <v>30</v>
      </c>
      <c r="AG79" s="2">
        <v>24.84</v>
      </c>
      <c r="AH79" s="2">
        <v>2</v>
      </c>
      <c r="AI79" s="2">
        <v>52264348</v>
      </c>
      <c r="AJ79" s="2">
        <v>81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</row>
    <row r="80" spans="1:44" x14ac:dyDescent="0.25">
      <c r="A80" s="2">
        <f>ROW(Source!A230)</f>
        <v>230</v>
      </c>
      <c r="B80" s="2">
        <v>52264359</v>
      </c>
      <c r="C80" s="2">
        <v>52264347</v>
      </c>
      <c r="D80" s="2">
        <v>49678426</v>
      </c>
      <c r="E80" s="2">
        <v>1</v>
      </c>
      <c r="F80" s="2">
        <v>1</v>
      </c>
      <c r="G80" s="2">
        <v>29</v>
      </c>
      <c r="H80" s="2">
        <v>2</v>
      </c>
      <c r="I80" s="2" t="s">
        <v>146</v>
      </c>
      <c r="J80" s="2" t="s">
        <v>395</v>
      </c>
      <c r="K80" s="2" t="s">
        <v>147</v>
      </c>
      <c r="L80" s="2">
        <v>1368</v>
      </c>
      <c r="N80" s="2">
        <v>1011</v>
      </c>
      <c r="O80" s="2" t="s">
        <v>82</v>
      </c>
      <c r="P80" s="2" t="s">
        <v>82</v>
      </c>
      <c r="Q80" s="2">
        <v>1</v>
      </c>
      <c r="X80" s="2">
        <v>2.94</v>
      </c>
      <c r="Y80" s="2">
        <v>0</v>
      </c>
      <c r="Z80" s="2">
        <v>1012.69</v>
      </c>
      <c r="AA80" s="2">
        <v>377.41</v>
      </c>
      <c r="AB80" s="2">
        <v>0</v>
      </c>
      <c r="AC80" s="2">
        <v>0</v>
      </c>
      <c r="AD80" s="2">
        <v>1</v>
      </c>
      <c r="AE80" s="2">
        <v>0</v>
      </c>
      <c r="AF80" s="2" t="s">
        <v>30</v>
      </c>
      <c r="AG80" s="2">
        <v>2.94</v>
      </c>
      <c r="AH80" s="2">
        <v>2</v>
      </c>
      <c r="AI80" s="2">
        <v>52264349</v>
      </c>
      <c r="AJ80" s="2">
        <v>82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</row>
    <row r="81" spans="1:44" x14ac:dyDescent="0.25">
      <c r="A81" s="2">
        <f>ROW(Source!A230)</f>
        <v>230</v>
      </c>
      <c r="B81" s="2">
        <v>52264360</v>
      </c>
      <c r="C81" s="2">
        <v>52264347</v>
      </c>
      <c r="D81" s="2">
        <v>49678609</v>
      </c>
      <c r="E81" s="2">
        <v>1</v>
      </c>
      <c r="F81" s="2">
        <v>1</v>
      </c>
      <c r="G81" s="2">
        <v>29</v>
      </c>
      <c r="H81" s="2">
        <v>2</v>
      </c>
      <c r="I81" s="2" t="s">
        <v>152</v>
      </c>
      <c r="J81" s="2" t="s">
        <v>391</v>
      </c>
      <c r="K81" s="2" t="s">
        <v>153</v>
      </c>
      <c r="L81" s="2">
        <v>1368</v>
      </c>
      <c r="N81" s="2">
        <v>1011</v>
      </c>
      <c r="O81" s="2" t="s">
        <v>82</v>
      </c>
      <c r="P81" s="2" t="s">
        <v>82</v>
      </c>
      <c r="Q81" s="2">
        <v>1</v>
      </c>
      <c r="X81" s="2">
        <v>1.1399999999999999</v>
      </c>
      <c r="Y81" s="2">
        <v>0</v>
      </c>
      <c r="Z81" s="2">
        <v>2043.52</v>
      </c>
      <c r="AA81" s="2">
        <v>481.49</v>
      </c>
      <c r="AB81" s="2">
        <v>0</v>
      </c>
      <c r="AC81" s="2">
        <v>0</v>
      </c>
      <c r="AD81" s="2">
        <v>1</v>
      </c>
      <c r="AE81" s="2">
        <v>0</v>
      </c>
      <c r="AF81" s="2" t="s">
        <v>30</v>
      </c>
      <c r="AG81" s="2">
        <v>1.1399999999999999</v>
      </c>
      <c r="AH81" s="2">
        <v>2</v>
      </c>
      <c r="AI81" s="2">
        <v>52264350</v>
      </c>
      <c r="AJ81" s="2">
        <v>83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</row>
    <row r="82" spans="1:44" x14ac:dyDescent="0.25">
      <c r="A82" s="2">
        <f>ROW(Source!A230)</f>
        <v>230</v>
      </c>
      <c r="B82" s="2">
        <v>52264361</v>
      </c>
      <c r="C82" s="2">
        <v>52264347</v>
      </c>
      <c r="D82" s="2">
        <v>49678594</v>
      </c>
      <c r="E82" s="2">
        <v>1</v>
      </c>
      <c r="F82" s="2">
        <v>1</v>
      </c>
      <c r="G82" s="2">
        <v>29</v>
      </c>
      <c r="H82" s="2">
        <v>2</v>
      </c>
      <c r="I82" s="2" t="s">
        <v>97</v>
      </c>
      <c r="J82" s="2" t="s">
        <v>371</v>
      </c>
      <c r="K82" s="2" t="s">
        <v>98</v>
      </c>
      <c r="L82" s="2">
        <v>1368</v>
      </c>
      <c r="N82" s="2">
        <v>1011</v>
      </c>
      <c r="O82" s="2" t="s">
        <v>82</v>
      </c>
      <c r="P82" s="2" t="s">
        <v>82</v>
      </c>
      <c r="Q82" s="2">
        <v>1</v>
      </c>
      <c r="X82" s="2">
        <v>8.9600000000000009</v>
      </c>
      <c r="Y82" s="2">
        <v>0</v>
      </c>
      <c r="Z82" s="2">
        <v>1364.68</v>
      </c>
      <c r="AA82" s="2">
        <v>556.52</v>
      </c>
      <c r="AB82" s="2">
        <v>0</v>
      </c>
      <c r="AC82" s="2">
        <v>0</v>
      </c>
      <c r="AD82" s="2">
        <v>1</v>
      </c>
      <c r="AE82" s="2">
        <v>0</v>
      </c>
      <c r="AF82" s="2" t="s">
        <v>30</v>
      </c>
      <c r="AG82" s="2">
        <v>8.9600000000000009</v>
      </c>
      <c r="AH82" s="2">
        <v>2</v>
      </c>
      <c r="AI82" s="2">
        <v>52264351</v>
      </c>
      <c r="AJ82" s="2">
        <v>84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</row>
    <row r="83" spans="1:44" x14ac:dyDescent="0.25">
      <c r="A83" s="2">
        <f>ROW(Source!A230)</f>
        <v>230</v>
      </c>
      <c r="B83" s="2">
        <v>52264362</v>
      </c>
      <c r="C83" s="2">
        <v>52264347</v>
      </c>
      <c r="D83" s="2">
        <v>49678595</v>
      </c>
      <c r="E83" s="2">
        <v>1</v>
      </c>
      <c r="F83" s="2">
        <v>1</v>
      </c>
      <c r="G83" s="2">
        <v>29</v>
      </c>
      <c r="H83" s="2">
        <v>2</v>
      </c>
      <c r="I83" s="2" t="s">
        <v>99</v>
      </c>
      <c r="J83" s="2" t="s">
        <v>372</v>
      </c>
      <c r="K83" s="2" t="s">
        <v>100</v>
      </c>
      <c r="L83" s="2">
        <v>1368</v>
      </c>
      <c r="N83" s="2">
        <v>1011</v>
      </c>
      <c r="O83" s="2" t="s">
        <v>82</v>
      </c>
      <c r="P83" s="2" t="s">
        <v>82</v>
      </c>
      <c r="Q83" s="2">
        <v>1</v>
      </c>
      <c r="X83" s="2">
        <v>18.25</v>
      </c>
      <c r="Y83" s="2">
        <v>0</v>
      </c>
      <c r="Z83" s="2">
        <v>1888.15</v>
      </c>
      <c r="AA83" s="2">
        <v>756.58</v>
      </c>
      <c r="AB83" s="2">
        <v>0</v>
      </c>
      <c r="AC83" s="2">
        <v>0</v>
      </c>
      <c r="AD83" s="2">
        <v>1</v>
      </c>
      <c r="AE83" s="2">
        <v>0</v>
      </c>
      <c r="AF83" s="2" t="s">
        <v>30</v>
      </c>
      <c r="AG83" s="2">
        <v>18.25</v>
      </c>
      <c r="AH83" s="2">
        <v>2</v>
      </c>
      <c r="AI83" s="2">
        <v>52264352</v>
      </c>
      <c r="AJ83" s="2">
        <v>85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</row>
    <row r="84" spans="1:44" x14ac:dyDescent="0.25">
      <c r="A84" s="2">
        <f>ROW(Source!A230)</f>
        <v>230</v>
      </c>
      <c r="B84" s="2">
        <v>52264363</v>
      </c>
      <c r="C84" s="2">
        <v>52264347</v>
      </c>
      <c r="D84" s="2">
        <v>49678633</v>
      </c>
      <c r="E84" s="2">
        <v>1</v>
      </c>
      <c r="F84" s="2">
        <v>1</v>
      </c>
      <c r="G84" s="2">
        <v>29</v>
      </c>
      <c r="H84" s="2">
        <v>2</v>
      </c>
      <c r="I84" s="2" t="s">
        <v>154</v>
      </c>
      <c r="J84" s="2" t="s">
        <v>392</v>
      </c>
      <c r="K84" s="2" t="s">
        <v>155</v>
      </c>
      <c r="L84" s="2">
        <v>1368</v>
      </c>
      <c r="N84" s="2">
        <v>1011</v>
      </c>
      <c r="O84" s="2" t="s">
        <v>82</v>
      </c>
      <c r="P84" s="2" t="s">
        <v>82</v>
      </c>
      <c r="Q84" s="2">
        <v>1</v>
      </c>
      <c r="X84" s="2">
        <v>2.2400000000000002</v>
      </c>
      <c r="Y84" s="2">
        <v>0</v>
      </c>
      <c r="Z84" s="2">
        <v>1478.7</v>
      </c>
      <c r="AA84" s="2">
        <v>673.39</v>
      </c>
      <c r="AB84" s="2">
        <v>0</v>
      </c>
      <c r="AC84" s="2">
        <v>0</v>
      </c>
      <c r="AD84" s="2">
        <v>1</v>
      </c>
      <c r="AE84" s="2">
        <v>0</v>
      </c>
      <c r="AF84" s="2" t="s">
        <v>30</v>
      </c>
      <c r="AG84" s="2">
        <v>2.2400000000000002</v>
      </c>
      <c r="AH84" s="2">
        <v>2</v>
      </c>
      <c r="AI84" s="2">
        <v>52264353</v>
      </c>
      <c r="AJ84" s="2">
        <v>86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</row>
    <row r="85" spans="1:44" x14ac:dyDescent="0.25">
      <c r="A85" s="2">
        <f>ROW(Source!A230)</f>
        <v>230</v>
      </c>
      <c r="B85" s="2">
        <v>52264364</v>
      </c>
      <c r="C85" s="2">
        <v>52264347</v>
      </c>
      <c r="D85" s="2">
        <v>49678599</v>
      </c>
      <c r="E85" s="2">
        <v>1</v>
      </c>
      <c r="F85" s="2">
        <v>1</v>
      </c>
      <c r="G85" s="2">
        <v>29</v>
      </c>
      <c r="H85" s="2">
        <v>2</v>
      </c>
      <c r="I85" s="2" t="s">
        <v>156</v>
      </c>
      <c r="J85" s="2" t="s">
        <v>393</v>
      </c>
      <c r="K85" s="2" t="s">
        <v>157</v>
      </c>
      <c r="L85" s="2">
        <v>1368</v>
      </c>
      <c r="N85" s="2">
        <v>1011</v>
      </c>
      <c r="O85" s="2" t="s">
        <v>82</v>
      </c>
      <c r="P85" s="2" t="s">
        <v>82</v>
      </c>
      <c r="Q85" s="2">
        <v>1</v>
      </c>
      <c r="X85" s="2">
        <v>0.65</v>
      </c>
      <c r="Y85" s="2">
        <v>0</v>
      </c>
      <c r="Z85" s="2">
        <v>1268.04</v>
      </c>
      <c r="AA85" s="2">
        <v>484.68</v>
      </c>
      <c r="AB85" s="2">
        <v>0</v>
      </c>
      <c r="AC85" s="2">
        <v>0</v>
      </c>
      <c r="AD85" s="2">
        <v>1</v>
      </c>
      <c r="AE85" s="2">
        <v>0</v>
      </c>
      <c r="AF85" s="2" t="s">
        <v>30</v>
      </c>
      <c r="AG85" s="2">
        <v>0.65</v>
      </c>
      <c r="AH85" s="2">
        <v>2</v>
      </c>
      <c r="AI85" s="2">
        <v>52264354</v>
      </c>
      <c r="AJ85" s="2">
        <v>87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</row>
    <row r="86" spans="1:44" x14ac:dyDescent="0.25">
      <c r="A86" s="2">
        <f>ROW(Source!A230)</f>
        <v>230</v>
      </c>
      <c r="B86" s="2">
        <v>52264365</v>
      </c>
      <c r="C86" s="2">
        <v>52264347</v>
      </c>
      <c r="D86" s="2">
        <v>49680619</v>
      </c>
      <c r="E86" s="2">
        <v>1</v>
      </c>
      <c r="F86" s="2">
        <v>1</v>
      </c>
      <c r="G86" s="2">
        <v>29</v>
      </c>
      <c r="H86" s="2">
        <v>3</v>
      </c>
      <c r="I86" s="2" t="s">
        <v>194</v>
      </c>
      <c r="J86" s="2" t="s">
        <v>196</v>
      </c>
      <c r="K86" s="2" t="s">
        <v>195</v>
      </c>
      <c r="L86" s="2">
        <v>1339</v>
      </c>
      <c r="N86" s="2">
        <v>1007</v>
      </c>
      <c r="O86" s="2" t="s">
        <v>62</v>
      </c>
      <c r="P86" s="2" t="s">
        <v>62</v>
      </c>
      <c r="Q86" s="2">
        <v>1</v>
      </c>
      <c r="X86" s="2">
        <v>126</v>
      </c>
      <c r="Y86" s="2">
        <v>1542.75</v>
      </c>
      <c r="Z86" s="2">
        <v>0</v>
      </c>
      <c r="AA86" s="2">
        <v>0</v>
      </c>
      <c r="AB86" s="2">
        <v>0</v>
      </c>
      <c r="AC86" s="2">
        <v>0</v>
      </c>
      <c r="AD86" s="2">
        <v>1</v>
      </c>
      <c r="AE86" s="2">
        <v>0</v>
      </c>
      <c r="AF86" s="2" t="s">
        <v>30</v>
      </c>
      <c r="AG86" s="2">
        <v>126</v>
      </c>
      <c r="AH86" s="2">
        <v>2</v>
      </c>
      <c r="AI86" s="2">
        <v>52264356</v>
      </c>
      <c r="AJ86" s="2">
        <v>89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</row>
    <row r="87" spans="1:44" x14ac:dyDescent="0.25">
      <c r="A87" s="2">
        <f>ROW(Source!A230)</f>
        <v>230</v>
      </c>
      <c r="B87" s="2">
        <v>52264366</v>
      </c>
      <c r="C87" s="2">
        <v>52264347</v>
      </c>
      <c r="D87" s="2">
        <v>49681352</v>
      </c>
      <c r="E87" s="2">
        <v>1</v>
      </c>
      <c r="F87" s="2">
        <v>1</v>
      </c>
      <c r="G87" s="2">
        <v>29</v>
      </c>
      <c r="H87" s="2">
        <v>3</v>
      </c>
      <c r="I87" s="2" t="s">
        <v>111</v>
      </c>
      <c r="J87" s="2" t="s">
        <v>367</v>
      </c>
      <c r="K87" s="2" t="s">
        <v>112</v>
      </c>
      <c r="L87" s="2">
        <v>1339</v>
      </c>
      <c r="N87" s="2">
        <v>1007</v>
      </c>
      <c r="O87" s="2" t="s">
        <v>62</v>
      </c>
      <c r="P87" s="2" t="s">
        <v>62</v>
      </c>
      <c r="Q87" s="2">
        <v>1</v>
      </c>
      <c r="X87" s="2">
        <v>7</v>
      </c>
      <c r="Y87" s="2">
        <v>36.31</v>
      </c>
      <c r="Z87" s="2">
        <v>0</v>
      </c>
      <c r="AA87" s="2">
        <v>0</v>
      </c>
      <c r="AB87" s="2">
        <v>0</v>
      </c>
      <c r="AC87" s="2">
        <v>0</v>
      </c>
      <c r="AD87" s="2">
        <v>1</v>
      </c>
      <c r="AE87" s="2">
        <v>0</v>
      </c>
      <c r="AF87" s="2" t="s">
        <v>30</v>
      </c>
      <c r="AG87" s="2">
        <v>7</v>
      </c>
      <c r="AH87" s="2">
        <v>2</v>
      </c>
      <c r="AI87" s="2">
        <v>52264357</v>
      </c>
      <c r="AJ87" s="2">
        <v>90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</row>
    <row r="88" spans="1:44" x14ac:dyDescent="0.25">
      <c r="A88" s="2">
        <f>ROW(Source!A233)</f>
        <v>233</v>
      </c>
      <c r="B88" s="2">
        <v>52264375</v>
      </c>
      <c r="C88" s="2">
        <v>52264369</v>
      </c>
      <c r="D88" s="2">
        <v>49677488</v>
      </c>
      <c r="E88" s="2">
        <v>29</v>
      </c>
      <c r="F88" s="2">
        <v>1</v>
      </c>
      <c r="G88" s="2">
        <v>29</v>
      </c>
      <c r="H88" s="2">
        <v>1</v>
      </c>
      <c r="I88" s="2" t="s">
        <v>359</v>
      </c>
      <c r="J88" s="2" t="s">
        <v>30</v>
      </c>
      <c r="K88" s="2" t="s">
        <v>360</v>
      </c>
      <c r="L88" s="2">
        <v>1191</v>
      </c>
      <c r="N88" s="2">
        <v>1013</v>
      </c>
      <c r="O88" s="2" t="s">
        <v>361</v>
      </c>
      <c r="P88" s="2" t="s">
        <v>361</v>
      </c>
      <c r="Q88" s="2">
        <v>1</v>
      </c>
      <c r="X88" s="2">
        <v>10.3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</v>
      </c>
      <c r="AE88" s="2">
        <v>1</v>
      </c>
      <c r="AF88" s="2" t="s">
        <v>30</v>
      </c>
      <c r="AG88" s="2">
        <v>10.3</v>
      </c>
      <c r="AH88" s="2">
        <v>2</v>
      </c>
      <c r="AI88" s="2">
        <v>52264370</v>
      </c>
      <c r="AJ88" s="2">
        <v>91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</row>
    <row r="89" spans="1:44" x14ac:dyDescent="0.25">
      <c r="A89" s="2">
        <f>ROW(Source!A233)</f>
        <v>233</v>
      </c>
      <c r="B89" s="2">
        <v>52264376</v>
      </c>
      <c r="C89" s="2">
        <v>52264369</v>
      </c>
      <c r="D89" s="2">
        <v>49678594</v>
      </c>
      <c r="E89" s="2">
        <v>1</v>
      </c>
      <c r="F89" s="2">
        <v>1</v>
      </c>
      <c r="G89" s="2">
        <v>29</v>
      </c>
      <c r="H89" s="2">
        <v>2</v>
      </c>
      <c r="I89" s="2" t="s">
        <v>97</v>
      </c>
      <c r="J89" s="2" t="s">
        <v>371</v>
      </c>
      <c r="K89" s="2" t="s">
        <v>98</v>
      </c>
      <c r="L89" s="2">
        <v>1368</v>
      </c>
      <c r="N89" s="2">
        <v>1011</v>
      </c>
      <c r="O89" s="2" t="s">
        <v>82</v>
      </c>
      <c r="P89" s="2" t="s">
        <v>82</v>
      </c>
      <c r="Q89" s="2">
        <v>1</v>
      </c>
      <c r="X89" s="2">
        <v>0.89</v>
      </c>
      <c r="Y89" s="2">
        <v>0</v>
      </c>
      <c r="Z89" s="2">
        <v>1364.68</v>
      </c>
      <c r="AA89" s="2">
        <v>556.52</v>
      </c>
      <c r="AB89" s="2">
        <v>0</v>
      </c>
      <c r="AC89" s="2">
        <v>0</v>
      </c>
      <c r="AD89" s="2">
        <v>1</v>
      </c>
      <c r="AE89" s="2">
        <v>0</v>
      </c>
      <c r="AF89" s="2" t="s">
        <v>30</v>
      </c>
      <c r="AG89" s="2">
        <v>0.89</v>
      </c>
      <c r="AH89" s="2">
        <v>2</v>
      </c>
      <c r="AI89" s="2">
        <v>52264371</v>
      </c>
      <c r="AJ89" s="2">
        <v>92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</row>
    <row r="90" spans="1:44" x14ac:dyDescent="0.25">
      <c r="A90" s="2">
        <f>ROW(Source!A233)</f>
        <v>233</v>
      </c>
      <c r="B90" s="2">
        <v>52264377</v>
      </c>
      <c r="C90" s="2">
        <v>52264369</v>
      </c>
      <c r="D90" s="2">
        <v>49679414</v>
      </c>
      <c r="E90" s="2">
        <v>1</v>
      </c>
      <c r="F90" s="2">
        <v>1</v>
      </c>
      <c r="G90" s="2">
        <v>29</v>
      </c>
      <c r="H90" s="2">
        <v>3</v>
      </c>
      <c r="I90" s="2" t="s">
        <v>109</v>
      </c>
      <c r="J90" s="2" t="s">
        <v>376</v>
      </c>
      <c r="K90" s="2" t="s">
        <v>110</v>
      </c>
      <c r="L90" s="2">
        <v>1348</v>
      </c>
      <c r="N90" s="2">
        <v>1009</v>
      </c>
      <c r="O90" s="2" t="s">
        <v>63</v>
      </c>
      <c r="P90" s="2" t="s">
        <v>63</v>
      </c>
      <c r="Q90" s="2">
        <v>1000</v>
      </c>
      <c r="X90" s="2">
        <v>0.06</v>
      </c>
      <c r="Y90" s="2">
        <v>34834.18</v>
      </c>
      <c r="Z90" s="2">
        <v>0</v>
      </c>
      <c r="AA90" s="2">
        <v>0</v>
      </c>
      <c r="AB90" s="2">
        <v>0</v>
      </c>
      <c r="AC90" s="2">
        <v>0</v>
      </c>
      <c r="AD90" s="2">
        <v>1</v>
      </c>
      <c r="AE90" s="2">
        <v>0</v>
      </c>
      <c r="AF90" s="2" t="s">
        <v>30</v>
      </c>
      <c r="AG90" s="2">
        <v>0.06</v>
      </c>
      <c r="AH90" s="2">
        <v>2</v>
      </c>
      <c r="AI90" s="2">
        <v>52264372</v>
      </c>
      <c r="AJ90" s="2">
        <v>93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</row>
    <row r="91" spans="1:44" x14ac:dyDescent="0.25">
      <c r="A91" s="2">
        <f>ROW(Source!A233)</f>
        <v>233</v>
      </c>
      <c r="B91" s="2">
        <v>52264378</v>
      </c>
      <c r="C91" s="2">
        <v>52264369</v>
      </c>
      <c r="D91" s="2">
        <v>49682551</v>
      </c>
      <c r="E91" s="2">
        <v>1</v>
      </c>
      <c r="F91" s="2">
        <v>1</v>
      </c>
      <c r="G91" s="2">
        <v>29</v>
      </c>
      <c r="H91" s="2">
        <v>3</v>
      </c>
      <c r="I91" s="2" t="s">
        <v>160</v>
      </c>
      <c r="J91" s="2" t="s">
        <v>213</v>
      </c>
      <c r="K91" s="2" t="s">
        <v>212</v>
      </c>
      <c r="L91" s="2">
        <v>1348</v>
      </c>
      <c r="N91" s="2">
        <v>1009</v>
      </c>
      <c r="O91" s="2" t="s">
        <v>63</v>
      </c>
      <c r="P91" s="2" t="s">
        <v>63</v>
      </c>
      <c r="Q91" s="2">
        <v>1000</v>
      </c>
      <c r="X91" s="2">
        <v>7.14</v>
      </c>
      <c r="Y91" s="2">
        <v>2954.24</v>
      </c>
      <c r="Z91" s="2">
        <v>0</v>
      </c>
      <c r="AA91" s="2">
        <v>0</v>
      </c>
      <c r="AB91" s="2">
        <v>0</v>
      </c>
      <c r="AC91" s="2">
        <v>0</v>
      </c>
      <c r="AD91" s="2">
        <v>1</v>
      </c>
      <c r="AE91" s="2">
        <v>0</v>
      </c>
      <c r="AF91" s="2" t="s">
        <v>30</v>
      </c>
      <c r="AG91" s="2">
        <v>7.14</v>
      </c>
      <c r="AH91" s="2">
        <v>2</v>
      </c>
      <c r="AI91" s="2">
        <v>52264373</v>
      </c>
      <c r="AJ91" s="2">
        <v>94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22</vt:i4>
      </vt:variant>
      <vt:variant>
        <vt:lpstr>Именованные диапазоны</vt:lpstr>
      </vt:variant>
      <vt:variant>
        <vt:i4>20</vt:i4>
      </vt:variant>
    </vt:vector>
  </HeadingPairs>
  <TitlesOfParts>
    <vt:vector size="42" baseType="lpstr">
      <vt:lpstr>ул.Гурьянова д.19 к.1</vt:lpstr>
      <vt:lpstr>Дефектная ведомость (3)</vt:lpstr>
      <vt:lpstr>Ведомость объемов работ (3)</vt:lpstr>
      <vt:lpstr>Расчет стоимости ресурсов ( (3)</vt:lpstr>
      <vt:lpstr>Source (3)</vt:lpstr>
      <vt:lpstr>SourceObSm (3)</vt:lpstr>
      <vt:lpstr>SmtRes (3)</vt:lpstr>
      <vt:lpstr>EtalonRes (3)</vt:lpstr>
      <vt:lpstr>Дефектная ведомость (2)</vt:lpstr>
      <vt:lpstr>Ведомость объемов работ (2)</vt:lpstr>
      <vt:lpstr>Расчет стоимости ресурсов (2)</vt:lpstr>
      <vt:lpstr>Source (2)</vt:lpstr>
      <vt:lpstr>SourceObSm (2)</vt:lpstr>
      <vt:lpstr>SmtRes (2)</vt:lpstr>
      <vt:lpstr>EtalonRes (2)</vt:lpstr>
      <vt:lpstr>Дефектная ведомость</vt:lpstr>
      <vt:lpstr>Ведомость объемов работ</vt:lpstr>
      <vt:lpstr>Расчет стоимости ресурсов</vt:lpstr>
      <vt:lpstr>Source</vt:lpstr>
      <vt:lpstr>SourceObSm</vt:lpstr>
      <vt:lpstr>SmtRes</vt:lpstr>
      <vt:lpstr>EtalonRes</vt:lpstr>
      <vt:lpstr>'Ведомость объемов работ'!Заголовки_для_печати</vt:lpstr>
      <vt:lpstr>'Ведомость объемов работ (2)'!Заголовки_для_печати</vt:lpstr>
      <vt:lpstr>'Ведомость объемов работ (3)'!Заголовки_для_печати</vt:lpstr>
      <vt:lpstr>'Дефектная ведомость'!Заголовки_для_печати</vt:lpstr>
      <vt:lpstr>'Дефектная ведомость (2)'!Заголовки_для_печати</vt:lpstr>
      <vt:lpstr>'Дефектная ведомость (3)'!Заголовки_для_печати</vt:lpstr>
      <vt:lpstr>'Расчет стоимости ресурсов'!Заголовки_для_печати</vt:lpstr>
      <vt:lpstr>'Расчет стоимости ресурсов ( (3)'!Заголовки_для_печати</vt:lpstr>
      <vt:lpstr>'Расчет стоимости ресурсов (2)'!Заголовки_для_печати</vt:lpstr>
      <vt:lpstr>'ул.Гурьянова д.19 к.1'!Заголовки_для_печати</vt:lpstr>
      <vt:lpstr>'Ведомость объемов работ'!Область_печати</vt:lpstr>
      <vt:lpstr>'Ведомость объемов работ (2)'!Область_печати</vt:lpstr>
      <vt:lpstr>'Ведомость объемов работ (3)'!Область_печати</vt:lpstr>
      <vt:lpstr>'Дефектная ведомость'!Область_печати</vt:lpstr>
      <vt:lpstr>'Дефектная ведомость (2)'!Область_печати</vt:lpstr>
      <vt:lpstr>'Дефектная ведомость (3)'!Область_печати</vt:lpstr>
      <vt:lpstr>'Расчет стоимости ресурсов'!Область_печати</vt:lpstr>
      <vt:lpstr>'Расчет стоимости ресурсов ( (3)'!Область_печати</vt:lpstr>
      <vt:lpstr>'Расчет стоимости ресурсов (2)'!Область_печати</vt:lpstr>
      <vt:lpstr>'ул.Гурьянова д.19 к.1'!Область_печати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Горбатова Марина Александровна</cp:lastModifiedBy>
  <dcterms:created xsi:type="dcterms:W3CDTF">2022-06-30T12:34:00Z</dcterms:created>
  <dcterms:modified xsi:type="dcterms:W3CDTF">2022-11-10T09:40:05Z</dcterms:modified>
</cp:coreProperties>
</file>