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kinaEM\Desktop\ТОРГИ 2021\Благоустройство\Благоустройство доп.деньги\Для экспертизы испр.3\Сметная документация\"/>
    </mc:Choice>
  </mc:AlternateContent>
  <bookViews>
    <workbookView xWindow="0" yWindow="0" windowWidth="28800" windowHeight="11700" activeTab="1"/>
  </bookViews>
  <sheets>
    <sheet name="Смета СН-2012 по гл. 1-5" sheetId="5" r:id="rId1"/>
    <sheet name="Ведомость объемов работ" sheetId="6" r:id="rId2"/>
    <sheet name="Source" sheetId="1" r:id="rId3"/>
    <sheet name="SourceObSm" sheetId="2" r:id="rId4"/>
    <sheet name="SmtRes" sheetId="3" r:id="rId5"/>
    <sheet name="EtalonRes" sheetId="4" r:id="rId6"/>
  </sheets>
  <definedNames>
    <definedName name="_xlnm.Print_Titles" localSheetId="1">'Ведомость объемов работ'!$15:$15</definedName>
    <definedName name="_xlnm.Print_Titles" localSheetId="0">'Смета СН-2012 по гл. 1-5'!$30:$30</definedName>
    <definedName name="_xlnm.Print_Area" localSheetId="1">'Ведомость объемов работ'!$A$1:$E$98</definedName>
    <definedName name="_xlnm.Print_Area" localSheetId="0">'Смета СН-2012 по гл. 1-5'!$A$1:$K$484</definedName>
  </definedNames>
  <calcPr calcId="162913"/>
</workbook>
</file>

<file path=xl/calcChain.xml><?xml version="1.0" encoding="utf-8"?>
<calcChain xmlns="http://schemas.openxmlformats.org/spreadsheetml/2006/main">
  <c r="C93" i="6" l="1"/>
  <c r="B93" i="6"/>
  <c r="A93" i="6"/>
  <c r="C92" i="6"/>
  <c r="B92" i="6"/>
  <c r="A92" i="6"/>
  <c r="C91" i="6"/>
  <c r="B91" i="6"/>
  <c r="A91" i="6"/>
  <c r="C90" i="6"/>
  <c r="B90" i="6"/>
  <c r="A90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A84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A77" i="6"/>
  <c r="D76" i="6"/>
  <c r="C76" i="6"/>
  <c r="B76" i="6"/>
  <c r="A76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A71" i="6"/>
  <c r="A70" i="6"/>
  <c r="C69" i="6"/>
  <c r="B69" i="6"/>
  <c r="A69" i="6"/>
  <c r="C68" i="6"/>
  <c r="B68" i="6"/>
  <c r="A68" i="6"/>
  <c r="D67" i="6"/>
  <c r="C67" i="6"/>
  <c r="B67" i="6"/>
  <c r="A67" i="6"/>
  <c r="C66" i="6"/>
  <c r="B66" i="6"/>
  <c r="A66" i="6"/>
  <c r="A65" i="6"/>
  <c r="C64" i="6"/>
  <c r="B64" i="6"/>
  <c r="A64" i="6"/>
  <c r="C63" i="6"/>
  <c r="B63" i="6"/>
  <c r="A63" i="6"/>
  <c r="A62" i="6"/>
  <c r="C61" i="6"/>
  <c r="B61" i="6"/>
  <c r="A61" i="6"/>
  <c r="C60" i="6"/>
  <c r="B60" i="6"/>
  <c r="A60" i="6"/>
  <c r="C59" i="6"/>
  <c r="B59" i="6"/>
  <c r="A59" i="6"/>
  <c r="A58" i="6"/>
  <c r="C57" i="6"/>
  <c r="B57" i="6"/>
  <c r="A57" i="6"/>
  <c r="C56" i="6"/>
  <c r="B56" i="6"/>
  <c r="A56" i="6"/>
  <c r="A55" i="6"/>
  <c r="C54" i="6"/>
  <c r="B54" i="6"/>
  <c r="A54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D35" i="6"/>
  <c r="C35" i="6"/>
  <c r="B35" i="6"/>
  <c r="A35" i="6"/>
  <c r="C34" i="6"/>
  <c r="B34" i="6"/>
  <c r="A34" i="6"/>
  <c r="C33" i="6"/>
  <c r="B33" i="6"/>
  <c r="A33" i="6"/>
  <c r="C32" i="6"/>
  <c r="B32" i="6"/>
  <c r="A32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D24" i="6"/>
  <c r="C24" i="6"/>
  <c r="B24" i="6"/>
  <c r="A24" i="6"/>
  <c r="C23" i="6"/>
  <c r="B23" i="6"/>
  <c r="A23" i="6"/>
  <c r="C22" i="6"/>
  <c r="B22" i="6"/>
  <c r="A22" i="6"/>
  <c r="C21" i="6"/>
  <c r="B21" i="6"/>
  <c r="A21" i="6"/>
  <c r="D20" i="6"/>
  <c r="C20" i="6"/>
  <c r="B20" i="6"/>
  <c r="A20" i="6"/>
  <c r="C19" i="6"/>
  <c r="B19" i="6"/>
  <c r="A19" i="6"/>
  <c r="D18" i="6"/>
  <c r="C18" i="6"/>
  <c r="B18" i="6"/>
  <c r="A18" i="6"/>
  <c r="A17" i="6"/>
  <c r="A16" i="6"/>
  <c r="AD12" i="6"/>
  <c r="A11" i="6"/>
  <c r="A1" i="6"/>
  <c r="H482" i="5"/>
  <c r="H479" i="5"/>
  <c r="C482" i="5"/>
  <c r="C479" i="5"/>
  <c r="C476" i="5"/>
  <c r="C475" i="5"/>
  <c r="H465" i="5"/>
  <c r="G465" i="5"/>
  <c r="E465" i="5"/>
  <c r="E464" i="5"/>
  <c r="E463" i="5"/>
  <c r="I462" i="5"/>
  <c r="H462" i="5"/>
  <c r="G462" i="5"/>
  <c r="F462" i="5"/>
  <c r="I461" i="5"/>
  <c r="H461" i="5"/>
  <c r="G461" i="5"/>
  <c r="F461" i="5"/>
  <c r="D460" i="5"/>
  <c r="C460" i="5"/>
  <c r="B460" i="5"/>
  <c r="A460" i="5"/>
  <c r="H458" i="5"/>
  <c r="G458" i="5"/>
  <c r="E458" i="5"/>
  <c r="E457" i="5"/>
  <c r="E456" i="5"/>
  <c r="I455" i="5"/>
  <c r="H455" i="5"/>
  <c r="G455" i="5"/>
  <c r="F455" i="5"/>
  <c r="I454" i="5"/>
  <c r="H454" i="5"/>
  <c r="G454" i="5"/>
  <c r="F454" i="5"/>
  <c r="D453" i="5"/>
  <c r="C453" i="5"/>
  <c r="B453" i="5"/>
  <c r="A453" i="5"/>
  <c r="H451" i="5"/>
  <c r="G451" i="5"/>
  <c r="E451" i="5"/>
  <c r="E450" i="5"/>
  <c r="E449" i="5"/>
  <c r="I448" i="5"/>
  <c r="H448" i="5"/>
  <c r="G448" i="5"/>
  <c r="F448" i="5"/>
  <c r="I447" i="5"/>
  <c r="H447" i="5"/>
  <c r="G447" i="5"/>
  <c r="F447" i="5"/>
  <c r="D446" i="5"/>
  <c r="C446" i="5"/>
  <c r="B446" i="5"/>
  <c r="A446" i="5"/>
  <c r="H444" i="5"/>
  <c r="G444" i="5"/>
  <c r="E444" i="5"/>
  <c r="E443" i="5"/>
  <c r="E442" i="5"/>
  <c r="E441" i="5"/>
  <c r="I440" i="5"/>
  <c r="H440" i="5"/>
  <c r="G440" i="5"/>
  <c r="F440" i="5"/>
  <c r="I439" i="5"/>
  <c r="H439" i="5"/>
  <c r="G439" i="5"/>
  <c r="F439" i="5"/>
  <c r="I438" i="5"/>
  <c r="H438" i="5"/>
  <c r="G438" i="5"/>
  <c r="F438" i="5"/>
  <c r="I437" i="5"/>
  <c r="H437" i="5"/>
  <c r="G437" i="5"/>
  <c r="F437" i="5"/>
  <c r="E436" i="5"/>
  <c r="D436" i="5"/>
  <c r="C436" i="5"/>
  <c r="B436" i="5"/>
  <c r="A436" i="5"/>
  <c r="A435" i="5"/>
  <c r="H429" i="5"/>
  <c r="G429" i="5"/>
  <c r="E429" i="5"/>
  <c r="E428" i="5"/>
  <c r="E427" i="5"/>
  <c r="E426" i="5"/>
  <c r="I425" i="5"/>
  <c r="H425" i="5"/>
  <c r="F425" i="5"/>
  <c r="D425" i="5"/>
  <c r="C425" i="5"/>
  <c r="B425" i="5"/>
  <c r="A425" i="5"/>
  <c r="I424" i="5"/>
  <c r="H424" i="5"/>
  <c r="G424" i="5"/>
  <c r="F424" i="5"/>
  <c r="I423" i="5"/>
  <c r="H423" i="5"/>
  <c r="G423" i="5"/>
  <c r="F423" i="5"/>
  <c r="I422" i="5"/>
  <c r="H422" i="5"/>
  <c r="G422" i="5"/>
  <c r="F422" i="5"/>
  <c r="I421" i="5"/>
  <c r="H421" i="5"/>
  <c r="G421" i="5"/>
  <c r="F421" i="5"/>
  <c r="D420" i="5"/>
  <c r="C420" i="5"/>
  <c r="B420" i="5"/>
  <c r="A420" i="5"/>
  <c r="H418" i="5"/>
  <c r="G418" i="5"/>
  <c r="E418" i="5"/>
  <c r="E417" i="5"/>
  <c r="E416" i="5"/>
  <c r="I415" i="5"/>
  <c r="H415" i="5"/>
  <c r="G415" i="5"/>
  <c r="F415" i="5"/>
  <c r="I414" i="5"/>
  <c r="H414" i="5"/>
  <c r="G414" i="5"/>
  <c r="F414" i="5"/>
  <c r="D413" i="5"/>
  <c r="C413" i="5"/>
  <c r="B413" i="5"/>
  <c r="A413" i="5"/>
  <c r="H411" i="5"/>
  <c r="G411" i="5"/>
  <c r="E411" i="5"/>
  <c r="E410" i="5"/>
  <c r="E409" i="5"/>
  <c r="E408" i="5"/>
  <c r="I407" i="5"/>
  <c r="H407" i="5"/>
  <c r="G407" i="5"/>
  <c r="F407" i="5"/>
  <c r="I406" i="5"/>
  <c r="H406" i="5"/>
  <c r="G406" i="5"/>
  <c r="F406" i="5"/>
  <c r="I405" i="5"/>
  <c r="H405" i="5"/>
  <c r="G405" i="5"/>
  <c r="F405" i="5"/>
  <c r="I404" i="5"/>
  <c r="H404" i="5"/>
  <c r="G404" i="5"/>
  <c r="F404" i="5"/>
  <c r="D403" i="5"/>
  <c r="C403" i="5"/>
  <c r="B403" i="5"/>
  <c r="A403" i="5"/>
  <c r="A402" i="5"/>
  <c r="A400" i="5"/>
  <c r="I391" i="5"/>
  <c r="H391" i="5"/>
  <c r="G391" i="5"/>
  <c r="F391" i="5"/>
  <c r="E391" i="5"/>
  <c r="D391" i="5"/>
  <c r="C391" i="5"/>
  <c r="B391" i="5"/>
  <c r="A391" i="5"/>
  <c r="I389" i="5"/>
  <c r="H389" i="5"/>
  <c r="G389" i="5"/>
  <c r="F389" i="5"/>
  <c r="S389" i="5"/>
  <c r="E389" i="5"/>
  <c r="D389" i="5"/>
  <c r="C389" i="5"/>
  <c r="B389" i="5"/>
  <c r="A389" i="5"/>
  <c r="I387" i="5"/>
  <c r="H387" i="5"/>
  <c r="G387" i="5"/>
  <c r="F387" i="5"/>
  <c r="V387" i="5"/>
  <c r="E387" i="5"/>
  <c r="D387" i="5"/>
  <c r="C387" i="5"/>
  <c r="B387" i="5"/>
  <c r="A387" i="5"/>
  <c r="I385" i="5"/>
  <c r="H385" i="5"/>
  <c r="G385" i="5"/>
  <c r="F385" i="5"/>
  <c r="E385" i="5"/>
  <c r="D385" i="5"/>
  <c r="C385" i="5"/>
  <c r="B385" i="5"/>
  <c r="A385" i="5"/>
  <c r="I383" i="5"/>
  <c r="H383" i="5"/>
  <c r="G383" i="5"/>
  <c r="F383" i="5"/>
  <c r="E383" i="5"/>
  <c r="D383" i="5"/>
  <c r="C383" i="5"/>
  <c r="B383" i="5"/>
  <c r="A383" i="5"/>
  <c r="A382" i="5"/>
  <c r="I376" i="5"/>
  <c r="H376" i="5"/>
  <c r="G376" i="5"/>
  <c r="F376" i="5"/>
  <c r="S376" i="5"/>
  <c r="E376" i="5"/>
  <c r="D376" i="5"/>
  <c r="C376" i="5"/>
  <c r="B376" i="5"/>
  <c r="A376" i="5"/>
  <c r="H374" i="5"/>
  <c r="G374" i="5"/>
  <c r="E374" i="5"/>
  <c r="E373" i="5"/>
  <c r="E372" i="5"/>
  <c r="I371" i="5"/>
  <c r="H371" i="5"/>
  <c r="G371" i="5"/>
  <c r="F371" i="5"/>
  <c r="I370" i="5"/>
  <c r="H370" i="5"/>
  <c r="G370" i="5"/>
  <c r="F370" i="5"/>
  <c r="Q369" i="5"/>
  <c r="D369" i="5"/>
  <c r="C369" i="5"/>
  <c r="B369" i="5"/>
  <c r="A369" i="5"/>
  <c r="I367" i="5"/>
  <c r="H367" i="5"/>
  <c r="G367" i="5"/>
  <c r="F367" i="5"/>
  <c r="E367" i="5"/>
  <c r="D367" i="5"/>
  <c r="C367" i="5"/>
  <c r="B367" i="5"/>
  <c r="A367" i="5"/>
  <c r="I365" i="5"/>
  <c r="H365" i="5"/>
  <c r="G365" i="5"/>
  <c r="F365" i="5"/>
  <c r="Q365" i="5"/>
  <c r="E365" i="5"/>
  <c r="D365" i="5"/>
  <c r="C365" i="5"/>
  <c r="B365" i="5"/>
  <c r="A365" i="5"/>
  <c r="I363" i="5"/>
  <c r="H363" i="5"/>
  <c r="G363" i="5"/>
  <c r="F363" i="5"/>
  <c r="E363" i="5"/>
  <c r="D363" i="5"/>
  <c r="C363" i="5"/>
  <c r="B363" i="5"/>
  <c r="A363" i="5"/>
  <c r="A362" i="5"/>
  <c r="A360" i="5"/>
  <c r="H351" i="5"/>
  <c r="G351" i="5"/>
  <c r="E351" i="5"/>
  <c r="E350" i="5"/>
  <c r="E349" i="5"/>
  <c r="I348" i="5"/>
  <c r="H348" i="5"/>
  <c r="F348" i="5"/>
  <c r="D348" i="5"/>
  <c r="C348" i="5"/>
  <c r="B348" i="5"/>
  <c r="A348" i="5"/>
  <c r="I347" i="5"/>
  <c r="H347" i="5"/>
  <c r="F347" i="5"/>
  <c r="D347" i="5"/>
  <c r="C347" i="5"/>
  <c r="B347" i="5"/>
  <c r="A347" i="5"/>
  <c r="I346" i="5"/>
  <c r="H346" i="5"/>
  <c r="G346" i="5"/>
  <c r="F346" i="5"/>
  <c r="I345" i="5"/>
  <c r="H345" i="5"/>
  <c r="G345" i="5"/>
  <c r="F345" i="5"/>
  <c r="D344" i="5"/>
  <c r="C344" i="5"/>
  <c r="B344" i="5"/>
  <c r="A344" i="5"/>
  <c r="H342" i="5"/>
  <c r="G342" i="5"/>
  <c r="E342" i="5"/>
  <c r="E341" i="5"/>
  <c r="E340" i="5"/>
  <c r="E339" i="5"/>
  <c r="I338" i="5"/>
  <c r="H338" i="5"/>
  <c r="G338" i="5"/>
  <c r="F338" i="5"/>
  <c r="I337" i="5"/>
  <c r="H337" i="5"/>
  <c r="G337" i="5"/>
  <c r="F337" i="5"/>
  <c r="I336" i="5"/>
  <c r="H336" i="5"/>
  <c r="G336" i="5"/>
  <c r="F336" i="5"/>
  <c r="I335" i="5"/>
  <c r="H335" i="5"/>
  <c r="G335" i="5"/>
  <c r="F335" i="5"/>
  <c r="D334" i="5"/>
  <c r="C334" i="5"/>
  <c r="B334" i="5"/>
  <c r="A334" i="5"/>
  <c r="A333" i="5"/>
  <c r="K327" i="5"/>
  <c r="H327" i="5"/>
  <c r="G327" i="5"/>
  <c r="E327" i="5"/>
  <c r="E326" i="5"/>
  <c r="E325" i="5"/>
  <c r="E324" i="5"/>
  <c r="I323" i="5"/>
  <c r="H323" i="5"/>
  <c r="G323" i="5"/>
  <c r="F323" i="5"/>
  <c r="I322" i="5"/>
  <c r="H322" i="5"/>
  <c r="G322" i="5"/>
  <c r="F322" i="5"/>
  <c r="I321" i="5"/>
  <c r="H321" i="5"/>
  <c r="G321" i="5"/>
  <c r="F321" i="5"/>
  <c r="I320" i="5"/>
  <c r="H320" i="5"/>
  <c r="G320" i="5"/>
  <c r="F320" i="5"/>
  <c r="D319" i="5"/>
  <c r="C319" i="5"/>
  <c r="B319" i="5"/>
  <c r="A319" i="5"/>
  <c r="H317" i="5"/>
  <c r="G317" i="5"/>
  <c r="E317" i="5"/>
  <c r="E316" i="5"/>
  <c r="E315" i="5"/>
  <c r="E314" i="5"/>
  <c r="I313" i="5"/>
  <c r="H313" i="5"/>
  <c r="G313" i="5"/>
  <c r="F313" i="5"/>
  <c r="I312" i="5"/>
  <c r="H312" i="5"/>
  <c r="G312" i="5"/>
  <c r="F312" i="5"/>
  <c r="I311" i="5"/>
  <c r="H311" i="5"/>
  <c r="G311" i="5"/>
  <c r="F311" i="5"/>
  <c r="I310" i="5"/>
  <c r="H310" i="5"/>
  <c r="G310" i="5"/>
  <c r="F310" i="5"/>
  <c r="D309" i="5"/>
  <c r="C309" i="5"/>
  <c r="B309" i="5"/>
  <c r="A309" i="5"/>
  <c r="A308" i="5"/>
  <c r="H302" i="5"/>
  <c r="G302" i="5"/>
  <c r="E302" i="5"/>
  <c r="E301" i="5"/>
  <c r="E300" i="5"/>
  <c r="I299" i="5"/>
  <c r="H299" i="5"/>
  <c r="G299" i="5"/>
  <c r="F299" i="5"/>
  <c r="I298" i="5"/>
  <c r="H298" i="5"/>
  <c r="G298" i="5"/>
  <c r="F298" i="5"/>
  <c r="U297" i="5"/>
  <c r="E297" i="5"/>
  <c r="D297" i="5"/>
  <c r="C297" i="5"/>
  <c r="B297" i="5"/>
  <c r="A297" i="5"/>
  <c r="H295" i="5"/>
  <c r="G295" i="5"/>
  <c r="E295" i="5"/>
  <c r="E294" i="5"/>
  <c r="E293" i="5"/>
  <c r="E292" i="5"/>
  <c r="I291" i="5"/>
  <c r="H291" i="5"/>
  <c r="F291" i="5"/>
  <c r="D291" i="5"/>
  <c r="C291" i="5"/>
  <c r="B291" i="5"/>
  <c r="A291" i="5"/>
  <c r="I290" i="5"/>
  <c r="H290" i="5"/>
  <c r="G290" i="5"/>
  <c r="F290" i="5"/>
  <c r="I289" i="5"/>
  <c r="H289" i="5"/>
  <c r="G289" i="5"/>
  <c r="F289" i="5"/>
  <c r="I288" i="5"/>
  <c r="H288" i="5"/>
  <c r="G288" i="5"/>
  <c r="F288" i="5"/>
  <c r="I287" i="5"/>
  <c r="H287" i="5"/>
  <c r="G287" i="5"/>
  <c r="F287" i="5"/>
  <c r="D286" i="5"/>
  <c r="C286" i="5"/>
  <c r="B286" i="5"/>
  <c r="A286" i="5"/>
  <c r="A285" i="5"/>
  <c r="H279" i="5"/>
  <c r="G279" i="5"/>
  <c r="E279" i="5"/>
  <c r="E278" i="5"/>
  <c r="E277" i="5"/>
  <c r="E276" i="5"/>
  <c r="I275" i="5"/>
  <c r="H275" i="5"/>
  <c r="F275" i="5"/>
  <c r="E275" i="5"/>
  <c r="D275" i="5"/>
  <c r="C275" i="5"/>
  <c r="B275" i="5"/>
  <c r="A275" i="5"/>
  <c r="I274" i="5"/>
  <c r="H274" i="5"/>
  <c r="G274" i="5"/>
  <c r="F274" i="5"/>
  <c r="I273" i="5"/>
  <c r="H273" i="5"/>
  <c r="G273" i="5"/>
  <c r="F273" i="5"/>
  <c r="I272" i="5"/>
  <c r="H272" i="5"/>
  <c r="G272" i="5"/>
  <c r="F272" i="5"/>
  <c r="I271" i="5"/>
  <c r="H271" i="5"/>
  <c r="G271" i="5"/>
  <c r="F271" i="5"/>
  <c r="D270" i="5"/>
  <c r="C270" i="5"/>
  <c r="B270" i="5"/>
  <c r="A270" i="5"/>
  <c r="A269" i="5"/>
  <c r="H263" i="5"/>
  <c r="G263" i="5"/>
  <c r="E263" i="5"/>
  <c r="E262" i="5"/>
  <c r="E261" i="5"/>
  <c r="E260" i="5"/>
  <c r="I259" i="5"/>
  <c r="H259" i="5"/>
  <c r="G259" i="5"/>
  <c r="F259" i="5"/>
  <c r="I258" i="5"/>
  <c r="H258" i="5"/>
  <c r="G258" i="5"/>
  <c r="F258" i="5"/>
  <c r="I257" i="5"/>
  <c r="H257" i="5"/>
  <c r="G257" i="5"/>
  <c r="F257" i="5"/>
  <c r="I256" i="5"/>
  <c r="H256" i="5"/>
  <c r="G256" i="5"/>
  <c r="F256" i="5"/>
  <c r="D255" i="5"/>
  <c r="C255" i="5"/>
  <c r="B255" i="5"/>
  <c r="A255" i="5"/>
  <c r="A254" i="5"/>
  <c r="H248" i="5"/>
  <c r="G248" i="5"/>
  <c r="E248" i="5"/>
  <c r="E247" i="5"/>
  <c r="E246" i="5"/>
  <c r="E245" i="5"/>
  <c r="I244" i="5"/>
  <c r="H244" i="5"/>
  <c r="G244" i="5"/>
  <c r="F244" i="5"/>
  <c r="I243" i="5"/>
  <c r="H243" i="5"/>
  <c r="G243" i="5"/>
  <c r="F243" i="5"/>
  <c r="I242" i="5"/>
  <c r="H242" i="5"/>
  <c r="G242" i="5"/>
  <c r="F242" i="5"/>
  <c r="I241" i="5"/>
  <c r="H241" i="5"/>
  <c r="G241" i="5"/>
  <c r="F241" i="5"/>
  <c r="D240" i="5"/>
  <c r="C240" i="5"/>
  <c r="B240" i="5"/>
  <c r="A240" i="5"/>
  <c r="H238" i="5"/>
  <c r="G238" i="5"/>
  <c r="E238" i="5"/>
  <c r="E237" i="5"/>
  <c r="E236" i="5"/>
  <c r="E235" i="5"/>
  <c r="I234" i="5"/>
  <c r="H234" i="5"/>
  <c r="F234" i="5"/>
  <c r="D234" i="5"/>
  <c r="C234" i="5"/>
  <c r="B234" i="5"/>
  <c r="A234" i="5"/>
  <c r="I233" i="5"/>
  <c r="H233" i="5"/>
  <c r="G233" i="5"/>
  <c r="F233" i="5"/>
  <c r="I232" i="5"/>
  <c r="H232" i="5"/>
  <c r="G232" i="5"/>
  <c r="F232" i="5"/>
  <c r="I231" i="5"/>
  <c r="H231" i="5"/>
  <c r="G231" i="5"/>
  <c r="F231" i="5"/>
  <c r="I230" i="5"/>
  <c r="H230" i="5"/>
  <c r="G230" i="5"/>
  <c r="F230" i="5"/>
  <c r="D229" i="5"/>
  <c r="C229" i="5"/>
  <c r="B229" i="5"/>
  <c r="A229" i="5"/>
  <c r="H227" i="5"/>
  <c r="G227" i="5"/>
  <c r="E227" i="5"/>
  <c r="E226" i="5"/>
  <c r="E225" i="5"/>
  <c r="E224" i="5"/>
  <c r="I223" i="5"/>
  <c r="H223" i="5"/>
  <c r="F223" i="5"/>
  <c r="D223" i="5"/>
  <c r="C223" i="5"/>
  <c r="B223" i="5"/>
  <c r="A223" i="5"/>
  <c r="I222" i="5"/>
  <c r="H222" i="5"/>
  <c r="G222" i="5"/>
  <c r="F222" i="5"/>
  <c r="I221" i="5"/>
  <c r="H221" i="5"/>
  <c r="G221" i="5"/>
  <c r="F221" i="5"/>
  <c r="I220" i="5"/>
  <c r="H220" i="5"/>
  <c r="G220" i="5"/>
  <c r="F220" i="5"/>
  <c r="I219" i="5"/>
  <c r="H219" i="5"/>
  <c r="G219" i="5"/>
  <c r="F219" i="5"/>
  <c r="V218" i="5"/>
  <c r="U218" i="5"/>
  <c r="D218" i="5"/>
  <c r="C218" i="5"/>
  <c r="B218" i="5"/>
  <c r="A218" i="5"/>
  <c r="K216" i="5"/>
  <c r="H216" i="5"/>
  <c r="G216" i="5"/>
  <c r="E216" i="5"/>
  <c r="E215" i="5"/>
  <c r="E214" i="5"/>
  <c r="E213" i="5"/>
  <c r="I212" i="5"/>
  <c r="H212" i="5"/>
  <c r="F212" i="5"/>
  <c r="Q212" i="5"/>
  <c r="D212" i="5"/>
  <c r="C212" i="5"/>
  <c r="B212" i="5"/>
  <c r="A212" i="5"/>
  <c r="I211" i="5"/>
  <c r="H211" i="5"/>
  <c r="F211" i="5"/>
  <c r="D211" i="5"/>
  <c r="C211" i="5"/>
  <c r="B211" i="5"/>
  <c r="A211" i="5"/>
  <c r="J210" i="5"/>
  <c r="I210" i="5"/>
  <c r="H210" i="5"/>
  <c r="G210" i="5"/>
  <c r="F210" i="5"/>
  <c r="I209" i="5"/>
  <c r="H209" i="5"/>
  <c r="G209" i="5"/>
  <c r="F209" i="5"/>
  <c r="I208" i="5"/>
  <c r="H208" i="5"/>
  <c r="G208" i="5"/>
  <c r="F208" i="5"/>
  <c r="I207" i="5"/>
  <c r="H207" i="5"/>
  <c r="G207" i="5"/>
  <c r="F207" i="5"/>
  <c r="D206" i="5"/>
  <c r="C206" i="5"/>
  <c r="B206" i="5"/>
  <c r="A206" i="5"/>
  <c r="H204" i="5"/>
  <c r="G204" i="5"/>
  <c r="E204" i="5"/>
  <c r="E203" i="5"/>
  <c r="E202" i="5"/>
  <c r="E201" i="5"/>
  <c r="I200" i="5"/>
  <c r="H200" i="5"/>
  <c r="G200" i="5"/>
  <c r="F200" i="5"/>
  <c r="I199" i="5"/>
  <c r="H199" i="5"/>
  <c r="G199" i="5"/>
  <c r="F199" i="5"/>
  <c r="I198" i="5"/>
  <c r="H198" i="5"/>
  <c r="G198" i="5"/>
  <c r="F198" i="5"/>
  <c r="I197" i="5"/>
  <c r="H197" i="5"/>
  <c r="G197" i="5"/>
  <c r="F197" i="5"/>
  <c r="D196" i="5"/>
  <c r="C196" i="5"/>
  <c r="B196" i="5"/>
  <c r="A196" i="5"/>
  <c r="H194" i="5"/>
  <c r="G194" i="5"/>
  <c r="E194" i="5"/>
  <c r="E193" i="5"/>
  <c r="E192" i="5"/>
  <c r="E191" i="5"/>
  <c r="I190" i="5"/>
  <c r="H190" i="5"/>
  <c r="G190" i="5"/>
  <c r="F190" i="5"/>
  <c r="I189" i="5"/>
  <c r="H189" i="5"/>
  <c r="G189" i="5"/>
  <c r="F189" i="5"/>
  <c r="I188" i="5"/>
  <c r="H188" i="5"/>
  <c r="G188" i="5"/>
  <c r="F188" i="5"/>
  <c r="I187" i="5"/>
  <c r="H187" i="5"/>
  <c r="G187" i="5"/>
  <c r="F187" i="5"/>
  <c r="D186" i="5"/>
  <c r="C186" i="5"/>
  <c r="B186" i="5"/>
  <c r="A186" i="5"/>
  <c r="A185" i="5"/>
  <c r="I179" i="5"/>
  <c r="H179" i="5"/>
  <c r="G179" i="5"/>
  <c r="F179" i="5"/>
  <c r="T179" i="5"/>
  <c r="U179" i="5"/>
  <c r="S179" i="5"/>
  <c r="Q179" i="5"/>
  <c r="D179" i="5"/>
  <c r="B179" i="5"/>
  <c r="A179" i="5"/>
  <c r="I177" i="5"/>
  <c r="H177" i="5"/>
  <c r="G177" i="5"/>
  <c r="F177" i="5"/>
  <c r="I176" i="5"/>
  <c r="H176" i="5"/>
  <c r="G176" i="5"/>
  <c r="F176" i="5"/>
  <c r="D175" i="5"/>
  <c r="C175" i="5"/>
  <c r="B175" i="5"/>
  <c r="A175" i="5"/>
  <c r="I173" i="5"/>
  <c r="H173" i="5"/>
  <c r="G173" i="5"/>
  <c r="F173" i="5"/>
  <c r="I172" i="5"/>
  <c r="H172" i="5"/>
  <c r="G172" i="5"/>
  <c r="F172" i="5"/>
  <c r="D171" i="5"/>
  <c r="C171" i="5"/>
  <c r="B171" i="5"/>
  <c r="A171" i="5"/>
  <c r="I169" i="5"/>
  <c r="H169" i="5"/>
  <c r="G169" i="5"/>
  <c r="F169" i="5"/>
  <c r="I168" i="5"/>
  <c r="H168" i="5"/>
  <c r="G168" i="5"/>
  <c r="F168" i="5"/>
  <c r="D167" i="5"/>
  <c r="C167" i="5"/>
  <c r="B167" i="5"/>
  <c r="A167" i="5"/>
  <c r="H165" i="5"/>
  <c r="G165" i="5"/>
  <c r="E165" i="5"/>
  <c r="E164" i="5"/>
  <c r="E163" i="5"/>
  <c r="I162" i="5"/>
  <c r="H162" i="5"/>
  <c r="G162" i="5"/>
  <c r="F162" i="5"/>
  <c r="D161" i="5"/>
  <c r="C161" i="5"/>
  <c r="B161" i="5"/>
  <c r="A161" i="5"/>
  <c r="E159" i="5"/>
  <c r="I158" i="5"/>
  <c r="H158" i="5"/>
  <c r="G158" i="5"/>
  <c r="F158" i="5"/>
  <c r="I157" i="5"/>
  <c r="H157" i="5"/>
  <c r="G157" i="5"/>
  <c r="F157" i="5"/>
  <c r="D156" i="5"/>
  <c r="C156" i="5"/>
  <c r="B156" i="5"/>
  <c r="A156" i="5"/>
  <c r="H154" i="5"/>
  <c r="G154" i="5"/>
  <c r="E154" i="5"/>
  <c r="E153" i="5"/>
  <c r="E152" i="5"/>
  <c r="E151" i="5"/>
  <c r="I150" i="5"/>
  <c r="H150" i="5"/>
  <c r="G150" i="5"/>
  <c r="F150" i="5"/>
  <c r="I149" i="5"/>
  <c r="H149" i="5"/>
  <c r="G149" i="5"/>
  <c r="F149" i="5"/>
  <c r="I148" i="5"/>
  <c r="H148" i="5"/>
  <c r="G148" i="5"/>
  <c r="F148" i="5"/>
  <c r="D147" i="5"/>
  <c r="C147" i="5"/>
  <c r="B147" i="5"/>
  <c r="A147" i="5"/>
  <c r="H145" i="5"/>
  <c r="G145" i="5"/>
  <c r="E145" i="5"/>
  <c r="E144" i="5"/>
  <c r="E143" i="5"/>
  <c r="E142" i="5"/>
  <c r="I141" i="5"/>
  <c r="H141" i="5"/>
  <c r="G141" i="5"/>
  <c r="F141" i="5"/>
  <c r="I140" i="5"/>
  <c r="H140" i="5"/>
  <c r="G140" i="5"/>
  <c r="F140" i="5"/>
  <c r="I139" i="5"/>
  <c r="H139" i="5"/>
  <c r="G139" i="5"/>
  <c r="F139" i="5"/>
  <c r="D138" i="5"/>
  <c r="C138" i="5"/>
  <c r="B138" i="5"/>
  <c r="A138" i="5"/>
  <c r="H136" i="5"/>
  <c r="G136" i="5"/>
  <c r="E136" i="5"/>
  <c r="E135" i="5"/>
  <c r="E134" i="5"/>
  <c r="E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U129" i="5"/>
  <c r="S129" i="5"/>
  <c r="D129" i="5"/>
  <c r="C129" i="5"/>
  <c r="B129" i="5"/>
  <c r="A129" i="5"/>
  <c r="H127" i="5"/>
  <c r="G127" i="5"/>
  <c r="E127" i="5"/>
  <c r="E126" i="5"/>
  <c r="E125" i="5"/>
  <c r="E124" i="5"/>
  <c r="I123" i="5"/>
  <c r="H123" i="5"/>
  <c r="G123" i="5"/>
  <c r="F123" i="5"/>
  <c r="I122" i="5"/>
  <c r="H122" i="5"/>
  <c r="G122" i="5"/>
  <c r="F122" i="5"/>
  <c r="I121" i="5"/>
  <c r="H121" i="5"/>
  <c r="G121" i="5"/>
  <c r="F121" i="5"/>
  <c r="D120" i="5"/>
  <c r="C120" i="5"/>
  <c r="B120" i="5"/>
  <c r="A120" i="5"/>
  <c r="A119" i="5"/>
  <c r="I113" i="5"/>
  <c r="H113" i="5"/>
  <c r="G113" i="5"/>
  <c r="F113" i="5"/>
  <c r="T113" i="5"/>
  <c r="R113" i="5"/>
  <c r="D113" i="5"/>
  <c r="B113" i="5"/>
  <c r="A113" i="5"/>
  <c r="I111" i="5"/>
  <c r="H111" i="5"/>
  <c r="G111" i="5"/>
  <c r="F111" i="5"/>
  <c r="I110" i="5"/>
  <c r="H110" i="5"/>
  <c r="G110" i="5"/>
  <c r="F110" i="5"/>
  <c r="D109" i="5"/>
  <c r="C109" i="5"/>
  <c r="B109" i="5"/>
  <c r="A109" i="5"/>
  <c r="I107" i="5"/>
  <c r="H107" i="5"/>
  <c r="G107" i="5"/>
  <c r="F107" i="5"/>
  <c r="I106" i="5"/>
  <c r="H106" i="5"/>
  <c r="G106" i="5"/>
  <c r="F106" i="5"/>
  <c r="D105" i="5"/>
  <c r="C105" i="5"/>
  <c r="B105" i="5"/>
  <c r="A105" i="5"/>
  <c r="I103" i="5"/>
  <c r="H103" i="5"/>
  <c r="G103" i="5"/>
  <c r="F103" i="5"/>
  <c r="I102" i="5"/>
  <c r="H102" i="5"/>
  <c r="G102" i="5"/>
  <c r="F102" i="5"/>
  <c r="D101" i="5"/>
  <c r="C101" i="5"/>
  <c r="B101" i="5"/>
  <c r="A101" i="5"/>
  <c r="H99" i="5"/>
  <c r="G99" i="5"/>
  <c r="E99" i="5"/>
  <c r="E98" i="5"/>
  <c r="E97" i="5"/>
  <c r="I96" i="5"/>
  <c r="H96" i="5"/>
  <c r="G96" i="5"/>
  <c r="F96" i="5"/>
  <c r="D95" i="5"/>
  <c r="C95" i="5"/>
  <c r="B95" i="5"/>
  <c r="A95" i="5"/>
  <c r="E93" i="5"/>
  <c r="I92" i="5"/>
  <c r="H92" i="5"/>
  <c r="G92" i="5"/>
  <c r="F92" i="5"/>
  <c r="I91" i="5"/>
  <c r="H91" i="5"/>
  <c r="G91" i="5"/>
  <c r="F91" i="5"/>
  <c r="D90" i="5"/>
  <c r="C90" i="5"/>
  <c r="B90" i="5"/>
  <c r="A90" i="5"/>
  <c r="H88" i="5"/>
  <c r="G88" i="5"/>
  <c r="E88" i="5"/>
  <c r="E87" i="5"/>
  <c r="E86" i="5"/>
  <c r="I85" i="5"/>
  <c r="H85" i="5"/>
  <c r="G85" i="5"/>
  <c r="F85" i="5"/>
  <c r="I84" i="5"/>
  <c r="H84" i="5"/>
  <c r="G84" i="5"/>
  <c r="F84" i="5"/>
  <c r="S83" i="5"/>
  <c r="D83" i="5"/>
  <c r="C83" i="5"/>
  <c r="B83" i="5"/>
  <c r="A83" i="5"/>
  <c r="H81" i="5"/>
  <c r="G81" i="5"/>
  <c r="E81" i="5"/>
  <c r="E80" i="5"/>
  <c r="E79" i="5"/>
  <c r="E78" i="5"/>
  <c r="I77" i="5"/>
  <c r="H77" i="5"/>
  <c r="G77" i="5"/>
  <c r="F77" i="5"/>
  <c r="I76" i="5"/>
  <c r="H76" i="5"/>
  <c r="G76" i="5"/>
  <c r="F76" i="5"/>
  <c r="I75" i="5"/>
  <c r="H75" i="5"/>
  <c r="G75" i="5"/>
  <c r="F75" i="5"/>
  <c r="U74" i="5"/>
  <c r="Q74" i="5"/>
  <c r="D74" i="5"/>
  <c r="C74" i="5"/>
  <c r="B74" i="5"/>
  <c r="A74" i="5"/>
  <c r="H72" i="5"/>
  <c r="G72" i="5"/>
  <c r="E72" i="5"/>
  <c r="E71" i="5"/>
  <c r="E70" i="5"/>
  <c r="E69" i="5"/>
  <c r="I68" i="5"/>
  <c r="H68" i="5"/>
  <c r="G68" i="5"/>
  <c r="F68" i="5"/>
  <c r="I67" i="5"/>
  <c r="H67" i="5"/>
  <c r="G67" i="5"/>
  <c r="F67" i="5"/>
  <c r="I66" i="5"/>
  <c r="H66" i="5"/>
  <c r="G66" i="5"/>
  <c r="F66" i="5"/>
  <c r="D65" i="5"/>
  <c r="C65" i="5"/>
  <c r="B65" i="5"/>
  <c r="A65" i="5"/>
  <c r="H63" i="5"/>
  <c r="G63" i="5"/>
  <c r="E63" i="5"/>
  <c r="E62" i="5"/>
  <c r="E61" i="5"/>
  <c r="I60" i="5"/>
  <c r="H60" i="5"/>
  <c r="G60" i="5"/>
  <c r="F60" i="5"/>
  <c r="S59" i="5"/>
  <c r="Q59" i="5"/>
  <c r="E59" i="5"/>
  <c r="D59" i="5"/>
  <c r="C59" i="5"/>
  <c r="B59" i="5"/>
  <c r="A59" i="5"/>
  <c r="H57" i="5"/>
  <c r="G57" i="5"/>
  <c r="E57" i="5"/>
  <c r="E56" i="5"/>
  <c r="E55" i="5"/>
  <c r="E54" i="5"/>
  <c r="I53" i="5"/>
  <c r="H53" i="5"/>
  <c r="G53" i="5"/>
  <c r="F53" i="5"/>
  <c r="I52" i="5"/>
  <c r="H52" i="5"/>
  <c r="G52" i="5"/>
  <c r="F52" i="5"/>
  <c r="I51" i="5"/>
  <c r="H51" i="5"/>
  <c r="G51" i="5"/>
  <c r="F51" i="5"/>
  <c r="Q50" i="5"/>
  <c r="D50" i="5"/>
  <c r="C50" i="5"/>
  <c r="B50" i="5"/>
  <c r="A50" i="5"/>
  <c r="H48" i="5"/>
  <c r="G48" i="5"/>
  <c r="E48" i="5"/>
  <c r="E47" i="5"/>
  <c r="E46" i="5"/>
  <c r="E45" i="5"/>
  <c r="I44" i="5"/>
  <c r="H44" i="5"/>
  <c r="G44" i="5"/>
  <c r="F44" i="5"/>
  <c r="I43" i="5"/>
  <c r="H43" i="5"/>
  <c r="G43" i="5"/>
  <c r="F43" i="5"/>
  <c r="I42" i="5"/>
  <c r="H42" i="5"/>
  <c r="G42" i="5"/>
  <c r="F42" i="5"/>
  <c r="D41" i="5"/>
  <c r="C41" i="5"/>
  <c r="B41" i="5"/>
  <c r="A41" i="5"/>
  <c r="K39" i="5"/>
  <c r="H39" i="5"/>
  <c r="G39" i="5"/>
  <c r="E39" i="5"/>
  <c r="E38" i="5"/>
  <c r="E37" i="5"/>
  <c r="I36" i="5"/>
  <c r="H36" i="5"/>
  <c r="G36" i="5"/>
  <c r="F36" i="5"/>
  <c r="D35" i="5"/>
  <c r="C35" i="5"/>
  <c r="B35" i="5"/>
  <c r="A35" i="5"/>
  <c r="A34" i="5"/>
  <c r="A32" i="5"/>
  <c r="A18" i="5"/>
  <c r="A10" i="5"/>
  <c r="B6" i="5"/>
  <c r="A1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1" i="3"/>
  <c r="CY1" i="3"/>
  <c r="CZ1" i="3"/>
  <c r="DB1" i="3" s="1"/>
  <c r="DA1" i="3"/>
  <c r="DC1" i="3"/>
  <c r="A2" i="3"/>
  <c r="CY2" i="3"/>
  <c r="CZ2" i="3"/>
  <c r="DB2" i="3" s="1"/>
  <c r="DA2" i="3"/>
  <c r="DC2" i="3"/>
  <c r="A3" i="3"/>
  <c r="CY3" i="3"/>
  <c r="CZ3" i="3"/>
  <c r="DB3" i="3" s="1"/>
  <c r="DA3" i="3"/>
  <c r="DC3" i="3"/>
  <c r="A4" i="3"/>
  <c r="CY4" i="3"/>
  <c r="CZ4" i="3"/>
  <c r="DB4" i="3" s="1"/>
  <c r="DA4" i="3"/>
  <c r="DC4" i="3"/>
  <c r="A5" i="3"/>
  <c r="CY5" i="3"/>
  <c r="CZ5" i="3"/>
  <c r="DA5" i="3"/>
  <c r="DB5" i="3"/>
  <c r="DC5" i="3"/>
  <c r="A6" i="3"/>
  <c r="CY6" i="3"/>
  <c r="CZ6" i="3"/>
  <c r="DB6" i="3" s="1"/>
  <c r="DA6" i="3"/>
  <c r="DC6" i="3"/>
  <c r="A7" i="3"/>
  <c r="CY7" i="3"/>
  <c r="CZ7" i="3"/>
  <c r="DB7" i="3" s="1"/>
  <c r="DA7" i="3"/>
  <c r="DC7" i="3"/>
  <c r="A8" i="3"/>
  <c r="CY8" i="3"/>
  <c r="CZ8" i="3"/>
  <c r="DA8" i="3"/>
  <c r="DB8" i="3"/>
  <c r="DC8" i="3"/>
  <c r="A9" i="3"/>
  <c r="CY9" i="3"/>
  <c r="CZ9" i="3"/>
  <c r="DB9" i="3" s="1"/>
  <c r="DA9" i="3"/>
  <c r="DC9" i="3"/>
  <c r="A10" i="3"/>
  <c r="CY10" i="3"/>
  <c r="CZ10" i="3"/>
  <c r="DB10" i="3" s="1"/>
  <c r="DA10" i="3"/>
  <c r="DC10" i="3"/>
  <c r="A11" i="3"/>
  <c r="CY11" i="3"/>
  <c r="CZ11" i="3"/>
  <c r="DB11" i="3" s="1"/>
  <c r="DA11" i="3"/>
  <c r="DC11" i="3"/>
  <c r="A12" i="3"/>
  <c r="CY12" i="3"/>
  <c r="CZ12" i="3"/>
  <c r="DB12" i="3" s="1"/>
  <c r="DA12" i="3"/>
  <c r="DC12" i="3"/>
  <c r="A13" i="3"/>
  <c r="CY13" i="3"/>
  <c r="CZ13" i="3"/>
  <c r="DB13" i="3" s="1"/>
  <c r="DA13" i="3"/>
  <c r="DC13" i="3"/>
  <c r="A14" i="3"/>
  <c r="CY14" i="3"/>
  <c r="CZ14" i="3"/>
  <c r="DB14" i="3" s="1"/>
  <c r="DA14" i="3"/>
  <c r="DC14" i="3"/>
  <c r="A15" i="3"/>
  <c r="CY15" i="3"/>
  <c r="CZ15" i="3"/>
  <c r="DB15" i="3" s="1"/>
  <c r="DA15" i="3"/>
  <c r="DC15" i="3"/>
  <c r="A16" i="3"/>
  <c r="CY16" i="3"/>
  <c r="CZ16" i="3"/>
  <c r="DB16" i="3" s="1"/>
  <c r="DA16" i="3"/>
  <c r="DC16" i="3"/>
  <c r="A17" i="3"/>
  <c r="CY17" i="3"/>
  <c r="CZ17" i="3"/>
  <c r="DB17" i="3" s="1"/>
  <c r="DA17" i="3"/>
  <c r="DC17" i="3"/>
  <c r="A18" i="3"/>
  <c r="CY18" i="3"/>
  <c r="CZ18" i="3"/>
  <c r="DB18" i="3" s="1"/>
  <c r="DA18" i="3"/>
  <c r="DC18" i="3"/>
  <c r="A19" i="3"/>
  <c r="CY19" i="3"/>
  <c r="CZ19" i="3"/>
  <c r="DB19" i="3" s="1"/>
  <c r="DA19" i="3"/>
  <c r="DC19" i="3"/>
  <c r="A20" i="3"/>
  <c r="CY20" i="3"/>
  <c r="CZ20" i="3"/>
  <c r="DB20" i="3" s="1"/>
  <c r="DA20" i="3"/>
  <c r="DC20" i="3"/>
  <c r="A21" i="3"/>
  <c r="CY21" i="3"/>
  <c r="CZ21" i="3"/>
  <c r="DA21" i="3"/>
  <c r="DB21" i="3"/>
  <c r="DC21" i="3"/>
  <c r="A22" i="3"/>
  <c r="CY22" i="3"/>
  <c r="CZ22" i="3"/>
  <c r="DB22" i="3" s="1"/>
  <c r="DA22" i="3"/>
  <c r="DC22" i="3"/>
  <c r="A23" i="3"/>
  <c r="CY23" i="3"/>
  <c r="CZ23" i="3"/>
  <c r="DB23" i="3" s="1"/>
  <c r="DA23" i="3"/>
  <c r="DC23" i="3"/>
  <c r="A24" i="3"/>
  <c r="CY24" i="3"/>
  <c r="CZ24" i="3"/>
  <c r="DA24" i="3"/>
  <c r="DB24" i="3"/>
  <c r="DC24" i="3"/>
  <c r="A25" i="3"/>
  <c r="CY25" i="3"/>
  <c r="CZ25" i="3"/>
  <c r="DB25" i="3" s="1"/>
  <c r="DA25" i="3"/>
  <c r="DC25" i="3"/>
  <c r="A26" i="3"/>
  <c r="CY26" i="3"/>
  <c r="CZ26" i="3"/>
  <c r="DB26" i="3" s="1"/>
  <c r="DA26" i="3"/>
  <c r="DC26" i="3"/>
  <c r="A27" i="3"/>
  <c r="CY27" i="3"/>
  <c r="CZ27" i="3"/>
  <c r="DB27" i="3" s="1"/>
  <c r="DA27" i="3"/>
  <c r="DC27" i="3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B30" i="3" s="1"/>
  <c r="DA30" i="3"/>
  <c r="DC30" i="3"/>
  <c r="A31" i="3"/>
  <c r="CY31" i="3"/>
  <c r="CZ31" i="3"/>
  <c r="DB31" i="3" s="1"/>
  <c r="DA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B34" i="3" s="1"/>
  <c r="DA34" i="3"/>
  <c r="DC34" i="3"/>
  <c r="A35" i="3"/>
  <c r="CY35" i="3"/>
  <c r="CZ35" i="3"/>
  <c r="DB35" i="3" s="1"/>
  <c r="DA35" i="3"/>
  <c r="DC35" i="3"/>
  <c r="A36" i="3"/>
  <c r="CY36" i="3"/>
  <c r="CZ36" i="3"/>
  <c r="DB36" i="3" s="1"/>
  <c r="DA36" i="3"/>
  <c r="DC36" i="3"/>
  <c r="A37" i="3"/>
  <c r="CY37" i="3"/>
  <c r="CZ37" i="3"/>
  <c r="DA37" i="3"/>
  <c r="DB37" i="3"/>
  <c r="DC37" i="3"/>
  <c r="A38" i="3"/>
  <c r="CY38" i="3"/>
  <c r="CZ38" i="3"/>
  <c r="DB38" i="3" s="1"/>
  <c r="DA38" i="3"/>
  <c r="DC38" i="3"/>
  <c r="A39" i="3"/>
  <c r="CY39" i="3"/>
  <c r="CZ39" i="3"/>
  <c r="DB39" i="3" s="1"/>
  <c r="DA39" i="3"/>
  <c r="DC39" i="3"/>
  <c r="A40" i="3"/>
  <c r="CY40" i="3"/>
  <c r="CZ40" i="3"/>
  <c r="DA40" i="3"/>
  <c r="DB40" i="3"/>
  <c r="DC40" i="3"/>
  <c r="A41" i="3"/>
  <c r="CY41" i="3"/>
  <c r="CZ41" i="3"/>
  <c r="DB41" i="3" s="1"/>
  <c r="DA41" i="3"/>
  <c r="DC41" i="3"/>
  <c r="A42" i="3"/>
  <c r="CY42" i="3"/>
  <c r="CZ42" i="3"/>
  <c r="DB42" i="3" s="1"/>
  <c r="DA42" i="3"/>
  <c r="DC42" i="3"/>
  <c r="A43" i="3"/>
  <c r="CY43" i="3"/>
  <c r="CZ43" i="3"/>
  <c r="DB43" i="3" s="1"/>
  <c r="DA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B46" i="3" s="1"/>
  <c r="DA46" i="3"/>
  <c r="DC46" i="3"/>
  <c r="A47" i="3"/>
  <c r="CY47" i="3"/>
  <c r="CZ47" i="3"/>
  <c r="DB47" i="3" s="1"/>
  <c r="DA47" i="3"/>
  <c r="DC47" i="3"/>
  <c r="A48" i="3"/>
  <c r="CY48" i="3"/>
  <c r="CZ48" i="3"/>
  <c r="DB48" i="3" s="1"/>
  <c r="DA48" i="3"/>
  <c r="DC48" i="3"/>
  <c r="A49" i="3"/>
  <c r="CY49" i="3"/>
  <c r="CZ49" i="3"/>
  <c r="DA49" i="3"/>
  <c r="DB49" i="3"/>
  <c r="DC49" i="3"/>
  <c r="A50" i="3"/>
  <c r="CY50" i="3"/>
  <c r="CZ50" i="3"/>
  <c r="DB50" i="3" s="1"/>
  <c r="DA50" i="3"/>
  <c r="DC50" i="3"/>
  <c r="A51" i="3"/>
  <c r="CY51" i="3"/>
  <c r="CZ51" i="3"/>
  <c r="DB51" i="3" s="1"/>
  <c r="DA51" i="3"/>
  <c r="DC51" i="3"/>
  <c r="A52" i="3"/>
  <c r="CY52" i="3"/>
  <c r="CZ52" i="3"/>
  <c r="DA52" i="3"/>
  <c r="DB52" i="3"/>
  <c r="DC52" i="3"/>
  <c r="A53" i="3"/>
  <c r="CY53" i="3"/>
  <c r="CZ53" i="3"/>
  <c r="DA53" i="3"/>
  <c r="DB53" i="3"/>
  <c r="DC53" i="3"/>
  <c r="A54" i="3"/>
  <c r="CY54" i="3"/>
  <c r="CZ54" i="3"/>
  <c r="DB54" i="3" s="1"/>
  <c r="DA54" i="3"/>
  <c r="DC54" i="3"/>
  <c r="A55" i="3"/>
  <c r="CY55" i="3"/>
  <c r="CZ55" i="3"/>
  <c r="DB55" i="3" s="1"/>
  <c r="DA55" i="3"/>
  <c r="DC55" i="3"/>
  <c r="A56" i="3"/>
  <c r="CY56" i="3"/>
  <c r="CZ56" i="3"/>
  <c r="DA56" i="3"/>
  <c r="DB56" i="3"/>
  <c r="DC56" i="3"/>
  <c r="A57" i="3"/>
  <c r="CY57" i="3"/>
  <c r="CZ57" i="3"/>
  <c r="DB57" i="3" s="1"/>
  <c r="DA57" i="3"/>
  <c r="DC57" i="3"/>
  <c r="A58" i="3"/>
  <c r="CY58" i="3"/>
  <c r="CZ58" i="3"/>
  <c r="DB58" i="3" s="1"/>
  <c r="DA58" i="3"/>
  <c r="DC58" i="3"/>
  <c r="A59" i="3"/>
  <c r="CY59" i="3"/>
  <c r="CZ59" i="3"/>
  <c r="DB59" i="3" s="1"/>
  <c r="DA59" i="3"/>
  <c r="DC59" i="3"/>
  <c r="A60" i="3"/>
  <c r="CY60" i="3"/>
  <c r="CZ60" i="3"/>
  <c r="DB60" i="3" s="1"/>
  <c r="DA60" i="3"/>
  <c r="DC60" i="3"/>
  <c r="A61" i="3"/>
  <c r="CY61" i="3"/>
  <c r="CZ61" i="3"/>
  <c r="DA61" i="3"/>
  <c r="DB61" i="3"/>
  <c r="DC61" i="3"/>
  <c r="A62" i="3"/>
  <c r="CY62" i="3"/>
  <c r="CZ62" i="3"/>
  <c r="DB62" i="3" s="1"/>
  <c r="DA62" i="3"/>
  <c r="DC62" i="3"/>
  <c r="A63" i="3"/>
  <c r="CY63" i="3"/>
  <c r="CZ63" i="3"/>
  <c r="DB63" i="3" s="1"/>
  <c r="DA63" i="3"/>
  <c r="DC63" i="3"/>
  <c r="A64" i="3"/>
  <c r="CY64" i="3"/>
  <c r="CZ64" i="3"/>
  <c r="DA64" i="3"/>
  <c r="DB64" i="3"/>
  <c r="DC64" i="3"/>
  <c r="A65" i="3"/>
  <c r="CY65" i="3"/>
  <c r="CZ65" i="3"/>
  <c r="DB65" i="3" s="1"/>
  <c r="DA65" i="3"/>
  <c r="DC65" i="3"/>
  <c r="A66" i="3"/>
  <c r="CY66" i="3"/>
  <c r="CZ66" i="3"/>
  <c r="DB66" i="3" s="1"/>
  <c r="DA66" i="3"/>
  <c r="DC66" i="3"/>
  <c r="A67" i="3"/>
  <c r="CY67" i="3"/>
  <c r="CZ67" i="3"/>
  <c r="DB67" i="3" s="1"/>
  <c r="DA67" i="3"/>
  <c r="DC67" i="3"/>
  <c r="A68" i="3"/>
  <c r="CY68" i="3"/>
  <c r="CZ68" i="3"/>
  <c r="DB68" i="3" s="1"/>
  <c r="DA68" i="3"/>
  <c r="DC68" i="3"/>
  <c r="A69" i="3"/>
  <c r="CY69" i="3"/>
  <c r="CZ69" i="3"/>
  <c r="DA69" i="3"/>
  <c r="DB69" i="3"/>
  <c r="DC69" i="3"/>
  <c r="A70" i="3"/>
  <c r="CY70" i="3"/>
  <c r="CZ70" i="3"/>
  <c r="DB70" i="3" s="1"/>
  <c r="DA70" i="3"/>
  <c r="DC70" i="3"/>
  <c r="A71" i="3"/>
  <c r="CY71" i="3"/>
  <c r="CZ71" i="3"/>
  <c r="DB71" i="3" s="1"/>
  <c r="DA71" i="3"/>
  <c r="DC71" i="3"/>
  <c r="A72" i="3"/>
  <c r="CY72" i="3"/>
  <c r="CZ72" i="3"/>
  <c r="DA72" i="3"/>
  <c r="DB72" i="3"/>
  <c r="DC72" i="3"/>
  <c r="A73" i="3"/>
  <c r="CY73" i="3"/>
  <c r="CZ73" i="3"/>
  <c r="DB73" i="3" s="1"/>
  <c r="DA73" i="3"/>
  <c r="DC73" i="3"/>
  <c r="A74" i="3"/>
  <c r="CY74" i="3"/>
  <c r="CZ74" i="3"/>
  <c r="DB74" i="3" s="1"/>
  <c r="DA74" i="3"/>
  <c r="DC74" i="3"/>
  <c r="A75" i="3"/>
  <c r="CY75" i="3"/>
  <c r="CZ75" i="3"/>
  <c r="DB75" i="3" s="1"/>
  <c r="DA75" i="3"/>
  <c r="DC75" i="3"/>
  <c r="A76" i="3"/>
  <c r="CY76" i="3"/>
  <c r="CZ76" i="3"/>
  <c r="DB76" i="3" s="1"/>
  <c r="DA76" i="3"/>
  <c r="DC76" i="3"/>
  <c r="A77" i="3"/>
  <c r="CY77" i="3"/>
  <c r="CZ77" i="3"/>
  <c r="DB77" i="3" s="1"/>
  <c r="DA77" i="3"/>
  <c r="DC77" i="3"/>
  <c r="A78" i="3"/>
  <c r="CY78" i="3"/>
  <c r="CZ78" i="3"/>
  <c r="DB78" i="3" s="1"/>
  <c r="DA78" i="3"/>
  <c r="DC78" i="3"/>
  <c r="A79" i="3"/>
  <c r="CY79" i="3"/>
  <c r="CZ79" i="3"/>
  <c r="DB79" i="3" s="1"/>
  <c r="DA79" i="3"/>
  <c r="DC79" i="3"/>
  <c r="A80" i="3"/>
  <c r="CY80" i="3"/>
  <c r="CZ80" i="3"/>
  <c r="DB80" i="3" s="1"/>
  <c r="DA80" i="3"/>
  <c r="DC80" i="3"/>
  <c r="A81" i="3"/>
  <c r="CY81" i="3"/>
  <c r="CZ81" i="3"/>
  <c r="DB81" i="3" s="1"/>
  <c r="DA81" i="3"/>
  <c r="DC81" i="3"/>
  <c r="A82" i="3"/>
  <c r="CY82" i="3"/>
  <c r="CZ82" i="3"/>
  <c r="DB82" i="3" s="1"/>
  <c r="DA82" i="3"/>
  <c r="DC82" i="3"/>
  <c r="A83" i="3"/>
  <c r="CY83" i="3"/>
  <c r="CZ83" i="3"/>
  <c r="DB83" i="3" s="1"/>
  <c r="DA83" i="3"/>
  <c r="DC83" i="3"/>
  <c r="A84" i="3"/>
  <c r="CY84" i="3"/>
  <c r="CZ84" i="3"/>
  <c r="DB84" i="3" s="1"/>
  <c r="DA84" i="3"/>
  <c r="DC84" i="3"/>
  <c r="A85" i="3"/>
  <c r="CY85" i="3"/>
  <c r="CZ85" i="3"/>
  <c r="DA85" i="3"/>
  <c r="DB85" i="3"/>
  <c r="DC85" i="3"/>
  <c r="A86" i="3"/>
  <c r="CY86" i="3"/>
  <c r="CZ86" i="3"/>
  <c r="DB86" i="3" s="1"/>
  <c r="DA86" i="3"/>
  <c r="DC86" i="3"/>
  <c r="A87" i="3"/>
  <c r="CY87" i="3"/>
  <c r="CZ87" i="3"/>
  <c r="DB87" i="3" s="1"/>
  <c r="DA87" i="3"/>
  <c r="DC87" i="3"/>
  <c r="A88" i="3"/>
  <c r="CY88" i="3"/>
  <c r="CZ88" i="3"/>
  <c r="DA88" i="3"/>
  <c r="DB88" i="3"/>
  <c r="DC88" i="3"/>
  <c r="A89" i="3"/>
  <c r="CY89" i="3"/>
  <c r="CZ89" i="3"/>
  <c r="DB89" i="3" s="1"/>
  <c r="DA89" i="3"/>
  <c r="DC89" i="3"/>
  <c r="A90" i="3"/>
  <c r="CY90" i="3"/>
  <c r="CZ90" i="3"/>
  <c r="DB90" i="3" s="1"/>
  <c r="DA90" i="3"/>
  <c r="DC90" i="3"/>
  <c r="A91" i="3"/>
  <c r="CY91" i="3"/>
  <c r="CZ91" i="3"/>
  <c r="DB91" i="3" s="1"/>
  <c r="DA91" i="3"/>
  <c r="DC91" i="3"/>
  <c r="A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Y94" i="3"/>
  <c r="CZ94" i="3"/>
  <c r="DB94" i="3" s="1"/>
  <c r="DA94" i="3"/>
  <c r="DC94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D28" i="1"/>
  <c r="I28" i="1"/>
  <c r="AC28" i="1"/>
  <c r="AE28" i="1"/>
  <c r="AF28" i="1"/>
  <c r="CT28" i="1" s="1"/>
  <c r="S28" i="1" s="1"/>
  <c r="AG28" i="1"/>
  <c r="CU28" i="1" s="1"/>
  <c r="T28" i="1" s="1"/>
  <c r="AH28" i="1"/>
  <c r="CV28" i="1" s="1"/>
  <c r="U28" i="1" s="1"/>
  <c r="AI28" i="1"/>
  <c r="AJ28" i="1"/>
  <c r="CW28" i="1"/>
  <c r="V28" i="1" s="1"/>
  <c r="CX28" i="1"/>
  <c r="W28" i="1" s="1"/>
  <c r="FR28" i="1"/>
  <c r="GL28" i="1"/>
  <c r="GN28" i="1"/>
  <c r="GO28" i="1"/>
  <c r="GV28" i="1"/>
  <c r="HC28" i="1"/>
  <c r="GX28" i="1" s="1"/>
  <c r="D29" i="1"/>
  <c r="AC29" i="1"/>
  <c r="CQ29" i="1" s="1"/>
  <c r="P29" i="1" s="1"/>
  <c r="AE29" i="1"/>
  <c r="AF29" i="1"/>
  <c r="CT29" i="1" s="1"/>
  <c r="S29" i="1" s="1"/>
  <c r="CY29" i="1" s="1"/>
  <c r="X29" i="1" s="1"/>
  <c r="AG29" i="1"/>
  <c r="AH29" i="1"/>
  <c r="AI29" i="1"/>
  <c r="CW29" i="1" s="1"/>
  <c r="V29" i="1" s="1"/>
  <c r="AJ29" i="1"/>
  <c r="CX29" i="1" s="1"/>
  <c r="W29" i="1" s="1"/>
  <c r="CU29" i="1"/>
  <c r="T29" i="1" s="1"/>
  <c r="CV29" i="1"/>
  <c r="U29" i="1" s="1"/>
  <c r="CZ29" i="1"/>
  <c r="Y29" i="1" s="1"/>
  <c r="FR29" i="1"/>
  <c r="GL29" i="1"/>
  <c r="GN29" i="1"/>
  <c r="GO29" i="1"/>
  <c r="GV29" i="1"/>
  <c r="HC29" i="1" s="1"/>
  <c r="GX29" i="1" s="1"/>
  <c r="D30" i="1"/>
  <c r="I30" i="1"/>
  <c r="I31" i="1" s="1"/>
  <c r="AC30" i="1"/>
  <c r="CQ30" i="1" s="1"/>
  <c r="AE30" i="1"/>
  <c r="AD30" i="1" s="1"/>
  <c r="AF30" i="1"/>
  <c r="CT30" i="1" s="1"/>
  <c r="AG30" i="1"/>
  <c r="CU30" i="1" s="1"/>
  <c r="AH30" i="1"/>
  <c r="CV30" i="1" s="1"/>
  <c r="AI30" i="1"/>
  <c r="CW30" i="1" s="1"/>
  <c r="V30" i="1" s="1"/>
  <c r="AJ30" i="1"/>
  <c r="CX30" i="1" s="1"/>
  <c r="W30" i="1" s="1"/>
  <c r="CR30" i="1"/>
  <c r="FR30" i="1"/>
  <c r="GL30" i="1"/>
  <c r="GN30" i="1"/>
  <c r="GO30" i="1"/>
  <c r="GV30" i="1"/>
  <c r="HC30" i="1" s="1"/>
  <c r="D31" i="1"/>
  <c r="AC31" i="1"/>
  <c r="AD31" i="1"/>
  <c r="AE31" i="1"/>
  <c r="CR31" i="1" s="1"/>
  <c r="AF31" i="1"/>
  <c r="AG31" i="1"/>
  <c r="CU31" i="1" s="1"/>
  <c r="AH31" i="1"/>
  <c r="CV31" i="1" s="1"/>
  <c r="AI31" i="1"/>
  <c r="AJ31" i="1"/>
  <c r="CS31" i="1"/>
  <c r="CT31" i="1"/>
  <c r="S31" i="1" s="1"/>
  <c r="CW31" i="1"/>
  <c r="CX31" i="1"/>
  <c r="FR31" i="1"/>
  <c r="GL31" i="1"/>
  <c r="GN31" i="1"/>
  <c r="GO31" i="1"/>
  <c r="GV31" i="1"/>
  <c r="HC31" i="1" s="1"/>
  <c r="GX31" i="1" s="1"/>
  <c r="D32" i="1"/>
  <c r="I32" i="1"/>
  <c r="P32" i="1"/>
  <c r="AC32" i="1"/>
  <c r="AE32" i="1"/>
  <c r="AF32" i="1"/>
  <c r="CT32" i="1" s="1"/>
  <c r="S32" i="1" s="1"/>
  <c r="CZ32" i="1" s="1"/>
  <c r="Y32" i="1" s="1"/>
  <c r="AG32" i="1"/>
  <c r="CU32" i="1" s="1"/>
  <c r="T32" i="1" s="1"/>
  <c r="AH32" i="1"/>
  <c r="CV32" i="1" s="1"/>
  <c r="U32" i="1" s="1"/>
  <c r="AI32" i="1"/>
  <c r="CW32" i="1" s="1"/>
  <c r="V32" i="1" s="1"/>
  <c r="AJ32" i="1"/>
  <c r="CQ32" i="1"/>
  <c r="CX32" i="1"/>
  <c r="W32" i="1" s="1"/>
  <c r="FR32" i="1"/>
  <c r="GL32" i="1"/>
  <c r="GN32" i="1"/>
  <c r="GO32" i="1"/>
  <c r="GV32" i="1"/>
  <c r="HC32" i="1" s="1"/>
  <c r="D33" i="1"/>
  <c r="I33" i="1"/>
  <c r="AC33" i="1"/>
  <c r="CQ33" i="1" s="1"/>
  <c r="P33" i="1" s="1"/>
  <c r="AE33" i="1"/>
  <c r="AF33" i="1"/>
  <c r="CT33" i="1" s="1"/>
  <c r="AG33" i="1"/>
  <c r="CU33" i="1" s="1"/>
  <c r="AH33" i="1"/>
  <c r="AI33" i="1"/>
  <c r="CW33" i="1" s="1"/>
  <c r="AJ33" i="1"/>
  <c r="CX33" i="1" s="1"/>
  <c r="CV33" i="1"/>
  <c r="U33" i="1" s="1"/>
  <c r="FR33" i="1"/>
  <c r="GL33" i="1"/>
  <c r="GN33" i="1"/>
  <c r="GO33" i="1"/>
  <c r="GV33" i="1"/>
  <c r="HC33" i="1"/>
  <c r="GX33" i="1" s="1"/>
  <c r="D34" i="1"/>
  <c r="I34" i="1"/>
  <c r="AC34" i="1"/>
  <c r="AE34" i="1"/>
  <c r="CS34" i="1" s="1"/>
  <c r="R34" i="1" s="1"/>
  <c r="GK34" i="1" s="1"/>
  <c r="AF34" i="1"/>
  <c r="AG34" i="1"/>
  <c r="CU34" i="1" s="1"/>
  <c r="T34" i="1" s="1"/>
  <c r="AH34" i="1"/>
  <c r="CV34" i="1" s="1"/>
  <c r="U34" i="1" s="1"/>
  <c r="AI34" i="1"/>
  <c r="CW34" i="1" s="1"/>
  <c r="V34" i="1" s="1"/>
  <c r="AJ34" i="1"/>
  <c r="CQ34" i="1"/>
  <c r="P34" i="1" s="1"/>
  <c r="CT34" i="1"/>
  <c r="S34" i="1" s="1"/>
  <c r="CZ34" i="1" s="1"/>
  <c r="Y34" i="1" s="1"/>
  <c r="CX34" i="1"/>
  <c r="W34" i="1" s="1"/>
  <c r="FR34" i="1"/>
  <c r="GL34" i="1"/>
  <c r="GN34" i="1"/>
  <c r="GO34" i="1"/>
  <c r="GV34" i="1"/>
  <c r="HC34" i="1"/>
  <c r="GX34" i="1" s="1"/>
  <c r="D35" i="1"/>
  <c r="I35" i="1"/>
  <c r="AC35" i="1"/>
  <c r="AE35" i="1"/>
  <c r="AF35" i="1"/>
  <c r="CT35" i="1" s="1"/>
  <c r="AG35" i="1"/>
  <c r="CU35" i="1" s="1"/>
  <c r="AH35" i="1"/>
  <c r="CV35" i="1" s="1"/>
  <c r="AI35" i="1"/>
  <c r="CW35" i="1" s="1"/>
  <c r="AJ35" i="1"/>
  <c r="CX35" i="1" s="1"/>
  <c r="CQ35" i="1"/>
  <c r="CR35" i="1"/>
  <c r="FR35" i="1"/>
  <c r="GL35" i="1"/>
  <c r="GN35" i="1"/>
  <c r="GO35" i="1"/>
  <c r="GV35" i="1"/>
  <c r="HC35" i="1" s="1"/>
  <c r="D36" i="1"/>
  <c r="I36" i="1"/>
  <c r="AC36" i="1"/>
  <c r="AE36" i="1"/>
  <c r="AF36" i="1"/>
  <c r="CT36" i="1" s="1"/>
  <c r="S36" i="1" s="1"/>
  <c r="AG36" i="1"/>
  <c r="CU36" i="1" s="1"/>
  <c r="T36" i="1" s="1"/>
  <c r="AH36" i="1"/>
  <c r="AI36" i="1"/>
  <c r="AJ36" i="1"/>
  <c r="CX36" i="1" s="1"/>
  <c r="W36" i="1" s="1"/>
  <c r="CS36" i="1"/>
  <c r="R36" i="1" s="1"/>
  <c r="GK36" i="1" s="1"/>
  <c r="CV36" i="1"/>
  <c r="U36" i="1" s="1"/>
  <c r="CW36" i="1"/>
  <c r="V36" i="1" s="1"/>
  <c r="FR36" i="1"/>
  <c r="GL36" i="1"/>
  <c r="GN36" i="1"/>
  <c r="GO36" i="1"/>
  <c r="GV36" i="1"/>
  <c r="HC36" i="1" s="1"/>
  <c r="GX36" i="1" s="1"/>
  <c r="D37" i="1"/>
  <c r="I37" i="1"/>
  <c r="AC37" i="1"/>
  <c r="AE37" i="1"/>
  <c r="AD37" i="1" s="1"/>
  <c r="AF37" i="1"/>
  <c r="CT37" i="1" s="1"/>
  <c r="S37" i="1" s="1"/>
  <c r="AG37" i="1"/>
  <c r="CU37" i="1" s="1"/>
  <c r="AH37" i="1"/>
  <c r="AI37" i="1"/>
  <c r="CW37" i="1" s="1"/>
  <c r="AJ37" i="1"/>
  <c r="CX37" i="1" s="1"/>
  <c r="W37" i="1" s="1"/>
  <c r="CR37" i="1"/>
  <c r="Q37" i="1" s="1"/>
  <c r="CV37" i="1"/>
  <c r="FR37" i="1"/>
  <c r="GL37" i="1"/>
  <c r="GN37" i="1"/>
  <c r="GO37" i="1"/>
  <c r="GV37" i="1"/>
  <c r="HC37" i="1" s="1"/>
  <c r="GX37" i="1" s="1"/>
  <c r="D38" i="1"/>
  <c r="I38" i="1"/>
  <c r="T38" i="1"/>
  <c r="AC38" i="1"/>
  <c r="AE38" i="1"/>
  <c r="AF38" i="1"/>
  <c r="CT38" i="1" s="1"/>
  <c r="S38" i="1" s="1"/>
  <c r="AG38" i="1"/>
  <c r="AH38" i="1"/>
  <c r="CV38" i="1" s="1"/>
  <c r="U38" i="1" s="1"/>
  <c r="AI38" i="1"/>
  <c r="CW38" i="1" s="1"/>
  <c r="V38" i="1" s="1"/>
  <c r="AJ38" i="1"/>
  <c r="CX38" i="1" s="1"/>
  <c r="W38" i="1" s="1"/>
  <c r="CQ38" i="1"/>
  <c r="P38" i="1" s="1"/>
  <c r="CS38" i="1"/>
  <c r="R38" i="1" s="1"/>
  <c r="GK38" i="1" s="1"/>
  <c r="CU38" i="1"/>
  <c r="FR38" i="1"/>
  <c r="GL38" i="1"/>
  <c r="GN38" i="1"/>
  <c r="GO38" i="1"/>
  <c r="GV38" i="1"/>
  <c r="HC38" i="1"/>
  <c r="GX38" i="1" s="1"/>
  <c r="D39" i="1"/>
  <c r="I39" i="1"/>
  <c r="AC39" i="1"/>
  <c r="AE39" i="1"/>
  <c r="CR39" i="1" s="1"/>
  <c r="AF39" i="1"/>
  <c r="AG39" i="1"/>
  <c r="AH39" i="1"/>
  <c r="AI39" i="1"/>
  <c r="CW39" i="1" s="1"/>
  <c r="AJ39" i="1"/>
  <c r="CX39" i="1" s="1"/>
  <c r="W39" i="1" s="1"/>
  <c r="CQ39" i="1"/>
  <c r="CT39" i="1"/>
  <c r="CU39" i="1"/>
  <c r="CV39" i="1"/>
  <c r="FR39" i="1"/>
  <c r="GL39" i="1"/>
  <c r="GN39" i="1"/>
  <c r="GO39" i="1"/>
  <c r="GV39" i="1"/>
  <c r="HC39" i="1" s="1"/>
  <c r="D40" i="1"/>
  <c r="I40" i="1"/>
  <c r="AC40" i="1"/>
  <c r="CQ40" i="1" s="1"/>
  <c r="P40" i="1" s="1"/>
  <c r="AE40" i="1"/>
  <c r="AD40" i="1" s="1"/>
  <c r="AF40" i="1"/>
  <c r="CT40" i="1" s="1"/>
  <c r="S40" i="1" s="1"/>
  <c r="AG40" i="1"/>
  <c r="CU40" i="1" s="1"/>
  <c r="AH40" i="1"/>
  <c r="CV40" i="1" s="1"/>
  <c r="AI40" i="1"/>
  <c r="CW40" i="1" s="1"/>
  <c r="V40" i="1" s="1"/>
  <c r="AJ40" i="1"/>
  <c r="CX40" i="1" s="1"/>
  <c r="W40" i="1" s="1"/>
  <c r="FR40" i="1"/>
  <c r="GL40" i="1"/>
  <c r="GN40" i="1"/>
  <c r="GO40" i="1"/>
  <c r="GV40" i="1"/>
  <c r="HC40" i="1" s="1"/>
  <c r="GX40" i="1"/>
  <c r="D41" i="1"/>
  <c r="I41" i="1"/>
  <c r="AC41" i="1"/>
  <c r="AE41" i="1"/>
  <c r="AF41" i="1"/>
  <c r="CT41" i="1" s="1"/>
  <c r="S41" i="1" s="1"/>
  <c r="AG41" i="1"/>
  <c r="CU41" i="1" s="1"/>
  <c r="AH41" i="1"/>
  <c r="AI41" i="1"/>
  <c r="CW41" i="1" s="1"/>
  <c r="AJ41" i="1"/>
  <c r="CX41" i="1" s="1"/>
  <c r="W41" i="1" s="1"/>
  <c r="CV41" i="1"/>
  <c r="U41" i="1" s="1"/>
  <c r="FR41" i="1"/>
  <c r="GL41" i="1"/>
  <c r="GN41" i="1"/>
  <c r="GO41" i="1"/>
  <c r="GV41" i="1"/>
  <c r="HC41" i="1" s="1"/>
  <c r="GX41" i="1" s="1"/>
  <c r="D42" i="1"/>
  <c r="I42" i="1"/>
  <c r="T42" i="1"/>
  <c r="AC42" i="1"/>
  <c r="AB42" i="1" s="1"/>
  <c r="AE42" i="1"/>
  <c r="AD42" i="1" s="1"/>
  <c r="AF42" i="1"/>
  <c r="AG42" i="1"/>
  <c r="AH42" i="1"/>
  <c r="CV42" i="1" s="1"/>
  <c r="AI42" i="1"/>
  <c r="CW42" i="1" s="1"/>
  <c r="V42" i="1" s="1"/>
  <c r="AJ42" i="1"/>
  <c r="CX42" i="1" s="1"/>
  <c r="W42" i="1" s="1"/>
  <c r="CS42" i="1"/>
  <c r="R42" i="1" s="1"/>
  <c r="GK42" i="1" s="1"/>
  <c r="CT42" i="1"/>
  <c r="S42" i="1" s="1"/>
  <c r="CZ42" i="1" s="1"/>
  <c r="Y42" i="1" s="1"/>
  <c r="CU42" i="1"/>
  <c r="CY42" i="1"/>
  <c r="X42" i="1" s="1"/>
  <c r="FR42" i="1"/>
  <c r="GL42" i="1"/>
  <c r="GN42" i="1"/>
  <c r="GO42" i="1"/>
  <c r="GV42" i="1"/>
  <c r="HC42" i="1" s="1"/>
  <c r="D43" i="1"/>
  <c r="I43" i="1"/>
  <c r="AC43" i="1"/>
  <c r="CQ43" i="1" s="1"/>
  <c r="P43" i="1" s="1"/>
  <c r="AE43" i="1"/>
  <c r="CR43" i="1" s="1"/>
  <c r="Q43" i="1" s="1"/>
  <c r="AF43" i="1"/>
  <c r="CT43" i="1" s="1"/>
  <c r="S43" i="1" s="1"/>
  <c r="CY43" i="1" s="1"/>
  <c r="X43" i="1" s="1"/>
  <c r="AG43" i="1"/>
  <c r="CU43" i="1" s="1"/>
  <c r="T43" i="1" s="1"/>
  <c r="AH43" i="1"/>
  <c r="AI43" i="1"/>
  <c r="CW43" i="1" s="1"/>
  <c r="AJ43" i="1"/>
  <c r="CX43" i="1" s="1"/>
  <c r="CV43" i="1"/>
  <c r="U43" i="1" s="1"/>
  <c r="FR43" i="1"/>
  <c r="GL43" i="1"/>
  <c r="GN43" i="1"/>
  <c r="GO43" i="1"/>
  <c r="GV43" i="1"/>
  <c r="HC43" i="1" s="1"/>
  <c r="GX43" i="1" s="1"/>
  <c r="D44" i="1"/>
  <c r="I44" i="1"/>
  <c r="AC44" i="1"/>
  <c r="CQ44" i="1" s="1"/>
  <c r="AE44" i="1"/>
  <c r="AD44" i="1" s="1"/>
  <c r="AF44" i="1"/>
  <c r="CT44" i="1" s="1"/>
  <c r="AG44" i="1"/>
  <c r="AH44" i="1"/>
  <c r="CV44" i="1" s="1"/>
  <c r="AI44" i="1"/>
  <c r="CW44" i="1" s="1"/>
  <c r="AJ44" i="1"/>
  <c r="CX44" i="1" s="1"/>
  <c r="CS44" i="1"/>
  <c r="R44" i="1" s="1"/>
  <c r="GK44" i="1" s="1"/>
  <c r="CU44" i="1"/>
  <c r="FR44" i="1"/>
  <c r="GL44" i="1"/>
  <c r="GN44" i="1"/>
  <c r="GO44" i="1"/>
  <c r="GV44" i="1"/>
  <c r="HC44" i="1" s="1"/>
  <c r="D45" i="1"/>
  <c r="I45" i="1"/>
  <c r="AC45" i="1"/>
  <c r="AE45" i="1"/>
  <c r="AF45" i="1"/>
  <c r="AG45" i="1"/>
  <c r="CU45" i="1" s="1"/>
  <c r="T45" i="1" s="1"/>
  <c r="AH45" i="1"/>
  <c r="AI45" i="1"/>
  <c r="CW45" i="1" s="1"/>
  <c r="V45" i="1" s="1"/>
  <c r="AJ45" i="1"/>
  <c r="CT45" i="1"/>
  <c r="S45" i="1" s="1"/>
  <c r="CV45" i="1"/>
  <c r="U45" i="1" s="1"/>
  <c r="CX45" i="1"/>
  <c r="W45" i="1" s="1"/>
  <c r="FR45" i="1"/>
  <c r="GL45" i="1"/>
  <c r="GN45" i="1"/>
  <c r="GO45" i="1"/>
  <c r="GV45" i="1"/>
  <c r="HC45" i="1"/>
  <c r="GX45" i="1" s="1"/>
  <c r="D46" i="1"/>
  <c r="I46" i="1"/>
  <c r="AC46" i="1"/>
  <c r="AE46" i="1"/>
  <c r="AF46" i="1"/>
  <c r="AG46" i="1"/>
  <c r="AH46" i="1"/>
  <c r="CV46" i="1" s="1"/>
  <c r="U46" i="1" s="1"/>
  <c r="AI46" i="1"/>
  <c r="AJ46" i="1"/>
  <c r="CQ46" i="1"/>
  <c r="CT46" i="1"/>
  <c r="S46" i="1" s="1"/>
  <c r="CU46" i="1"/>
  <c r="T46" i="1" s="1"/>
  <c r="CW46" i="1"/>
  <c r="V46" i="1" s="1"/>
  <c r="CX46" i="1"/>
  <c r="W46" i="1" s="1"/>
  <c r="FR46" i="1"/>
  <c r="GL46" i="1"/>
  <c r="GN46" i="1"/>
  <c r="GO46" i="1"/>
  <c r="GV46" i="1"/>
  <c r="HC46" i="1" s="1"/>
  <c r="GX46" i="1"/>
  <c r="D47" i="1"/>
  <c r="I47" i="1"/>
  <c r="AC47" i="1"/>
  <c r="CQ47" i="1" s="1"/>
  <c r="P47" i="1" s="1"/>
  <c r="AE47" i="1"/>
  <c r="AF47" i="1"/>
  <c r="CT47" i="1" s="1"/>
  <c r="S47" i="1" s="1"/>
  <c r="CY47" i="1" s="1"/>
  <c r="X47" i="1" s="1"/>
  <c r="AG47" i="1"/>
  <c r="CU47" i="1" s="1"/>
  <c r="T47" i="1" s="1"/>
  <c r="AH47" i="1"/>
  <c r="CV47" i="1" s="1"/>
  <c r="U47" i="1" s="1"/>
  <c r="AI47" i="1"/>
  <c r="CW47" i="1" s="1"/>
  <c r="V47" i="1" s="1"/>
  <c r="AJ47" i="1"/>
  <c r="CX47" i="1"/>
  <c r="W47" i="1" s="1"/>
  <c r="CZ47" i="1"/>
  <c r="Y47" i="1" s="1"/>
  <c r="FR47" i="1"/>
  <c r="GL47" i="1"/>
  <c r="GN47" i="1"/>
  <c r="GO47" i="1"/>
  <c r="GV47" i="1"/>
  <c r="HC47" i="1" s="1"/>
  <c r="GX47" i="1" s="1"/>
  <c r="D48" i="1"/>
  <c r="W48" i="1"/>
  <c r="AC48" i="1"/>
  <c r="AE48" i="1"/>
  <c r="AD48" i="1" s="1"/>
  <c r="AF48" i="1"/>
  <c r="AG48" i="1"/>
  <c r="CU48" i="1" s="1"/>
  <c r="T48" i="1" s="1"/>
  <c r="AH48" i="1"/>
  <c r="AI48" i="1"/>
  <c r="AJ48" i="1"/>
  <c r="CX48" i="1" s="1"/>
  <c r="CR48" i="1"/>
  <c r="Q48" i="1" s="1"/>
  <c r="CT48" i="1"/>
  <c r="S48" i="1" s="1"/>
  <c r="CV48" i="1"/>
  <c r="U48" i="1" s="1"/>
  <c r="CW48" i="1"/>
  <c r="V48" i="1" s="1"/>
  <c r="FR48" i="1"/>
  <c r="GL48" i="1"/>
  <c r="GN48" i="1"/>
  <c r="GO48" i="1"/>
  <c r="GV48" i="1"/>
  <c r="HC48" i="1"/>
  <c r="GX48" i="1" s="1"/>
  <c r="D49" i="1"/>
  <c r="I49" i="1"/>
  <c r="AC49" i="1"/>
  <c r="AD49" i="1"/>
  <c r="AE49" i="1"/>
  <c r="AF49" i="1"/>
  <c r="CT49" i="1" s="1"/>
  <c r="S49" i="1" s="1"/>
  <c r="AG49" i="1"/>
  <c r="AH49" i="1"/>
  <c r="CV49" i="1" s="1"/>
  <c r="AI49" i="1"/>
  <c r="AJ49" i="1"/>
  <c r="CX49" i="1" s="1"/>
  <c r="W49" i="1" s="1"/>
  <c r="CQ49" i="1"/>
  <c r="P49" i="1" s="1"/>
  <c r="CR49" i="1"/>
  <c r="Q49" i="1" s="1"/>
  <c r="CS49" i="1"/>
  <c r="R49" i="1" s="1"/>
  <c r="GK49" i="1" s="1"/>
  <c r="CU49" i="1"/>
  <c r="T49" i="1" s="1"/>
  <c r="CW49" i="1"/>
  <c r="V49" i="1" s="1"/>
  <c r="FR49" i="1"/>
  <c r="GL49" i="1"/>
  <c r="GN49" i="1"/>
  <c r="GO49" i="1"/>
  <c r="GV49" i="1"/>
  <c r="HC49" i="1" s="1"/>
  <c r="GX49" i="1" s="1"/>
  <c r="D50" i="1"/>
  <c r="I50" i="1"/>
  <c r="E35" i="5" s="1"/>
  <c r="AC50" i="1"/>
  <c r="CQ50" i="1" s="1"/>
  <c r="P50" i="1" s="1"/>
  <c r="AE50" i="1"/>
  <c r="AF50" i="1"/>
  <c r="S35" i="5" s="1"/>
  <c r="AG50" i="1"/>
  <c r="CU50" i="1" s="1"/>
  <c r="T50" i="1" s="1"/>
  <c r="AH50" i="1"/>
  <c r="CV50" i="1" s="1"/>
  <c r="U50" i="1" s="1"/>
  <c r="AI50" i="1"/>
  <c r="CW50" i="1" s="1"/>
  <c r="AJ50" i="1"/>
  <c r="CX50" i="1"/>
  <c r="W50" i="1" s="1"/>
  <c r="FR50" i="1"/>
  <c r="BY65" i="1" s="1"/>
  <c r="BY26" i="1" s="1"/>
  <c r="GL50" i="1"/>
  <c r="GN50" i="1"/>
  <c r="GO50" i="1"/>
  <c r="GV50" i="1"/>
  <c r="HC50" i="1" s="1"/>
  <c r="GX50" i="1" s="1"/>
  <c r="D51" i="1"/>
  <c r="I51" i="1"/>
  <c r="AC51" i="1"/>
  <c r="AE51" i="1"/>
  <c r="U41" i="5" s="1"/>
  <c r="AF51" i="1"/>
  <c r="CT51" i="1" s="1"/>
  <c r="AG51" i="1"/>
  <c r="CU51" i="1" s="1"/>
  <c r="T51" i="1" s="1"/>
  <c r="AH51" i="1"/>
  <c r="AI51" i="1"/>
  <c r="CW51" i="1" s="1"/>
  <c r="V51" i="1" s="1"/>
  <c r="AJ51" i="1"/>
  <c r="CX51" i="1" s="1"/>
  <c r="CQ51" i="1"/>
  <c r="P51" i="1" s="1"/>
  <c r="CS51" i="1"/>
  <c r="CV51" i="1"/>
  <c r="FR51" i="1"/>
  <c r="GL51" i="1"/>
  <c r="GN51" i="1"/>
  <c r="GO51" i="1"/>
  <c r="GV51" i="1"/>
  <c r="HC51" i="1" s="1"/>
  <c r="GX51" i="1" s="1"/>
  <c r="D52" i="1"/>
  <c r="I52" i="1"/>
  <c r="E50" i="5" s="1"/>
  <c r="AC52" i="1"/>
  <c r="AE52" i="1"/>
  <c r="AF52" i="1"/>
  <c r="S50" i="5" s="1"/>
  <c r="AG52" i="1"/>
  <c r="CU52" i="1" s="1"/>
  <c r="T52" i="1" s="1"/>
  <c r="AH52" i="1"/>
  <c r="AI52" i="1"/>
  <c r="AJ52" i="1"/>
  <c r="CS52" i="1"/>
  <c r="CT52" i="1"/>
  <c r="S52" i="1" s="1"/>
  <c r="J51" i="5" s="1"/>
  <c r="CV52" i="1"/>
  <c r="U52" i="1" s="1"/>
  <c r="K57" i="5" s="1"/>
  <c r="CW52" i="1"/>
  <c r="V52" i="1" s="1"/>
  <c r="CX52" i="1"/>
  <c r="W52" i="1" s="1"/>
  <c r="FR52" i="1"/>
  <c r="GL52" i="1"/>
  <c r="GN52" i="1"/>
  <c r="GO52" i="1"/>
  <c r="CC65" i="1" s="1"/>
  <c r="CC26" i="1" s="1"/>
  <c r="GV52" i="1"/>
  <c r="HC52" i="1" s="1"/>
  <c r="GX52" i="1" s="1"/>
  <c r="D53" i="1"/>
  <c r="I53" i="1"/>
  <c r="AC53" i="1"/>
  <c r="AE53" i="1"/>
  <c r="AF53" i="1"/>
  <c r="CT53" i="1" s="1"/>
  <c r="S53" i="1" s="1"/>
  <c r="CZ53" i="1" s="1"/>
  <c r="Y53" i="1" s="1"/>
  <c r="AG53" i="1"/>
  <c r="CU53" i="1" s="1"/>
  <c r="T53" i="1" s="1"/>
  <c r="AH53" i="1"/>
  <c r="CV53" i="1" s="1"/>
  <c r="U53" i="1" s="1"/>
  <c r="AI53" i="1"/>
  <c r="CW53" i="1" s="1"/>
  <c r="V53" i="1" s="1"/>
  <c r="AJ53" i="1"/>
  <c r="CX53" i="1" s="1"/>
  <c r="CQ53" i="1"/>
  <c r="P53" i="1" s="1"/>
  <c r="FR53" i="1"/>
  <c r="GL53" i="1"/>
  <c r="GN53" i="1"/>
  <c r="GO53" i="1"/>
  <c r="GV53" i="1"/>
  <c r="HC53" i="1" s="1"/>
  <c r="D54" i="1"/>
  <c r="I54" i="1"/>
  <c r="D21" i="6" s="1"/>
  <c r="AC54" i="1"/>
  <c r="CQ54" i="1" s="1"/>
  <c r="P54" i="1" s="1"/>
  <c r="AE54" i="1"/>
  <c r="AF54" i="1"/>
  <c r="CT54" i="1" s="1"/>
  <c r="S54" i="1" s="1"/>
  <c r="AG54" i="1"/>
  <c r="CU54" i="1" s="1"/>
  <c r="AH54" i="1"/>
  <c r="AI54" i="1"/>
  <c r="CW54" i="1" s="1"/>
  <c r="AJ54" i="1"/>
  <c r="CV54" i="1"/>
  <c r="U54" i="1" s="1"/>
  <c r="K63" i="5" s="1"/>
  <c r="CX54" i="1"/>
  <c r="W54" i="1" s="1"/>
  <c r="FR54" i="1"/>
  <c r="GL54" i="1"/>
  <c r="GN54" i="1"/>
  <c r="GO54" i="1"/>
  <c r="GV54" i="1"/>
  <c r="HC54" i="1" s="1"/>
  <c r="GX54" i="1" s="1"/>
  <c r="D55" i="1"/>
  <c r="I55" i="1"/>
  <c r="AC55" i="1"/>
  <c r="AE55" i="1"/>
  <c r="AF55" i="1"/>
  <c r="S65" i="5" s="1"/>
  <c r="AG55" i="1"/>
  <c r="AH55" i="1"/>
  <c r="AI55" i="1"/>
  <c r="CW55" i="1" s="1"/>
  <c r="AJ55" i="1"/>
  <c r="CX55" i="1" s="1"/>
  <c r="CQ55" i="1"/>
  <c r="CU55" i="1"/>
  <c r="CV55" i="1"/>
  <c r="FR55" i="1"/>
  <c r="GL55" i="1"/>
  <c r="GN55" i="1"/>
  <c r="GO55" i="1"/>
  <c r="GV55" i="1"/>
  <c r="HC55" i="1" s="1"/>
  <c r="C56" i="1"/>
  <c r="D56" i="1"/>
  <c r="I56" i="1"/>
  <c r="AB56" i="1"/>
  <c r="AC56" i="1"/>
  <c r="AE56" i="1"/>
  <c r="AD56" i="1" s="1"/>
  <c r="AF56" i="1"/>
  <c r="AG56" i="1"/>
  <c r="CU56" i="1" s="1"/>
  <c r="T56" i="1" s="1"/>
  <c r="AH56" i="1"/>
  <c r="AI56" i="1"/>
  <c r="CW56" i="1" s="1"/>
  <c r="V56" i="1" s="1"/>
  <c r="AJ56" i="1"/>
  <c r="CX56" i="1" s="1"/>
  <c r="CQ56" i="1"/>
  <c r="P56" i="1" s="1"/>
  <c r="CR56" i="1"/>
  <c r="Q56" i="1" s="1"/>
  <c r="J76" i="5" s="1"/>
  <c r="CS56" i="1"/>
  <c r="CV56" i="1"/>
  <c r="U56" i="1" s="1"/>
  <c r="K81" i="5" s="1"/>
  <c r="FR56" i="1"/>
  <c r="GL56" i="1"/>
  <c r="GN56" i="1"/>
  <c r="GO56" i="1"/>
  <c r="GV56" i="1"/>
  <c r="HC56" i="1" s="1"/>
  <c r="GX56" i="1"/>
  <c r="C57" i="1"/>
  <c r="D57" i="1"/>
  <c r="I57" i="1"/>
  <c r="E83" i="5" s="1"/>
  <c r="AC57" i="1"/>
  <c r="CQ57" i="1" s="1"/>
  <c r="P57" i="1" s="1"/>
  <c r="AE57" i="1"/>
  <c r="AF57" i="1"/>
  <c r="AG57" i="1"/>
  <c r="CU57" i="1" s="1"/>
  <c r="T57" i="1" s="1"/>
  <c r="AH57" i="1"/>
  <c r="AI57" i="1"/>
  <c r="CW57" i="1" s="1"/>
  <c r="V57" i="1" s="1"/>
  <c r="AJ57" i="1"/>
  <c r="CX57" i="1" s="1"/>
  <c r="W57" i="1" s="1"/>
  <c r="CT57" i="1"/>
  <c r="S57" i="1" s="1"/>
  <c r="J84" i="5" s="1"/>
  <c r="CV57" i="1"/>
  <c r="U57" i="1" s="1"/>
  <c r="K88" i="5" s="1"/>
  <c r="FR57" i="1"/>
  <c r="GL57" i="1"/>
  <c r="GN57" i="1"/>
  <c r="GO57" i="1"/>
  <c r="GV57" i="1"/>
  <c r="HC57" i="1" s="1"/>
  <c r="GX57" i="1" s="1"/>
  <c r="D58" i="1"/>
  <c r="AC58" i="1"/>
  <c r="CQ58" i="1" s="1"/>
  <c r="AE58" i="1"/>
  <c r="AF58" i="1"/>
  <c r="AG58" i="1"/>
  <c r="AH58" i="1"/>
  <c r="CV58" i="1" s="1"/>
  <c r="AI58" i="1"/>
  <c r="AJ58" i="1"/>
  <c r="CX58" i="1" s="1"/>
  <c r="CS58" i="1"/>
  <c r="CU58" i="1"/>
  <c r="CW58" i="1"/>
  <c r="FR58" i="1"/>
  <c r="GL58" i="1"/>
  <c r="GN58" i="1"/>
  <c r="GO58" i="1"/>
  <c r="GV58" i="1"/>
  <c r="HC58" i="1" s="1"/>
  <c r="D59" i="1"/>
  <c r="AC59" i="1"/>
  <c r="AE59" i="1"/>
  <c r="AF59" i="1"/>
  <c r="CT59" i="1" s="1"/>
  <c r="AG59" i="1"/>
  <c r="CU59" i="1" s="1"/>
  <c r="AH59" i="1"/>
  <c r="AI59" i="1"/>
  <c r="CW59" i="1" s="1"/>
  <c r="AJ59" i="1"/>
  <c r="CR59" i="1"/>
  <c r="CV59" i="1"/>
  <c r="CX59" i="1"/>
  <c r="FR59" i="1"/>
  <c r="GL59" i="1"/>
  <c r="GN59" i="1"/>
  <c r="GO59" i="1"/>
  <c r="GV59" i="1"/>
  <c r="HC59" i="1"/>
  <c r="D60" i="1"/>
  <c r="AC60" i="1"/>
  <c r="AD60" i="1"/>
  <c r="AE60" i="1"/>
  <c r="AF60" i="1"/>
  <c r="AG60" i="1"/>
  <c r="AH60" i="1"/>
  <c r="CV60" i="1" s="1"/>
  <c r="AI60" i="1"/>
  <c r="CW60" i="1" s="1"/>
  <c r="AJ60" i="1"/>
  <c r="CX60" i="1" s="1"/>
  <c r="CQ60" i="1"/>
  <c r="CR60" i="1"/>
  <c r="CS60" i="1"/>
  <c r="CU60" i="1"/>
  <c r="FR60" i="1"/>
  <c r="GL60" i="1"/>
  <c r="GN60" i="1"/>
  <c r="GO60" i="1"/>
  <c r="GV60" i="1"/>
  <c r="HC60" i="1" s="1"/>
  <c r="D61" i="1"/>
  <c r="AC61" i="1"/>
  <c r="AE61" i="1"/>
  <c r="AF61" i="1"/>
  <c r="CT61" i="1" s="1"/>
  <c r="AG61" i="1"/>
  <c r="CU61" i="1" s="1"/>
  <c r="AH61" i="1"/>
  <c r="CV61" i="1" s="1"/>
  <c r="AI61" i="1"/>
  <c r="CW61" i="1" s="1"/>
  <c r="AJ61" i="1"/>
  <c r="CX61" i="1" s="1"/>
  <c r="CQ61" i="1"/>
  <c r="FR61" i="1"/>
  <c r="GL61" i="1"/>
  <c r="GN61" i="1"/>
  <c r="GO61" i="1"/>
  <c r="GV61" i="1"/>
  <c r="HC61" i="1"/>
  <c r="D62" i="1"/>
  <c r="AC62" i="1"/>
  <c r="AE62" i="1"/>
  <c r="AF62" i="1"/>
  <c r="AG62" i="1"/>
  <c r="AH62" i="1"/>
  <c r="CV62" i="1" s="1"/>
  <c r="AI62" i="1"/>
  <c r="CW62" i="1" s="1"/>
  <c r="AJ62" i="1"/>
  <c r="CX62" i="1" s="1"/>
  <c r="CQ62" i="1"/>
  <c r="CS62" i="1"/>
  <c r="CU62" i="1"/>
  <c r="FR62" i="1"/>
  <c r="GL62" i="1"/>
  <c r="GN62" i="1"/>
  <c r="GO62" i="1"/>
  <c r="GV62" i="1"/>
  <c r="HC62" i="1" s="1"/>
  <c r="AC63" i="1"/>
  <c r="AB63" i="1" s="1"/>
  <c r="AD63" i="1"/>
  <c r="AE63" i="1"/>
  <c r="AF63" i="1"/>
  <c r="AG63" i="1"/>
  <c r="CU63" i="1" s="1"/>
  <c r="AH63" i="1"/>
  <c r="AI63" i="1"/>
  <c r="CW63" i="1" s="1"/>
  <c r="AJ63" i="1"/>
  <c r="CR63" i="1"/>
  <c r="CV63" i="1"/>
  <c r="CX63" i="1"/>
  <c r="CY63" i="1"/>
  <c r="X63" i="1" s="1"/>
  <c r="CZ63" i="1"/>
  <c r="Y63" i="1" s="1"/>
  <c r="FR63" i="1"/>
  <c r="GL63" i="1"/>
  <c r="GO63" i="1"/>
  <c r="GP63" i="1"/>
  <c r="GV63" i="1"/>
  <c r="HC63" i="1"/>
  <c r="B65" i="1"/>
  <c r="B26" i="1" s="1"/>
  <c r="C65" i="1"/>
  <c r="C26" i="1" s="1"/>
  <c r="D65" i="1"/>
  <c r="D26" i="1" s="1"/>
  <c r="F65" i="1"/>
  <c r="F26" i="1" s="1"/>
  <c r="G65" i="1"/>
  <c r="G26" i="1" s="1"/>
  <c r="BX65" i="1"/>
  <c r="BX26" i="1" s="1"/>
  <c r="BZ65" i="1"/>
  <c r="CK65" i="1"/>
  <c r="CK26" i="1" s="1"/>
  <c r="CL65" i="1"/>
  <c r="CL26" i="1" s="1"/>
  <c r="CM65" i="1"/>
  <c r="CM26" i="1" s="1"/>
  <c r="D95" i="1"/>
  <c r="E97" i="1"/>
  <c r="Z97" i="1"/>
  <c r="AA97" i="1"/>
  <c r="AM97" i="1"/>
  <c r="AN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D99" i="1"/>
  <c r="I99" i="1"/>
  <c r="AC99" i="1"/>
  <c r="CQ99" i="1" s="1"/>
  <c r="P99" i="1" s="1"/>
  <c r="AE99" i="1"/>
  <c r="CS99" i="1" s="1"/>
  <c r="R99" i="1" s="1"/>
  <c r="GK99" i="1" s="1"/>
  <c r="AF99" i="1"/>
  <c r="CT99" i="1" s="1"/>
  <c r="AG99" i="1"/>
  <c r="AH99" i="1"/>
  <c r="CV99" i="1" s="1"/>
  <c r="U99" i="1" s="1"/>
  <c r="AI99" i="1"/>
  <c r="CW99" i="1" s="1"/>
  <c r="V99" i="1" s="1"/>
  <c r="AJ99" i="1"/>
  <c r="CX99" i="1" s="1"/>
  <c r="W99" i="1" s="1"/>
  <c r="CR99" i="1"/>
  <c r="Q99" i="1" s="1"/>
  <c r="CU99" i="1"/>
  <c r="T99" i="1" s="1"/>
  <c r="FR99" i="1"/>
  <c r="GL99" i="1"/>
  <c r="GN99" i="1"/>
  <c r="GO99" i="1"/>
  <c r="GV99" i="1"/>
  <c r="HC99" i="1" s="1"/>
  <c r="GX99" i="1" s="1"/>
  <c r="C100" i="1"/>
  <c r="D100" i="1"/>
  <c r="I100" i="1"/>
  <c r="AC100" i="1"/>
  <c r="CQ100" i="1" s="1"/>
  <c r="P100" i="1" s="1"/>
  <c r="AE100" i="1"/>
  <c r="CS100" i="1" s="1"/>
  <c r="R100" i="1" s="1"/>
  <c r="GK100" i="1" s="1"/>
  <c r="AF100" i="1"/>
  <c r="AG100" i="1"/>
  <c r="AH100" i="1"/>
  <c r="AI100" i="1"/>
  <c r="CW100" i="1" s="1"/>
  <c r="V100" i="1" s="1"/>
  <c r="AJ100" i="1"/>
  <c r="CX100" i="1" s="1"/>
  <c r="W100" i="1" s="1"/>
  <c r="CR100" i="1"/>
  <c r="Q100" i="1" s="1"/>
  <c r="J122" i="5" s="1"/>
  <c r="CU100" i="1"/>
  <c r="T100" i="1" s="1"/>
  <c r="CV100" i="1"/>
  <c r="U100" i="1" s="1"/>
  <c r="K127" i="5" s="1"/>
  <c r="FR100" i="1"/>
  <c r="GL100" i="1"/>
  <c r="GN100" i="1"/>
  <c r="GO100" i="1"/>
  <c r="GV100" i="1"/>
  <c r="HC100" i="1" s="1"/>
  <c r="GX100" i="1" s="1"/>
  <c r="C101" i="1"/>
  <c r="D101" i="1"/>
  <c r="I101" i="1"/>
  <c r="AC101" i="1"/>
  <c r="AE101" i="1"/>
  <c r="CS101" i="1" s="1"/>
  <c r="AF101" i="1"/>
  <c r="CT101" i="1" s="1"/>
  <c r="AG101" i="1"/>
  <c r="AH101" i="1"/>
  <c r="AI101" i="1"/>
  <c r="CW101" i="1" s="1"/>
  <c r="V101" i="1" s="1"/>
  <c r="AJ101" i="1"/>
  <c r="CX101" i="1" s="1"/>
  <c r="W101" i="1" s="1"/>
  <c r="CQ101" i="1"/>
  <c r="P101" i="1" s="1"/>
  <c r="CR101" i="1"/>
  <c r="CU101" i="1"/>
  <c r="CV101" i="1"/>
  <c r="FR101" i="1"/>
  <c r="GL101" i="1"/>
  <c r="GN101" i="1"/>
  <c r="GO101" i="1"/>
  <c r="GV101" i="1"/>
  <c r="HC101" i="1" s="1"/>
  <c r="GX101" i="1" s="1"/>
  <c r="C102" i="1"/>
  <c r="D102" i="1"/>
  <c r="I102" i="1"/>
  <c r="AC102" i="1"/>
  <c r="AE102" i="1"/>
  <c r="CS102" i="1" s="1"/>
  <c r="AF102" i="1"/>
  <c r="CT102" i="1" s="1"/>
  <c r="S102" i="1" s="1"/>
  <c r="AG102" i="1"/>
  <c r="CU102" i="1" s="1"/>
  <c r="T102" i="1" s="1"/>
  <c r="AH102" i="1"/>
  <c r="AI102" i="1"/>
  <c r="CW102" i="1" s="1"/>
  <c r="V102" i="1" s="1"/>
  <c r="AJ102" i="1"/>
  <c r="CX102" i="1" s="1"/>
  <c r="CQ102" i="1"/>
  <c r="P102" i="1" s="1"/>
  <c r="CR102" i="1"/>
  <c r="CV102" i="1"/>
  <c r="U102" i="1" s="1"/>
  <c r="FR102" i="1"/>
  <c r="GL102" i="1"/>
  <c r="GN102" i="1"/>
  <c r="GO102" i="1"/>
  <c r="GV102" i="1"/>
  <c r="HC102" i="1" s="1"/>
  <c r="C103" i="1"/>
  <c r="D103" i="1"/>
  <c r="I103" i="1"/>
  <c r="AC103" i="1"/>
  <c r="CQ103" i="1" s="1"/>
  <c r="P103" i="1" s="1"/>
  <c r="AE103" i="1"/>
  <c r="AF103" i="1"/>
  <c r="CT103" i="1" s="1"/>
  <c r="AG103" i="1"/>
  <c r="AH103" i="1"/>
  <c r="AI103" i="1"/>
  <c r="CW103" i="1" s="1"/>
  <c r="AJ103" i="1"/>
  <c r="CX103" i="1" s="1"/>
  <c r="CR103" i="1"/>
  <c r="Q103" i="1" s="1"/>
  <c r="J140" i="5" s="1"/>
  <c r="CS103" i="1"/>
  <c r="CU103" i="1"/>
  <c r="CV103" i="1"/>
  <c r="FR103" i="1"/>
  <c r="GL103" i="1"/>
  <c r="GN103" i="1"/>
  <c r="GO103" i="1"/>
  <c r="GV103" i="1"/>
  <c r="HC103" i="1" s="1"/>
  <c r="GX103" i="1" s="1"/>
  <c r="D104" i="1"/>
  <c r="I104" i="1"/>
  <c r="AC104" i="1"/>
  <c r="AE104" i="1"/>
  <c r="AD104" i="1" s="1"/>
  <c r="AF104" i="1"/>
  <c r="AG104" i="1"/>
  <c r="CU104" i="1" s="1"/>
  <c r="T104" i="1" s="1"/>
  <c r="AH104" i="1"/>
  <c r="CV104" i="1" s="1"/>
  <c r="U104" i="1" s="1"/>
  <c r="AI104" i="1"/>
  <c r="CW104" i="1" s="1"/>
  <c r="V104" i="1" s="1"/>
  <c r="AJ104" i="1"/>
  <c r="CX104" i="1" s="1"/>
  <c r="W104" i="1" s="1"/>
  <c r="CR104" i="1"/>
  <c r="Q104" i="1" s="1"/>
  <c r="CT104" i="1"/>
  <c r="FR104" i="1"/>
  <c r="GL104" i="1"/>
  <c r="GN104" i="1"/>
  <c r="GO104" i="1"/>
  <c r="GV104" i="1"/>
  <c r="HC104" i="1" s="1"/>
  <c r="D105" i="1"/>
  <c r="AC105" i="1"/>
  <c r="AE105" i="1"/>
  <c r="AF105" i="1"/>
  <c r="CT105" i="1" s="1"/>
  <c r="S105" i="1" s="1"/>
  <c r="AG105" i="1"/>
  <c r="CU105" i="1" s="1"/>
  <c r="T105" i="1" s="1"/>
  <c r="AH105" i="1"/>
  <c r="CV105" i="1" s="1"/>
  <c r="U105" i="1" s="1"/>
  <c r="AI105" i="1"/>
  <c r="CW105" i="1" s="1"/>
  <c r="V105" i="1" s="1"/>
  <c r="AJ105" i="1"/>
  <c r="CQ105" i="1"/>
  <c r="P105" i="1" s="1"/>
  <c r="CX105" i="1"/>
  <c r="W105" i="1" s="1"/>
  <c r="FR105" i="1"/>
  <c r="GL105" i="1"/>
  <c r="GN105" i="1"/>
  <c r="GO105" i="1"/>
  <c r="GV105" i="1"/>
  <c r="HC105" i="1" s="1"/>
  <c r="GX105" i="1" s="1"/>
  <c r="D106" i="1"/>
  <c r="AC106" i="1"/>
  <c r="AE106" i="1"/>
  <c r="AF106" i="1"/>
  <c r="AG106" i="1"/>
  <c r="CU106" i="1" s="1"/>
  <c r="T106" i="1" s="1"/>
  <c r="AH106" i="1"/>
  <c r="AI106" i="1"/>
  <c r="CW106" i="1" s="1"/>
  <c r="V106" i="1" s="1"/>
  <c r="AJ106" i="1"/>
  <c r="CX106" i="1" s="1"/>
  <c r="W106" i="1" s="1"/>
  <c r="CT106" i="1"/>
  <c r="S106" i="1" s="1"/>
  <c r="CV106" i="1"/>
  <c r="U106" i="1" s="1"/>
  <c r="FR106" i="1"/>
  <c r="GL106" i="1"/>
  <c r="GN106" i="1"/>
  <c r="GO106" i="1"/>
  <c r="GV106" i="1"/>
  <c r="HC106" i="1"/>
  <c r="GX106" i="1" s="1"/>
  <c r="D107" i="1"/>
  <c r="AC107" i="1"/>
  <c r="CQ107" i="1" s="1"/>
  <c r="P107" i="1" s="1"/>
  <c r="AE107" i="1"/>
  <c r="AD107" i="1" s="1"/>
  <c r="AF107" i="1"/>
  <c r="AG107" i="1"/>
  <c r="CU107" i="1" s="1"/>
  <c r="T107" i="1" s="1"/>
  <c r="AH107" i="1"/>
  <c r="CV107" i="1" s="1"/>
  <c r="U107" i="1" s="1"/>
  <c r="AI107" i="1"/>
  <c r="CW107" i="1" s="1"/>
  <c r="V107" i="1" s="1"/>
  <c r="AJ107" i="1"/>
  <c r="CR107" i="1"/>
  <c r="Q107" i="1" s="1"/>
  <c r="CT107" i="1"/>
  <c r="S107" i="1" s="1"/>
  <c r="CX107" i="1"/>
  <c r="W107" i="1" s="1"/>
  <c r="FR107" i="1"/>
  <c r="GL107" i="1"/>
  <c r="GN107" i="1"/>
  <c r="GO107" i="1"/>
  <c r="GV107" i="1"/>
  <c r="HC107" i="1" s="1"/>
  <c r="GX107" i="1" s="1"/>
  <c r="D108" i="1"/>
  <c r="I108" i="1"/>
  <c r="AC108" i="1"/>
  <c r="CQ108" i="1" s="1"/>
  <c r="P108" i="1" s="1"/>
  <c r="AE108" i="1"/>
  <c r="AD108" i="1" s="1"/>
  <c r="AB108" i="1" s="1"/>
  <c r="AF108" i="1"/>
  <c r="CT108" i="1" s="1"/>
  <c r="S108" i="1" s="1"/>
  <c r="AG108" i="1"/>
  <c r="AH108" i="1"/>
  <c r="CV108" i="1" s="1"/>
  <c r="U108" i="1" s="1"/>
  <c r="AI108" i="1"/>
  <c r="AJ108" i="1"/>
  <c r="CX108" i="1" s="1"/>
  <c r="W108" i="1" s="1"/>
  <c r="CR108" i="1"/>
  <c r="Q108" i="1" s="1"/>
  <c r="CU108" i="1"/>
  <c r="T108" i="1" s="1"/>
  <c r="CW108" i="1"/>
  <c r="V108" i="1" s="1"/>
  <c r="FR108" i="1"/>
  <c r="GL108" i="1"/>
  <c r="GN108" i="1"/>
  <c r="GO108" i="1"/>
  <c r="GV108" i="1"/>
  <c r="HC108" i="1" s="1"/>
  <c r="GX108" i="1" s="1"/>
  <c r="D109" i="1"/>
  <c r="I109" i="1"/>
  <c r="AC109" i="1"/>
  <c r="AB109" i="1" s="1"/>
  <c r="AD109" i="1"/>
  <c r="AE109" i="1"/>
  <c r="AF109" i="1"/>
  <c r="CT109" i="1" s="1"/>
  <c r="S109" i="1" s="1"/>
  <c r="AG109" i="1"/>
  <c r="AH109" i="1"/>
  <c r="CV109" i="1" s="1"/>
  <c r="U109" i="1" s="1"/>
  <c r="AI109" i="1"/>
  <c r="CW109" i="1" s="1"/>
  <c r="V109" i="1" s="1"/>
  <c r="AJ109" i="1"/>
  <c r="CX109" i="1" s="1"/>
  <c r="W109" i="1" s="1"/>
  <c r="CQ109" i="1"/>
  <c r="P109" i="1" s="1"/>
  <c r="CR109" i="1"/>
  <c r="Q109" i="1" s="1"/>
  <c r="CS109" i="1"/>
  <c r="R109" i="1" s="1"/>
  <c r="GK109" i="1" s="1"/>
  <c r="CU109" i="1"/>
  <c r="T109" i="1" s="1"/>
  <c r="FR109" i="1"/>
  <c r="GL109" i="1"/>
  <c r="GN109" i="1"/>
  <c r="GO109" i="1"/>
  <c r="GV109" i="1"/>
  <c r="HC109" i="1" s="1"/>
  <c r="GX109" i="1" s="1"/>
  <c r="D110" i="1"/>
  <c r="I110" i="1"/>
  <c r="AC110" i="1"/>
  <c r="CQ110" i="1" s="1"/>
  <c r="P110" i="1" s="1"/>
  <c r="AE110" i="1"/>
  <c r="AD110" i="1" s="1"/>
  <c r="AF110" i="1"/>
  <c r="CT110" i="1" s="1"/>
  <c r="S110" i="1" s="1"/>
  <c r="AG110" i="1"/>
  <c r="CU110" i="1" s="1"/>
  <c r="T110" i="1" s="1"/>
  <c r="AH110" i="1"/>
  <c r="CV110" i="1" s="1"/>
  <c r="AI110" i="1"/>
  <c r="CW110" i="1" s="1"/>
  <c r="AJ110" i="1"/>
  <c r="CR110" i="1"/>
  <c r="Q110" i="1" s="1"/>
  <c r="CX110" i="1"/>
  <c r="W110" i="1" s="1"/>
  <c r="FR110" i="1"/>
  <c r="GL110" i="1"/>
  <c r="GN110" i="1"/>
  <c r="GO110" i="1"/>
  <c r="GV110" i="1"/>
  <c r="HC110" i="1"/>
  <c r="GX110" i="1" s="1"/>
  <c r="D111" i="1"/>
  <c r="I111" i="1"/>
  <c r="AC111" i="1"/>
  <c r="AD111" i="1"/>
  <c r="AE111" i="1"/>
  <c r="AF111" i="1"/>
  <c r="CT111" i="1" s="1"/>
  <c r="AG111" i="1"/>
  <c r="AH111" i="1"/>
  <c r="CV111" i="1" s="1"/>
  <c r="AI111" i="1"/>
  <c r="AJ111" i="1"/>
  <c r="CX111" i="1" s="1"/>
  <c r="CQ111" i="1"/>
  <c r="CR111" i="1"/>
  <c r="CS111" i="1"/>
  <c r="CU111" i="1"/>
  <c r="CW111" i="1"/>
  <c r="FR111" i="1"/>
  <c r="GL111" i="1"/>
  <c r="GN111" i="1"/>
  <c r="GO111" i="1"/>
  <c r="GV111" i="1"/>
  <c r="HC111" i="1" s="1"/>
  <c r="C112" i="1"/>
  <c r="D112" i="1"/>
  <c r="I112" i="1"/>
  <c r="AC112" i="1"/>
  <c r="CQ112" i="1" s="1"/>
  <c r="P112" i="1" s="1"/>
  <c r="AE112" i="1"/>
  <c r="AF112" i="1"/>
  <c r="CT112" i="1" s="1"/>
  <c r="S112" i="1" s="1"/>
  <c r="AG112" i="1"/>
  <c r="CU112" i="1" s="1"/>
  <c r="T112" i="1" s="1"/>
  <c r="AH112" i="1"/>
  <c r="CV112" i="1" s="1"/>
  <c r="U112" i="1" s="1"/>
  <c r="AI112" i="1"/>
  <c r="AJ112" i="1"/>
  <c r="CX112" i="1" s="1"/>
  <c r="W112" i="1" s="1"/>
  <c r="CW112" i="1"/>
  <c r="V112" i="1" s="1"/>
  <c r="FR112" i="1"/>
  <c r="GL112" i="1"/>
  <c r="GN112" i="1"/>
  <c r="GO112" i="1"/>
  <c r="GV112" i="1"/>
  <c r="HC112" i="1" s="1"/>
  <c r="D113" i="1"/>
  <c r="I113" i="1"/>
  <c r="AC113" i="1"/>
  <c r="AE113" i="1"/>
  <c r="AF113" i="1"/>
  <c r="CT113" i="1" s="1"/>
  <c r="S113" i="1" s="1"/>
  <c r="AG113" i="1"/>
  <c r="CU113" i="1" s="1"/>
  <c r="AH113" i="1"/>
  <c r="AI113" i="1"/>
  <c r="CW113" i="1" s="1"/>
  <c r="AJ113" i="1"/>
  <c r="CV113" i="1"/>
  <c r="U113" i="1" s="1"/>
  <c r="CX113" i="1"/>
  <c r="W113" i="1" s="1"/>
  <c r="FR113" i="1"/>
  <c r="GL113" i="1"/>
  <c r="GN113" i="1"/>
  <c r="GO113" i="1"/>
  <c r="GV113" i="1"/>
  <c r="HC113" i="1" s="1"/>
  <c r="GX113" i="1" s="1"/>
  <c r="D114" i="1"/>
  <c r="I114" i="1"/>
  <c r="AC114" i="1"/>
  <c r="AE114" i="1"/>
  <c r="AD114" i="1" s="1"/>
  <c r="AF114" i="1"/>
  <c r="CT114" i="1" s="1"/>
  <c r="AG114" i="1"/>
  <c r="CU114" i="1" s="1"/>
  <c r="AH114" i="1"/>
  <c r="CV114" i="1" s="1"/>
  <c r="AI114" i="1"/>
  <c r="CW114" i="1" s="1"/>
  <c r="AJ114" i="1"/>
  <c r="CX114" i="1" s="1"/>
  <c r="CQ114" i="1"/>
  <c r="P114" i="1" s="1"/>
  <c r="CS114" i="1"/>
  <c r="FR114" i="1"/>
  <c r="GL114" i="1"/>
  <c r="GN114" i="1"/>
  <c r="GO114" i="1"/>
  <c r="GV114" i="1"/>
  <c r="HC114" i="1" s="1"/>
  <c r="D115" i="1"/>
  <c r="I115" i="1"/>
  <c r="E147" i="5" s="1"/>
  <c r="AC115" i="1"/>
  <c r="CQ115" i="1" s="1"/>
  <c r="P115" i="1" s="1"/>
  <c r="AE115" i="1"/>
  <c r="AF115" i="1"/>
  <c r="AG115" i="1"/>
  <c r="CU115" i="1" s="1"/>
  <c r="T115" i="1" s="1"/>
  <c r="AH115" i="1"/>
  <c r="AI115" i="1"/>
  <c r="CW115" i="1" s="1"/>
  <c r="V115" i="1" s="1"/>
  <c r="AJ115" i="1"/>
  <c r="CV115" i="1"/>
  <c r="U115" i="1" s="1"/>
  <c r="K154" i="5" s="1"/>
  <c r="CX115" i="1"/>
  <c r="W115" i="1" s="1"/>
  <c r="FR115" i="1"/>
  <c r="GL115" i="1"/>
  <c r="GN115" i="1"/>
  <c r="GO115" i="1"/>
  <c r="GV115" i="1"/>
  <c r="HC115" i="1"/>
  <c r="GX115" i="1" s="1"/>
  <c r="D116" i="1"/>
  <c r="AC116" i="1"/>
  <c r="AD116" i="1"/>
  <c r="AB116" i="1" s="1"/>
  <c r="AE116" i="1"/>
  <c r="AF116" i="1"/>
  <c r="AG116" i="1"/>
  <c r="CU116" i="1" s="1"/>
  <c r="AH116" i="1"/>
  <c r="CV116" i="1" s="1"/>
  <c r="AI116" i="1"/>
  <c r="CW116" i="1" s="1"/>
  <c r="AJ116" i="1"/>
  <c r="CX116" i="1" s="1"/>
  <c r="CQ116" i="1"/>
  <c r="CR116" i="1"/>
  <c r="CS116" i="1"/>
  <c r="FR116" i="1"/>
  <c r="GL116" i="1"/>
  <c r="GN116" i="1"/>
  <c r="GO116" i="1"/>
  <c r="GV116" i="1"/>
  <c r="HC116" i="1" s="1"/>
  <c r="D117" i="1"/>
  <c r="AC117" i="1"/>
  <c r="AE117" i="1"/>
  <c r="AF117" i="1"/>
  <c r="AG117" i="1"/>
  <c r="CU117" i="1" s="1"/>
  <c r="AH117" i="1"/>
  <c r="CV117" i="1" s="1"/>
  <c r="AI117" i="1"/>
  <c r="CW117" i="1" s="1"/>
  <c r="AJ117" i="1"/>
  <c r="CX117" i="1" s="1"/>
  <c r="CR117" i="1"/>
  <c r="CT117" i="1"/>
  <c r="FR117" i="1"/>
  <c r="GL117" i="1"/>
  <c r="GN117" i="1"/>
  <c r="GO117" i="1"/>
  <c r="GV117" i="1"/>
  <c r="HC117" i="1" s="1"/>
  <c r="D118" i="1"/>
  <c r="AC118" i="1"/>
  <c r="CQ118" i="1" s="1"/>
  <c r="AE118" i="1"/>
  <c r="AD118" i="1" s="1"/>
  <c r="AF118" i="1"/>
  <c r="AG118" i="1"/>
  <c r="AH118" i="1"/>
  <c r="AI118" i="1"/>
  <c r="CW118" i="1" s="1"/>
  <c r="AJ118" i="1"/>
  <c r="CX118" i="1" s="1"/>
  <c r="CR118" i="1"/>
  <c r="CS118" i="1"/>
  <c r="CU118" i="1"/>
  <c r="CV118" i="1"/>
  <c r="FR118" i="1"/>
  <c r="GL118" i="1"/>
  <c r="GN118" i="1"/>
  <c r="GO118" i="1"/>
  <c r="GV118" i="1"/>
  <c r="HC118" i="1"/>
  <c r="D119" i="1"/>
  <c r="AC119" i="1"/>
  <c r="AE119" i="1"/>
  <c r="AF119" i="1"/>
  <c r="AG119" i="1"/>
  <c r="CU119" i="1" s="1"/>
  <c r="AH119" i="1"/>
  <c r="CV119" i="1" s="1"/>
  <c r="AI119" i="1"/>
  <c r="CW119" i="1" s="1"/>
  <c r="AJ119" i="1"/>
  <c r="CX119" i="1" s="1"/>
  <c r="CQ119" i="1"/>
  <c r="CT119" i="1"/>
  <c r="FR119" i="1"/>
  <c r="GL119" i="1"/>
  <c r="GN119" i="1"/>
  <c r="GO119" i="1"/>
  <c r="GV119" i="1"/>
  <c r="HC119" i="1" s="1"/>
  <c r="D120" i="1"/>
  <c r="AC120" i="1"/>
  <c r="CQ120" i="1" s="1"/>
  <c r="AE120" i="1"/>
  <c r="AF120" i="1"/>
  <c r="AG120" i="1"/>
  <c r="CU120" i="1" s="1"/>
  <c r="AH120" i="1"/>
  <c r="CV120" i="1" s="1"/>
  <c r="AI120" i="1"/>
  <c r="CW120" i="1" s="1"/>
  <c r="AJ120" i="1"/>
  <c r="CX120" i="1" s="1"/>
  <c r="CR120" i="1"/>
  <c r="FR120" i="1"/>
  <c r="GL120" i="1"/>
  <c r="GN120" i="1"/>
  <c r="GO120" i="1"/>
  <c r="GV120" i="1"/>
  <c r="HC120" i="1" s="1"/>
  <c r="I121" i="1"/>
  <c r="AC121" i="1"/>
  <c r="CQ121" i="1" s="1"/>
  <c r="P121" i="1" s="1"/>
  <c r="J179" i="5" s="1"/>
  <c r="I180" i="5" s="1"/>
  <c r="AD121" i="1"/>
  <c r="AE121" i="1"/>
  <c r="CS121" i="1" s="1"/>
  <c r="AF121" i="1"/>
  <c r="CT121" i="1" s="1"/>
  <c r="AG121" i="1"/>
  <c r="CU121" i="1" s="1"/>
  <c r="AH121" i="1"/>
  <c r="CV121" i="1" s="1"/>
  <c r="U121" i="1" s="1"/>
  <c r="AI121" i="1"/>
  <c r="CW121" i="1" s="1"/>
  <c r="V121" i="1" s="1"/>
  <c r="AJ121" i="1"/>
  <c r="CX121" i="1" s="1"/>
  <c r="W121" i="1" s="1"/>
  <c r="CY121" i="1"/>
  <c r="X121" i="1" s="1"/>
  <c r="R179" i="5" s="1"/>
  <c r="CZ121" i="1"/>
  <c r="Y121" i="1" s="1"/>
  <c r="FR121" i="1"/>
  <c r="GL121" i="1"/>
  <c r="GO121" i="1"/>
  <c r="GP121" i="1"/>
  <c r="GV121" i="1"/>
  <c r="HC121" i="1"/>
  <c r="GX121" i="1" s="1"/>
  <c r="D122" i="1"/>
  <c r="AC122" i="1"/>
  <c r="AD122" i="1"/>
  <c r="AE122" i="1"/>
  <c r="AF122" i="1"/>
  <c r="CT122" i="1" s="1"/>
  <c r="S122" i="1" s="1"/>
  <c r="AG122" i="1"/>
  <c r="AH122" i="1"/>
  <c r="CV122" i="1" s="1"/>
  <c r="U122" i="1" s="1"/>
  <c r="AI122" i="1"/>
  <c r="CW122" i="1" s="1"/>
  <c r="V122" i="1" s="1"/>
  <c r="AJ122" i="1"/>
  <c r="CX122" i="1" s="1"/>
  <c r="W122" i="1" s="1"/>
  <c r="CQ122" i="1"/>
  <c r="P122" i="1" s="1"/>
  <c r="CR122" i="1"/>
  <c r="Q122" i="1" s="1"/>
  <c r="CS122" i="1"/>
  <c r="R122" i="1" s="1"/>
  <c r="GK122" i="1" s="1"/>
  <c r="CU122" i="1"/>
  <c r="T122" i="1" s="1"/>
  <c r="FR122" i="1"/>
  <c r="GL122" i="1"/>
  <c r="GN122" i="1"/>
  <c r="GO122" i="1"/>
  <c r="GV122" i="1"/>
  <c r="HC122" i="1" s="1"/>
  <c r="GX122" i="1" s="1"/>
  <c r="D123" i="1"/>
  <c r="AC123" i="1"/>
  <c r="AE123" i="1"/>
  <c r="AF123" i="1"/>
  <c r="CT123" i="1" s="1"/>
  <c r="S123" i="1" s="1"/>
  <c r="AG123" i="1"/>
  <c r="CU123" i="1" s="1"/>
  <c r="T123" i="1" s="1"/>
  <c r="AH123" i="1"/>
  <c r="CV123" i="1" s="1"/>
  <c r="U123" i="1" s="1"/>
  <c r="AI123" i="1"/>
  <c r="AJ123" i="1"/>
  <c r="CX123" i="1" s="1"/>
  <c r="W123" i="1" s="1"/>
  <c r="CQ123" i="1"/>
  <c r="P123" i="1" s="1"/>
  <c r="CW123" i="1"/>
  <c r="V123" i="1" s="1"/>
  <c r="FR123" i="1"/>
  <c r="GL123" i="1"/>
  <c r="GN123" i="1"/>
  <c r="GO123" i="1"/>
  <c r="GV123" i="1"/>
  <c r="HC123" i="1"/>
  <c r="GX123" i="1" s="1"/>
  <c r="D124" i="1"/>
  <c r="AC124" i="1"/>
  <c r="AE124" i="1"/>
  <c r="AF124" i="1"/>
  <c r="CT124" i="1" s="1"/>
  <c r="S124" i="1" s="1"/>
  <c r="AG124" i="1"/>
  <c r="CU124" i="1" s="1"/>
  <c r="T124" i="1" s="1"/>
  <c r="AH124" i="1"/>
  <c r="CV124" i="1" s="1"/>
  <c r="U124" i="1" s="1"/>
  <c r="AI124" i="1"/>
  <c r="CW124" i="1" s="1"/>
  <c r="V124" i="1" s="1"/>
  <c r="AJ124" i="1"/>
  <c r="CX124" i="1" s="1"/>
  <c r="W124" i="1" s="1"/>
  <c r="CQ124" i="1"/>
  <c r="P124" i="1" s="1"/>
  <c r="CS124" i="1"/>
  <c r="R124" i="1" s="1"/>
  <c r="FR124" i="1"/>
  <c r="GL124" i="1"/>
  <c r="GN124" i="1"/>
  <c r="GO124" i="1"/>
  <c r="GV124" i="1"/>
  <c r="HC124" i="1"/>
  <c r="GX124" i="1" s="1"/>
  <c r="D125" i="1"/>
  <c r="U125" i="1"/>
  <c r="AC125" i="1"/>
  <c r="AE125" i="1"/>
  <c r="AF125" i="1"/>
  <c r="AG125" i="1"/>
  <c r="CU125" i="1" s="1"/>
  <c r="T125" i="1" s="1"/>
  <c r="AH125" i="1"/>
  <c r="AI125" i="1"/>
  <c r="CW125" i="1" s="1"/>
  <c r="V125" i="1" s="1"/>
  <c r="AJ125" i="1"/>
  <c r="CT125" i="1"/>
  <c r="S125" i="1" s="1"/>
  <c r="CY125" i="1" s="1"/>
  <c r="X125" i="1" s="1"/>
  <c r="CV125" i="1"/>
  <c r="CX125" i="1"/>
  <c r="W125" i="1" s="1"/>
  <c r="FR125" i="1"/>
  <c r="GL125" i="1"/>
  <c r="GN125" i="1"/>
  <c r="GO125" i="1"/>
  <c r="GV125" i="1"/>
  <c r="HC125" i="1" s="1"/>
  <c r="GX125" i="1" s="1"/>
  <c r="D126" i="1"/>
  <c r="AC126" i="1"/>
  <c r="CQ126" i="1" s="1"/>
  <c r="P126" i="1" s="1"/>
  <c r="AE126" i="1"/>
  <c r="AD126" i="1" s="1"/>
  <c r="AF126" i="1"/>
  <c r="CT126" i="1" s="1"/>
  <c r="S126" i="1" s="1"/>
  <c r="CZ126" i="1" s="1"/>
  <c r="Y126" i="1" s="1"/>
  <c r="AG126" i="1"/>
  <c r="CU126" i="1" s="1"/>
  <c r="T126" i="1" s="1"/>
  <c r="AH126" i="1"/>
  <c r="CV126" i="1" s="1"/>
  <c r="U126" i="1" s="1"/>
  <c r="AI126" i="1"/>
  <c r="AJ126" i="1"/>
  <c r="CX126" i="1" s="1"/>
  <c r="W126" i="1" s="1"/>
  <c r="CS126" i="1"/>
  <c r="R126" i="1" s="1"/>
  <c r="CW126" i="1"/>
  <c r="V126" i="1" s="1"/>
  <c r="CY126" i="1"/>
  <c r="X126" i="1" s="1"/>
  <c r="FR126" i="1"/>
  <c r="GL126" i="1"/>
  <c r="GN126" i="1"/>
  <c r="GO126" i="1"/>
  <c r="GV126" i="1"/>
  <c r="HC126" i="1" s="1"/>
  <c r="GX126" i="1" s="1"/>
  <c r="B128" i="1"/>
  <c r="B97" i="1" s="1"/>
  <c r="C128" i="1"/>
  <c r="C97" i="1" s="1"/>
  <c r="D128" i="1"/>
  <c r="D97" i="1" s="1"/>
  <c r="F128" i="1"/>
  <c r="F97" i="1" s="1"/>
  <c r="G128" i="1"/>
  <c r="BX128" i="1"/>
  <c r="BX97" i="1" s="1"/>
  <c r="CK128" i="1"/>
  <c r="CK97" i="1" s="1"/>
  <c r="CL128" i="1"/>
  <c r="CL97" i="1" s="1"/>
  <c r="CM128" i="1"/>
  <c r="CM97" i="1" s="1"/>
  <c r="D158" i="1"/>
  <c r="E160" i="1"/>
  <c r="Z160" i="1"/>
  <c r="AA160" i="1"/>
  <c r="AM160" i="1"/>
  <c r="AN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D162" i="1"/>
  <c r="AC162" i="1"/>
  <c r="AE162" i="1"/>
  <c r="AF162" i="1"/>
  <c r="AG162" i="1"/>
  <c r="CU162" i="1" s="1"/>
  <c r="AH162" i="1"/>
  <c r="AI162" i="1"/>
  <c r="CW162" i="1" s="1"/>
  <c r="AJ162" i="1"/>
  <c r="CT162" i="1"/>
  <c r="CV162" i="1"/>
  <c r="CX162" i="1"/>
  <c r="FR162" i="1"/>
  <c r="GL162" i="1"/>
  <c r="GN162" i="1"/>
  <c r="GO162" i="1"/>
  <c r="GV162" i="1"/>
  <c r="HC162" i="1" s="1"/>
  <c r="D163" i="1"/>
  <c r="I163" i="1"/>
  <c r="AC163" i="1"/>
  <c r="AD163" i="1"/>
  <c r="AE163" i="1"/>
  <c r="AF163" i="1"/>
  <c r="CT163" i="1" s="1"/>
  <c r="AG163" i="1"/>
  <c r="AH163" i="1"/>
  <c r="CV163" i="1" s="1"/>
  <c r="AI163" i="1"/>
  <c r="CW163" i="1" s="1"/>
  <c r="V163" i="1" s="1"/>
  <c r="AJ163" i="1"/>
  <c r="CX163" i="1" s="1"/>
  <c r="CQ163" i="1"/>
  <c r="P163" i="1" s="1"/>
  <c r="J200" i="5" s="1"/>
  <c r="CR163" i="1"/>
  <c r="CS163" i="1"/>
  <c r="CU163" i="1"/>
  <c r="FR163" i="1"/>
  <c r="GL163" i="1"/>
  <c r="GN163" i="1"/>
  <c r="GO163" i="1"/>
  <c r="CC175" i="1" s="1"/>
  <c r="CC160" i="1" s="1"/>
  <c r="GV163" i="1"/>
  <c r="HC163" i="1" s="1"/>
  <c r="C164" i="1"/>
  <c r="D164" i="1"/>
  <c r="I164" i="1"/>
  <c r="AC164" i="1"/>
  <c r="AE164" i="1"/>
  <c r="CS164" i="1" s="1"/>
  <c r="AF164" i="1"/>
  <c r="AG164" i="1"/>
  <c r="AH164" i="1"/>
  <c r="CV164" i="1" s="1"/>
  <c r="U164" i="1" s="1"/>
  <c r="AI164" i="1"/>
  <c r="AJ164" i="1"/>
  <c r="CX164" i="1" s="1"/>
  <c r="W164" i="1" s="1"/>
  <c r="CQ164" i="1"/>
  <c r="P164" i="1" s="1"/>
  <c r="CU164" i="1"/>
  <c r="T164" i="1" s="1"/>
  <c r="CW164" i="1"/>
  <c r="V164" i="1" s="1"/>
  <c r="FR164" i="1"/>
  <c r="GL164" i="1"/>
  <c r="GN164" i="1"/>
  <c r="GO164" i="1"/>
  <c r="GV164" i="1"/>
  <c r="HC164" i="1" s="1"/>
  <c r="GX164" i="1" s="1"/>
  <c r="AC165" i="1"/>
  <c r="CQ165" i="1" s="1"/>
  <c r="AD165" i="1"/>
  <c r="AB165" i="1" s="1"/>
  <c r="AE165" i="1"/>
  <c r="AF165" i="1"/>
  <c r="AG165" i="1"/>
  <c r="AH165" i="1"/>
  <c r="CV165" i="1" s="1"/>
  <c r="AI165" i="1"/>
  <c r="CW165" i="1" s="1"/>
  <c r="AJ165" i="1"/>
  <c r="CX165" i="1" s="1"/>
  <c r="CR165" i="1"/>
  <c r="CS165" i="1"/>
  <c r="CU165" i="1"/>
  <c r="FR165" i="1"/>
  <c r="GL165" i="1"/>
  <c r="GN165" i="1"/>
  <c r="GO165" i="1"/>
  <c r="GV165" i="1"/>
  <c r="HC165" i="1" s="1"/>
  <c r="I166" i="1"/>
  <c r="AC166" i="1"/>
  <c r="AD166" i="1"/>
  <c r="AE166" i="1"/>
  <c r="U212" i="5" s="1"/>
  <c r="AF166" i="1"/>
  <c r="AG166" i="1"/>
  <c r="AH166" i="1"/>
  <c r="CV166" i="1" s="1"/>
  <c r="AI166" i="1"/>
  <c r="AJ166" i="1"/>
  <c r="CX166" i="1" s="1"/>
  <c r="CQ166" i="1"/>
  <c r="CR166" i="1"/>
  <c r="CS166" i="1"/>
  <c r="V212" i="5" s="1"/>
  <c r="CU166" i="1"/>
  <c r="CW166" i="1"/>
  <c r="FR166" i="1"/>
  <c r="GL166" i="1"/>
  <c r="GN166" i="1"/>
  <c r="GO166" i="1"/>
  <c r="GV166" i="1"/>
  <c r="HC166" i="1" s="1"/>
  <c r="C167" i="1"/>
  <c r="D167" i="1"/>
  <c r="I167" i="1"/>
  <c r="R167" i="1"/>
  <c r="AC167" i="1"/>
  <c r="AD167" i="1"/>
  <c r="AE167" i="1"/>
  <c r="AF167" i="1"/>
  <c r="AG167" i="1"/>
  <c r="AH167" i="1"/>
  <c r="CV167" i="1" s="1"/>
  <c r="U167" i="1" s="1"/>
  <c r="K227" i="5" s="1"/>
  <c r="AI167" i="1"/>
  <c r="CW167" i="1" s="1"/>
  <c r="V167" i="1" s="1"/>
  <c r="AJ167" i="1"/>
  <c r="CX167" i="1" s="1"/>
  <c r="W167" i="1" s="1"/>
  <c r="CQ167" i="1"/>
  <c r="CR167" i="1"/>
  <c r="CS167" i="1"/>
  <c r="CU167" i="1"/>
  <c r="T167" i="1" s="1"/>
  <c r="FR167" i="1"/>
  <c r="GL167" i="1"/>
  <c r="GN167" i="1"/>
  <c r="GO167" i="1"/>
  <c r="GV167" i="1"/>
  <c r="HC167" i="1" s="1"/>
  <c r="AC168" i="1"/>
  <c r="AD168" i="1"/>
  <c r="AB168" i="1" s="1"/>
  <c r="AE168" i="1"/>
  <c r="AF168" i="1"/>
  <c r="CT168" i="1" s="1"/>
  <c r="AG168" i="1"/>
  <c r="AH168" i="1"/>
  <c r="CV168" i="1" s="1"/>
  <c r="AI168" i="1"/>
  <c r="AJ168" i="1"/>
  <c r="CX168" i="1" s="1"/>
  <c r="CQ168" i="1"/>
  <c r="CR168" i="1"/>
  <c r="CS168" i="1"/>
  <c r="CU168" i="1"/>
  <c r="CW168" i="1"/>
  <c r="FR168" i="1"/>
  <c r="GL168" i="1"/>
  <c r="GN168" i="1"/>
  <c r="GO168" i="1"/>
  <c r="GV168" i="1"/>
  <c r="HC168" i="1" s="1"/>
  <c r="C169" i="1"/>
  <c r="D169" i="1"/>
  <c r="AC169" i="1"/>
  <c r="CQ169" i="1" s="1"/>
  <c r="AE169" i="1"/>
  <c r="AF169" i="1"/>
  <c r="CT169" i="1" s="1"/>
  <c r="AG169" i="1"/>
  <c r="CU169" i="1" s="1"/>
  <c r="AH169" i="1"/>
  <c r="CV169" i="1" s="1"/>
  <c r="AI169" i="1"/>
  <c r="AJ169" i="1"/>
  <c r="CX169" i="1" s="1"/>
  <c r="CS169" i="1"/>
  <c r="CW169" i="1"/>
  <c r="FR169" i="1"/>
  <c r="GL169" i="1"/>
  <c r="GN169" i="1"/>
  <c r="GO169" i="1"/>
  <c r="GV169" i="1"/>
  <c r="HC169" i="1"/>
  <c r="AC170" i="1"/>
  <c r="AD170" i="1"/>
  <c r="AE170" i="1"/>
  <c r="AF170" i="1"/>
  <c r="AG170" i="1"/>
  <c r="AH170" i="1"/>
  <c r="CV170" i="1" s="1"/>
  <c r="AI170" i="1"/>
  <c r="AJ170" i="1"/>
  <c r="CX170" i="1" s="1"/>
  <c r="CQ170" i="1"/>
  <c r="CR170" i="1"/>
  <c r="CS170" i="1"/>
  <c r="CU170" i="1"/>
  <c r="CW170" i="1"/>
  <c r="FR170" i="1"/>
  <c r="GL170" i="1"/>
  <c r="GN170" i="1"/>
  <c r="GO170" i="1"/>
  <c r="GV170" i="1"/>
  <c r="HC170" i="1" s="1"/>
  <c r="C171" i="1"/>
  <c r="D171" i="1"/>
  <c r="AC171" i="1"/>
  <c r="AD171" i="1"/>
  <c r="AE171" i="1"/>
  <c r="AF171" i="1"/>
  <c r="AG171" i="1"/>
  <c r="AH171" i="1"/>
  <c r="CV171" i="1" s="1"/>
  <c r="AI171" i="1"/>
  <c r="CW171" i="1" s="1"/>
  <c r="AJ171" i="1"/>
  <c r="CX171" i="1" s="1"/>
  <c r="CQ171" i="1"/>
  <c r="CR171" i="1"/>
  <c r="CS171" i="1"/>
  <c r="CU171" i="1"/>
  <c r="FR171" i="1"/>
  <c r="GL171" i="1"/>
  <c r="GN171" i="1"/>
  <c r="GO171" i="1"/>
  <c r="GV171" i="1"/>
  <c r="HC171" i="1" s="1"/>
  <c r="AC172" i="1"/>
  <c r="AD172" i="1"/>
  <c r="AE172" i="1"/>
  <c r="AF172" i="1"/>
  <c r="CT172" i="1" s="1"/>
  <c r="AG172" i="1"/>
  <c r="CU172" i="1" s="1"/>
  <c r="AH172" i="1"/>
  <c r="CV172" i="1" s="1"/>
  <c r="AI172" i="1"/>
  <c r="CW172" i="1" s="1"/>
  <c r="AJ172" i="1"/>
  <c r="CX172" i="1" s="1"/>
  <c r="CQ172" i="1"/>
  <c r="CR172" i="1"/>
  <c r="CS172" i="1"/>
  <c r="FR172" i="1"/>
  <c r="GL172" i="1"/>
  <c r="GN172" i="1"/>
  <c r="GO172" i="1"/>
  <c r="GV172" i="1"/>
  <c r="HC172" i="1" s="1"/>
  <c r="AC173" i="1"/>
  <c r="AE173" i="1"/>
  <c r="AD173" i="1" s="1"/>
  <c r="AF173" i="1"/>
  <c r="CT173" i="1" s="1"/>
  <c r="AG173" i="1"/>
  <c r="CU173" i="1" s="1"/>
  <c r="AH173" i="1"/>
  <c r="CV173" i="1" s="1"/>
  <c r="AI173" i="1"/>
  <c r="AJ173" i="1"/>
  <c r="CX173" i="1" s="1"/>
  <c r="CQ173" i="1"/>
  <c r="CS173" i="1"/>
  <c r="CW173" i="1"/>
  <c r="FR173" i="1"/>
  <c r="GL173" i="1"/>
  <c r="GN173" i="1"/>
  <c r="GO173" i="1"/>
  <c r="GV173" i="1"/>
  <c r="HC173" i="1" s="1"/>
  <c r="B175" i="1"/>
  <c r="B160" i="1" s="1"/>
  <c r="C175" i="1"/>
  <c r="C160" i="1" s="1"/>
  <c r="D175" i="1"/>
  <c r="D160" i="1" s="1"/>
  <c r="F175" i="1"/>
  <c r="F160" i="1" s="1"/>
  <c r="G175" i="1"/>
  <c r="AF251" i="5" s="1"/>
  <c r="BX175" i="1"/>
  <c r="BX160" i="1" s="1"/>
  <c r="CK175" i="1"/>
  <c r="CK160" i="1" s="1"/>
  <c r="CL175" i="1"/>
  <c r="CL160" i="1" s="1"/>
  <c r="CM175" i="1"/>
  <c r="CM160" i="1" s="1"/>
  <c r="D205" i="1"/>
  <c r="E207" i="1"/>
  <c r="Z207" i="1"/>
  <c r="AA207" i="1"/>
  <c r="AM207" i="1"/>
  <c r="AN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D209" i="1"/>
  <c r="I209" i="1"/>
  <c r="R209" i="1" s="1"/>
  <c r="GK209" i="1" s="1"/>
  <c r="AC209" i="1"/>
  <c r="AD209" i="1"/>
  <c r="AE209" i="1"/>
  <c r="AF209" i="1"/>
  <c r="CT209" i="1" s="1"/>
  <c r="AG209" i="1"/>
  <c r="AH209" i="1"/>
  <c r="CV209" i="1" s="1"/>
  <c r="AI209" i="1"/>
  <c r="CW209" i="1" s="1"/>
  <c r="V209" i="1" s="1"/>
  <c r="AJ209" i="1"/>
  <c r="CX209" i="1" s="1"/>
  <c r="CQ209" i="1"/>
  <c r="CR209" i="1"/>
  <c r="CS209" i="1"/>
  <c r="CU209" i="1"/>
  <c r="FR209" i="1"/>
  <c r="GL209" i="1"/>
  <c r="GN209" i="1"/>
  <c r="GO209" i="1"/>
  <c r="GV209" i="1"/>
  <c r="HC209" i="1" s="1"/>
  <c r="D210" i="1"/>
  <c r="AC210" i="1"/>
  <c r="AE210" i="1"/>
  <c r="AD210" i="1" s="1"/>
  <c r="AF210" i="1"/>
  <c r="CT210" i="1" s="1"/>
  <c r="AG210" i="1"/>
  <c r="CU210" i="1" s="1"/>
  <c r="AH210" i="1"/>
  <c r="CV210" i="1" s="1"/>
  <c r="AI210" i="1"/>
  <c r="CW210" i="1" s="1"/>
  <c r="AJ210" i="1"/>
  <c r="CX210" i="1" s="1"/>
  <c r="CR210" i="1"/>
  <c r="FR210" i="1"/>
  <c r="GL210" i="1"/>
  <c r="GN210" i="1"/>
  <c r="GO210" i="1"/>
  <c r="GV210" i="1"/>
  <c r="HC210" i="1"/>
  <c r="C211" i="1"/>
  <c r="D211" i="1"/>
  <c r="I211" i="1"/>
  <c r="AC211" i="1"/>
  <c r="AE211" i="1"/>
  <c r="AD211" i="1" s="1"/>
  <c r="AF211" i="1"/>
  <c r="CT211" i="1" s="1"/>
  <c r="S211" i="1" s="1"/>
  <c r="AG211" i="1"/>
  <c r="CU211" i="1" s="1"/>
  <c r="AH211" i="1"/>
  <c r="AI211" i="1"/>
  <c r="CW211" i="1" s="1"/>
  <c r="AJ211" i="1"/>
  <c r="CV211" i="1"/>
  <c r="U211" i="1" s="1"/>
  <c r="CX211" i="1"/>
  <c r="W211" i="1" s="1"/>
  <c r="FR211" i="1"/>
  <c r="GL211" i="1"/>
  <c r="GN211" i="1"/>
  <c r="GO211" i="1"/>
  <c r="GV211" i="1"/>
  <c r="HC211" i="1"/>
  <c r="GX211" i="1" s="1"/>
  <c r="I212" i="1"/>
  <c r="U212" i="1"/>
  <c r="AC212" i="1"/>
  <c r="AE212" i="1"/>
  <c r="CR212" i="1" s="1"/>
  <c r="AF212" i="1"/>
  <c r="AG212" i="1"/>
  <c r="CU212" i="1" s="1"/>
  <c r="T212" i="1" s="1"/>
  <c r="AH212" i="1"/>
  <c r="CV212" i="1" s="1"/>
  <c r="AI212" i="1"/>
  <c r="CW212" i="1" s="1"/>
  <c r="AJ212" i="1"/>
  <c r="CX212" i="1" s="1"/>
  <c r="W212" i="1" s="1"/>
  <c r="CT212" i="1"/>
  <c r="S212" i="1" s="1"/>
  <c r="FR212" i="1"/>
  <c r="GL212" i="1"/>
  <c r="GN212" i="1"/>
  <c r="GO212" i="1"/>
  <c r="GV212" i="1"/>
  <c r="HC212" i="1" s="1"/>
  <c r="C213" i="1"/>
  <c r="D213" i="1"/>
  <c r="I213" i="1"/>
  <c r="I214" i="1" s="1"/>
  <c r="AC213" i="1"/>
  <c r="AE213" i="1"/>
  <c r="AF213" i="1"/>
  <c r="AG213" i="1"/>
  <c r="CU213" i="1" s="1"/>
  <c r="T213" i="1" s="1"/>
  <c r="AH213" i="1"/>
  <c r="AI213" i="1"/>
  <c r="CW213" i="1" s="1"/>
  <c r="AJ213" i="1"/>
  <c r="CV213" i="1"/>
  <c r="U213" i="1" s="1"/>
  <c r="K263" i="5" s="1"/>
  <c r="CX213" i="1"/>
  <c r="W213" i="1" s="1"/>
  <c r="FR213" i="1"/>
  <c r="GL213" i="1"/>
  <c r="BZ216" i="1" s="1"/>
  <c r="BZ207" i="1" s="1"/>
  <c r="GN213" i="1"/>
  <c r="GO213" i="1"/>
  <c r="GV213" i="1"/>
  <c r="HC213" i="1" s="1"/>
  <c r="GX213" i="1" s="1"/>
  <c r="AC214" i="1"/>
  <c r="AE214" i="1"/>
  <c r="AF214" i="1"/>
  <c r="CT214" i="1" s="1"/>
  <c r="AG214" i="1"/>
  <c r="CU214" i="1" s="1"/>
  <c r="AH214" i="1"/>
  <c r="AI214" i="1"/>
  <c r="CW214" i="1" s="1"/>
  <c r="AJ214" i="1"/>
  <c r="CV214" i="1"/>
  <c r="CX214" i="1"/>
  <c r="FR214" i="1"/>
  <c r="GL214" i="1"/>
  <c r="GN214" i="1"/>
  <c r="GO214" i="1"/>
  <c r="GV214" i="1"/>
  <c r="HC214" i="1"/>
  <c r="B216" i="1"/>
  <c r="B207" i="1" s="1"/>
  <c r="C216" i="1"/>
  <c r="C207" i="1" s="1"/>
  <c r="D216" i="1"/>
  <c r="D207" i="1" s="1"/>
  <c r="F216" i="1"/>
  <c r="F207" i="1" s="1"/>
  <c r="G216" i="1"/>
  <c r="BX216" i="1"/>
  <c r="CB216" i="1"/>
  <c r="CK216" i="1"/>
  <c r="CK207" i="1" s="1"/>
  <c r="CL216" i="1"/>
  <c r="CL207" i="1" s="1"/>
  <c r="CM216" i="1"/>
  <c r="CM207" i="1" s="1"/>
  <c r="D246" i="1"/>
  <c r="B248" i="1"/>
  <c r="E248" i="1"/>
  <c r="Z248" i="1"/>
  <c r="AA248" i="1"/>
  <c r="AM248" i="1"/>
  <c r="AN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D250" i="1"/>
  <c r="AC250" i="1"/>
  <c r="AE250" i="1"/>
  <c r="AD250" i="1" s="1"/>
  <c r="AF250" i="1"/>
  <c r="CT250" i="1" s="1"/>
  <c r="AG250" i="1"/>
  <c r="CU250" i="1" s="1"/>
  <c r="AH250" i="1"/>
  <c r="CV250" i="1" s="1"/>
  <c r="AI250" i="1"/>
  <c r="CW250" i="1" s="1"/>
  <c r="AJ250" i="1"/>
  <c r="CR250" i="1"/>
  <c r="CX250" i="1"/>
  <c r="FR250" i="1"/>
  <c r="GL250" i="1"/>
  <c r="GN250" i="1"/>
  <c r="GO250" i="1"/>
  <c r="GV250" i="1"/>
  <c r="HC250" i="1" s="1"/>
  <c r="D251" i="1"/>
  <c r="AC251" i="1"/>
  <c r="AE251" i="1"/>
  <c r="AD251" i="1" s="1"/>
  <c r="AB251" i="1" s="1"/>
  <c r="AF251" i="1"/>
  <c r="CT251" i="1" s="1"/>
  <c r="AG251" i="1"/>
  <c r="AH251" i="1"/>
  <c r="CV251" i="1" s="1"/>
  <c r="AI251" i="1"/>
  <c r="AJ251" i="1"/>
  <c r="CX251" i="1" s="1"/>
  <c r="CQ251" i="1"/>
  <c r="CS251" i="1"/>
  <c r="CU251" i="1"/>
  <c r="CW251" i="1"/>
  <c r="FR251" i="1"/>
  <c r="GL251" i="1"/>
  <c r="GN251" i="1"/>
  <c r="GO251" i="1"/>
  <c r="GV251" i="1"/>
  <c r="HC251" i="1" s="1"/>
  <c r="C252" i="1"/>
  <c r="D252" i="1"/>
  <c r="I252" i="1"/>
  <c r="AC252" i="1"/>
  <c r="AD252" i="1"/>
  <c r="AB252" i="1" s="1"/>
  <c r="AE252" i="1"/>
  <c r="U270" i="5" s="1"/>
  <c r="AF252" i="1"/>
  <c r="S270" i="5" s="1"/>
  <c r="AG252" i="1"/>
  <c r="CU252" i="1" s="1"/>
  <c r="T252" i="1" s="1"/>
  <c r="AH252" i="1"/>
  <c r="CV252" i="1" s="1"/>
  <c r="U252" i="1" s="1"/>
  <c r="K279" i="5" s="1"/>
  <c r="AI252" i="1"/>
  <c r="AJ252" i="1"/>
  <c r="CX252" i="1" s="1"/>
  <c r="W252" i="1" s="1"/>
  <c r="CQ252" i="1"/>
  <c r="CR252" i="1"/>
  <c r="Q252" i="1" s="1"/>
  <c r="J272" i="5" s="1"/>
  <c r="CS252" i="1"/>
  <c r="CW252" i="1"/>
  <c r="V252" i="1" s="1"/>
  <c r="FR252" i="1"/>
  <c r="GL252" i="1"/>
  <c r="GN252" i="1"/>
  <c r="GO252" i="1"/>
  <c r="GV252" i="1"/>
  <c r="HC252" i="1" s="1"/>
  <c r="GX252" i="1" s="1"/>
  <c r="I253" i="1"/>
  <c r="AC253" i="1"/>
  <c r="AD253" i="1"/>
  <c r="AE253" i="1"/>
  <c r="AF253" i="1"/>
  <c r="AG253" i="1"/>
  <c r="AH253" i="1"/>
  <c r="CV253" i="1" s="1"/>
  <c r="AI253" i="1"/>
  <c r="CW253" i="1" s="1"/>
  <c r="AJ253" i="1"/>
  <c r="CQ253" i="1"/>
  <c r="CR253" i="1"/>
  <c r="CS253" i="1"/>
  <c r="CU253" i="1"/>
  <c r="CX253" i="1"/>
  <c r="FR253" i="1"/>
  <c r="GL253" i="1"/>
  <c r="GN253" i="1"/>
  <c r="CB255" i="1" s="1"/>
  <c r="CB248" i="1" s="1"/>
  <c r="GO253" i="1"/>
  <c r="GV253" i="1"/>
  <c r="HC253" i="1"/>
  <c r="B255" i="1"/>
  <c r="C255" i="1"/>
  <c r="C248" i="1" s="1"/>
  <c r="D255" i="1"/>
  <c r="D248" i="1" s="1"/>
  <c r="F255" i="1"/>
  <c r="F248" i="1" s="1"/>
  <c r="G255" i="1"/>
  <c r="BX255" i="1"/>
  <c r="BX248" i="1" s="1"/>
  <c r="BY255" i="1"/>
  <c r="CC255" i="1"/>
  <c r="CC248" i="1" s="1"/>
  <c r="CK255" i="1"/>
  <c r="CK248" i="1" s="1"/>
  <c r="CL255" i="1"/>
  <c r="CL248" i="1" s="1"/>
  <c r="CM255" i="1"/>
  <c r="CM248" i="1" s="1"/>
  <c r="D285" i="1"/>
  <c r="E287" i="1"/>
  <c r="Z287" i="1"/>
  <c r="AA287" i="1"/>
  <c r="AM287" i="1"/>
  <c r="AN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FC287" i="1"/>
  <c r="FD287" i="1"/>
  <c r="FE287" i="1"/>
  <c r="FF287" i="1"/>
  <c r="FG287" i="1"/>
  <c r="FH287" i="1"/>
  <c r="FI287" i="1"/>
  <c r="FJ287" i="1"/>
  <c r="FK287" i="1"/>
  <c r="FL287" i="1"/>
  <c r="FM287" i="1"/>
  <c r="FN287" i="1"/>
  <c r="FO287" i="1"/>
  <c r="FP287" i="1"/>
  <c r="FQ287" i="1"/>
  <c r="FR287" i="1"/>
  <c r="FS287" i="1"/>
  <c r="FT287" i="1"/>
  <c r="FU287" i="1"/>
  <c r="FV287" i="1"/>
  <c r="FW287" i="1"/>
  <c r="FX287" i="1"/>
  <c r="FY287" i="1"/>
  <c r="FZ287" i="1"/>
  <c r="GA287" i="1"/>
  <c r="GB287" i="1"/>
  <c r="GC287" i="1"/>
  <c r="GD287" i="1"/>
  <c r="GE287" i="1"/>
  <c r="GF287" i="1"/>
  <c r="GG287" i="1"/>
  <c r="GH287" i="1"/>
  <c r="GI287" i="1"/>
  <c r="GJ287" i="1"/>
  <c r="GK287" i="1"/>
  <c r="GL287" i="1"/>
  <c r="GM287" i="1"/>
  <c r="GN287" i="1"/>
  <c r="GO287" i="1"/>
  <c r="GP287" i="1"/>
  <c r="GQ287" i="1"/>
  <c r="GR287" i="1"/>
  <c r="GS287" i="1"/>
  <c r="GT287" i="1"/>
  <c r="GU287" i="1"/>
  <c r="GV287" i="1"/>
  <c r="GW287" i="1"/>
  <c r="GX287" i="1"/>
  <c r="D289" i="1"/>
  <c r="AC289" i="1"/>
  <c r="AE289" i="1"/>
  <c r="AD289" i="1" s="1"/>
  <c r="AF289" i="1"/>
  <c r="CT289" i="1" s="1"/>
  <c r="AG289" i="1"/>
  <c r="AH289" i="1"/>
  <c r="CV289" i="1" s="1"/>
  <c r="AI289" i="1"/>
  <c r="AJ289" i="1"/>
  <c r="CX289" i="1" s="1"/>
  <c r="CQ289" i="1"/>
  <c r="CS289" i="1"/>
  <c r="CU289" i="1"/>
  <c r="CW289" i="1"/>
  <c r="FR289" i="1"/>
  <c r="GL289" i="1"/>
  <c r="GN289" i="1"/>
  <c r="GO289" i="1"/>
  <c r="GV289" i="1"/>
  <c r="HC289" i="1"/>
  <c r="D290" i="1"/>
  <c r="AC290" i="1"/>
  <c r="AE290" i="1"/>
  <c r="AD290" i="1" s="1"/>
  <c r="AF290" i="1"/>
  <c r="AG290" i="1"/>
  <c r="CU290" i="1" s="1"/>
  <c r="AH290" i="1"/>
  <c r="CV290" i="1" s="1"/>
  <c r="AI290" i="1"/>
  <c r="CW290" i="1" s="1"/>
  <c r="AJ290" i="1"/>
  <c r="CX290" i="1" s="1"/>
  <c r="CR290" i="1"/>
  <c r="CT290" i="1"/>
  <c r="FR290" i="1"/>
  <c r="GL290" i="1"/>
  <c r="GN290" i="1"/>
  <c r="GO290" i="1"/>
  <c r="GV290" i="1"/>
  <c r="HC290" i="1"/>
  <c r="C291" i="1"/>
  <c r="D291" i="1"/>
  <c r="I291" i="1"/>
  <c r="AC291" i="1"/>
  <c r="AE291" i="1"/>
  <c r="AF291" i="1"/>
  <c r="AG291" i="1"/>
  <c r="CU291" i="1" s="1"/>
  <c r="T291" i="1" s="1"/>
  <c r="AH291" i="1"/>
  <c r="AI291" i="1"/>
  <c r="CW291" i="1" s="1"/>
  <c r="V291" i="1" s="1"/>
  <c r="AJ291" i="1"/>
  <c r="CT291" i="1"/>
  <c r="S291" i="1" s="1"/>
  <c r="J287" i="5" s="1"/>
  <c r="CV291" i="1"/>
  <c r="U291" i="1" s="1"/>
  <c r="K295" i="5" s="1"/>
  <c r="CX291" i="1"/>
  <c r="W291" i="1" s="1"/>
  <c r="FR291" i="1"/>
  <c r="GL291" i="1"/>
  <c r="BZ298" i="1" s="1"/>
  <c r="AQ298" i="1" s="1"/>
  <c r="GN291" i="1"/>
  <c r="GO291" i="1"/>
  <c r="GV291" i="1"/>
  <c r="HC291" i="1"/>
  <c r="GX291" i="1" s="1"/>
  <c r="I292" i="1"/>
  <c r="Q291" i="5" s="1"/>
  <c r="AC292" i="1"/>
  <c r="AE292" i="1"/>
  <c r="AF292" i="1"/>
  <c r="AG292" i="1"/>
  <c r="CU292" i="1" s="1"/>
  <c r="AH292" i="1"/>
  <c r="AI292" i="1"/>
  <c r="CW292" i="1" s="1"/>
  <c r="AJ292" i="1"/>
  <c r="CX292" i="1" s="1"/>
  <c r="W292" i="1" s="1"/>
  <c r="CT292" i="1"/>
  <c r="S292" i="1" s="1"/>
  <c r="CY292" i="1" s="1"/>
  <c r="X292" i="1" s="1"/>
  <c r="R291" i="5" s="1"/>
  <c r="CV292" i="1"/>
  <c r="U292" i="1" s="1"/>
  <c r="FR292" i="1"/>
  <c r="GL292" i="1"/>
  <c r="GN292" i="1"/>
  <c r="GO292" i="1"/>
  <c r="GV292" i="1"/>
  <c r="HC292" i="1" s="1"/>
  <c r="GX292" i="1" s="1"/>
  <c r="C293" i="1"/>
  <c r="D293" i="1"/>
  <c r="I293" i="1"/>
  <c r="AC293" i="1"/>
  <c r="AE293" i="1"/>
  <c r="AF293" i="1"/>
  <c r="AG293" i="1"/>
  <c r="CU293" i="1" s="1"/>
  <c r="AH293" i="1"/>
  <c r="CV293" i="1" s="1"/>
  <c r="U293" i="1" s="1"/>
  <c r="AI293" i="1"/>
  <c r="CW293" i="1" s="1"/>
  <c r="V293" i="1" s="1"/>
  <c r="AJ293" i="1"/>
  <c r="CX293" i="1" s="1"/>
  <c r="W293" i="1" s="1"/>
  <c r="CT293" i="1"/>
  <c r="S293" i="1" s="1"/>
  <c r="CY293" i="1" s="1"/>
  <c r="X293" i="1" s="1"/>
  <c r="FR293" i="1"/>
  <c r="GL293" i="1"/>
  <c r="GN293" i="1"/>
  <c r="GO293" i="1"/>
  <c r="GV293" i="1"/>
  <c r="HC293" i="1" s="1"/>
  <c r="GX293" i="1" s="1"/>
  <c r="AC294" i="1"/>
  <c r="AE294" i="1"/>
  <c r="AD294" i="1" s="1"/>
  <c r="AF294" i="1"/>
  <c r="AG294" i="1"/>
  <c r="CU294" i="1" s="1"/>
  <c r="AH294" i="1"/>
  <c r="CV294" i="1" s="1"/>
  <c r="AI294" i="1"/>
  <c r="CW294" i="1" s="1"/>
  <c r="AJ294" i="1"/>
  <c r="CX294" i="1" s="1"/>
  <c r="CR294" i="1"/>
  <c r="CT294" i="1"/>
  <c r="FR294" i="1"/>
  <c r="GL294" i="1"/>
  <c r="GN294" i="1"/>
  <c r="GO294" i="1"/>
  <c r="GV294" i="1"/>
  <c r="HC294" i="1" s="1"/>
  <c r="C295" i="1"/>
  <c r="D295" i="1"/>
  <c r="I295" i="1"/>
  <c r="D61" i="6" s="1"/>
  <c r="AC295" i="1"/>
  <c r="AE295" i="1"/>
  <c r="AD295" i="1" s="1"/>
  <c r="AF295" i="1"/>
  <c r="AG295" i="1"/>
  <c r="CU295" i="1" s="1"/>
  <c r="T295" i="1" s="1"/>
  <c r="AH295" i="1"/>
  <c r="AI295" i="1"/>
  <c r="CW295" i="1" s="1"/>
  <c r="V295" i="1" s="1"/>
  <c r="AJ295" i="1"/>
  <c r="CV295" i="1"/>
  <c r="U295" i="1" s="1"/>
  <c r="K302" i="5" s="1"/>
  <c r="CX295" i="1"/>
  <c r="W295" i="1" s="1"/>
  <c r="FR295" i="1"/>
  <c r="GL295" i="1"/>
  <c r="GN295" i="1"/>
  <c r="CB298" i="1" s="1"/>
  <c r="AS298" i="1" s="1"/>
  <c r="GO295" i="1"/>
  <c r="GV295" i="1"/>
  <c r="HC295" i="1"/>
  <c r="GX295" i="1" s="1"/>
  <c r="D296" i="1"/>
  <c r="I296" i="1"/>
  <c r="P296" i="1"/>
  <c r="AC296" i="1"/>
  <c r="AD296" i="1"/>
  <c r="AB296" i="1" s="1"/>
  <c r="AE296" i="1"/>
  <c r="AF296" i="1"/>
  <c r="CT296" i="1" s="1"/>
  <c r="AG296" i="1"/>
  <c r="CU296" i="1" s="1"/>
  <c r="AH296" i="1"/>
  <c r="CV296" i="1" s="1"/>
  <c r="AI296" i="1"/>
  <c r="CW296" i="1" s="1"/>
  <c r="V296" i="1" s="1"/>
  <c r="AJ296" i="1"/>
  <c r="CX296" i="1" s="1"/>
  <c r="W296" i="1" s="1"/>
  <c r="CQ296" i="1"/>
  <c r="CR296" i="1"/>
  <c r="CS296" i="1"/>
  <c r="FR296" i="1"/>
  <c r="GL296" i="1"/>
  <c r="GN296" i="1"/>
  <c r="GO296" i="1"/>
  <c r="GV296" i="1"/>
  <c r="HC296" i="1" s="1"/>
  <c r="GX296" i="1" s="1"/>
  <c r="B298" i="1"/>
  <c r="B287" i="1" s="1"/>
  <c r="C298" i="1"/>
  <c r="C287" i="1" s="1"/>
  <c r="D298" i="1"/>
  <c r="D287" i="1" s="1"/>
  <c r="F298" i="1"/>
  <c r="F287" i="1" s="1"/>
  <c r="G298" i="1"/>
  <c r="BB298" i="1"/>
  <c r="BX298" i="1"/>
  <c r="AO298" i="1" s="1"/>
  <c r="BY298" i="1"/>
  <c r="CK298" i="1"/>
  <c r="CK287" i="1" s="1"/>
  <c r="CL298" i="1"/>
  <c r="BC298" i="1" s="1"/>
  <c r="CM298" i="1"/>
  <c r="CM287" i="1" s="1"/>
  <c r="D328" i="1"/>
  <c r="C330" i="1"/>
  <c r="E330" i="1"/>
  <c r="G330" i="1"/>
  <c r="Z330" i="1"/>
  <c r="AA330" i="1"/>
  <c r="AM330" i="1"/>
  <c r="AN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EA330" i="1"/>
  <c r="EB330" i="1"/>
  <c r="EC330" i="1"/>
  <c r="ED330" i="1"/>
  <c r="EE330" i="1"/>
  <c r="EF330" i="1"/>
  <c r="EG330" i="1"/>
  <c r="EH330" i="1"/>
  <c r="EI330" i="1"/>
  <c r="EJ330" i="1"/>
  <c r="EK330" i="1"/>
  <c r="EL330" i="1"/>
  <c r="EM330" i="1"/>
  <c r="EN330" i="1"/>
  <c r="EO330" i="1"/>
  <c r="EP330" i="1"/>
  <c r="EQ330" i="1"/>
  <c r="ER330" i="1"/>
  <c r="ES330" i="1"/>
  <c r="ET330" i="1"/>
  <c r="EU330" i="1"/>
  <c r="EV330" i="1"/>
  <c r="EW330" i="1"/>
  <c r="EX330" i="1"/>
  <c r="EY330" i="1"/>
  <c r="EZ330" i="1"/>
  <c r="FA330" i="1"/>
  <c r="FB330" i="1"/>
  <c r="FC330" i="1"/>
  <c r="FD330" i="1"/>
  <c r="FE330" i="1"/>
  <c r="FF330" i="1"/>
  <c r="FG330" i="1"/>
  <c r="FH330" i="1"/>
  <c r="FI330" i="1"/>
  <c r="FJ330" i="1"/>
  <c r="FK330" i="1"/>
  <c r="FL330" i="1"/>
  <c r="FM330" i="1"/>
  <c r="FN330" i="1"/>
  <c r="FO330" i="1"/>
  <c r="FP330" i="1"/>
  <c r="FQ330" i="1"/>
  <c r="FR330" i="1"/>
  <c r="FS330" i="1"/>
  <c r="FT330" i="1"/>
  <c r="FU330" i="1"/>
  <c r="FV330" i="1"/>
  <c r="FW330" i="1"/>
  <c r="FX330" i="1"/>
  <c r="FY330" i="1"/>
  <c r="FZ330" i="1"/>
  <c r="GA330" i="1"/>
  <c r="GB330" i="1"/>
  <c r="GC330" i="1"/>
  <c r="GD330" i="1"/>
  <c r="GE330" i="1"/>
  <c r="GF330" i="1"/>
  <c r="GG330" i="1"/>
  <c r="GH330" i="1"/>
  <c r="GI330" i="1"/>
  <c r="GJ330" i="1"/>
  <c r="GK330" i="1"/>
  <c r="GL330" i="1"/>
  <c r="GM330" i="1"/>
  <c r="GN330" i="1"/>
  <c r="GO330" i="1"/>
  <c r="GP330" i="1"/>
  <c r="GQ330" i="1"/>
  <c r="GR330" i="1"/>
  <c r="GS330" i="1"/>
  <c r="GT330" i="1"/>
  <c r="GU330" i="1"/>
  <c r="GV330" i="1"/>
  <c r="GW330" i="1"/>
  <c r="GX330" i="1"/>
  <c r="D332" i="1"/>
  <c r="AC332" i="1"/>
  <c r="AD332" i="1"/>
  <c r="AB332" i="1" s="1"/>
  <c r="AE332" i="1"/>
  <c r="AF332" i="1"/>
  <c r="AG332" i="1"/>
  <c r="AH332" i="1"/>
  <c r="CV332" i="1" s="1"/>
  <c r="AI332" i="1"/>
  <c r="AJ332" i="1"/>
  <c r="CX332" i="1" s="1"/>
  <c r="CQ332" i="1"/>
  <c r="CR332" i="1"/>
  <c r="CS332" i="1"/>
  <c r="CU332" i="1"/>
  <c r="CW332" i="1"/>
  <c r="FR332" i="1"/>
  <c r="GL332" i="1"/>
  <c r="GN332" i="1"/>
  <c r="GO332" i="1"/>
  <c r="GV332" i="1"/>
  <c r="HC332" i="1" s="1"/>
  <c r="D333" i="1"/>
  <c r="I333" i="1"/>
  <c r="AC333" i="1"/>
  <c r="AE333" i="1"/>
  <c r="AF333" i="1"/>
  <c r="AG333" i="1"/>
  <c r="CU333" i="1" s="1"/>
  <c r="T333" i="1" s="1"/>
  <c r="AH333" i="1"/>
  <c r="AI333" i="1"/>
  <c r="CW333" i="1" s="1"/>
  <c r="V333" i="1" s="1"/>
  <c r="AJ333" i="1"/>
  <c r="CT333" i="1"/>
  <c r="S333" i="1" s="1"/>
  <c r="CY333" i="1" s="1"/>
  <c r="X333" i="1" s="1"/>
  <c r="CV333" i="1"/>
  <c r="CX333" i="1"/>
  <c r="W333" i="1" s="1"/>
  <c r="FR333" i="1"/>
  <c r="GL333" i="1"/>
  <c r="GN333" i="1"/>
  <c r="GO333" i="1"/>
  <c r="GV333" i="1"/>
  <c r="HC333" i="1" s="1"/>
  <c r="D334" i="1"/>
  <c r="I334" i="1"/>
  <c r="V334" i="1"/>
  <c r="AC334" i="1"/>
  <c r="AD334" i="1"/>
  <c r="AE334" i="1"/>
  <c r="AF334" i="1"/>
  <c r="AG334" i="1"/>
  <c r="AH334" i="1"/>
  <c r="CV334" i="1" s="1"/>
  <c r="U334" i="1" s="1"/>
  <c r="AI334" i="1"/>
  <c r="CW334" i="1" s="1"/>
  <c r="AJ334" i="1"/>
  <c r="CX334" i="1" s="1"/>
  <c r="CQ334" i="1"/>
  <c r="CR334" i="1"/>
  <c r="Q334" i="1" s="1"/>
  <c r="J321" i="5" s="1"/>
  <c r="CS334" i="1"/>
  <c r="CU334" i="1"/>
  <c r="FR334" i="1"/>
  <c r="GL334" i="1"/>
  <c r="GN334" i="1"/>
  <c r="CB336" i="1" s="1"/>
  <c r="GO334" i="1"/>
  <c r="CC336" i="1" s="1"/>
  <c r="CC330" i="1" s="1"/>
  <c r="GV334" i="1"/>
  <c r="HC334" i="1" s="1"/>
  <c r="GX334" i="1" s="1"/>
  <c r="B336" i="1"/>
  <c r="B330" i="1" s="1"/>
  <c r="C336" i="1"/>
  <c r="D336" i="1"/>
  <c r="D330" i="1" s="1"/>
  <c r="F336" i="1"/>
  <c r="F330" i="1" s="1"/>
  <c r="G336" i="1"/>
  <c r="AF330" i="5" s="1"/>
  <c r="BX336" i="1"/>
  <c r="AO336" i="1" s="1"/>
  <c r="CK336" i="1"/>
  <c r="CK330" i="1" s="1"/>
  <c r="CL336" i="1"/>
  <c r="CM336" i="1"/>
  <c r="CM330" i="1" s="1"/>
  <c r="D366" i="1"/>
  <c r="E368" i="1"/>
  <c r="Z368" i="1"/>
  <c r="AA368" i="1"/>
  <c r="AM368" i="1"/>
  <c r="AN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DD368" i="1"/>
  <c r="DE368" i="1"/>
  <c r="DF368" i="1"/>
  <c r="DG368" i="1"/>
  <c r="DH368" i="1"/>
  <c r="DI368" i="1"/>
  <c r="DJ368" i="1"/>
  <c r="DK368" i="1"/>
  <c r="DL368" i="1"/>
  <c r="DM368" i="1"/>
  <c r="DN368" i="1"/>
  <c r="DO368" i="1"/>
  <c r="DP368" i="1"/>
  <c r="DQ368" i="1"/>
  <c r="DR368" i="1"/>
  <c r="DS368" i="1"/>
  <c r="DT368" i="1"/>
  <c r="DU368" i="1"/>
  <c r="DV368" i="1"/>
  <c r="DW368" i="1"/>
  <c r="DX368" i="1"/>
  <c r="DY368" i="1"/>
  <c r="DZ368" i="1"/>
  <c r="EA368" i="1"/>
  <c r="EB368" i="1"/>
  <c r="EC368" i="1"/>
  <c r="ED368" i="1"/>
  <c r="EE368" i="1"/>
  <c r="EF368" i="1"/>
  <c r="EG368" i="1"/>
  <c r="EH368" i="1"/>
  <c r="EI368" i="1"/>
  <c r="EJ368" i="1"/>
  <c r="EK368" i="1"/>
  <c r="EL368" i="1"/>
  <c r="EM368" i="1"/>
  <c r="EN368" i="1"/>
  <c r="EO368" i="1"/>
  <c r="EP368" i="1"/>
  <c r="EQ368" i="1"/>
  <c r="ER368" i="1"/>
  <c r="ES368" i="1"/>
  <c r="ET368" i="1"/>
  <c r="EU368" i="1"/>
  <c r="EV368" i="1"/>
  <c r="EW368" i="1"/>
  <c r="EX368" i="1"/>
  <c r="EY368" i="1"/>
  <c r="EZ368" i="1"/>
  <c r="FA368" i="1"/>
  <c r="FB368" i="1"/>
  <c r="FC368" i="1"/>
  <c r="FD368" i="1"/>
  <c r="FE368" i="1"/>
  <c r="FF368" i="1"/>
  <c r="FG368" i="1"/>
  <c r="FH368" i="1"/>
  <c r="FI368" i="1"/>
  <c r="FJ368" i="1"/>
  <c r="FK368" i="1"/>
  <c r="FL368" i="1"/>
  <c r="FM368" i="1"/>
  <c r="FN368" i="1"/>
  <c r="FO368" i="1"/>
  <c r="FP368" i="1"/>
  <c r="FQ368" i="1"/>
  <c r="FR368" i="1"/>
  <c r="FS368" i="1"/>
  <c r="FT368" i="1"/>
  <c r="FU368" i="1"/>
  <c r="FV368" i="1"/>
  <c r="FW368" i="1"/>
  <c r="FX368" i="1"/>
  <c r="FY368" i="1"/>
  <c r="FZ368" i="1"/>
  <c r="GA368" i="1"/>
  <c r="GB368" i="1"/>
  <c r="GC368" i="1"/>
  <c r="GD368" i="1"/>
  <c r="GE368" i="1"/>
  <c r="GF368" i="1"/>
  <c r="GG368" i="1"/>
  <c r="GH368" i="1"/>
  <c r="GI368" i="1"/>
  <c r="GJ368" i="1"/>
  <c r="GK368" i="1"/>
  <c r="GL368" i="1"/>
  <c r="GM368" i="1"/>
  <c r="GN368" i="1"/>
  <c r="GO368" i="1"/>
  <c r="GP368" i="1"/>
  <c r="GQ368" i="1"/>
  <c r="GR368" i="1"/>
  <c r="GS368" i="1"/>
  <c r="GT368" i="1"/>
  <c r="GU368" i="1"/>
  <c r="GV368" i="1"/>
  <c r="GW368" i="1"/>
  <c r="GX368" i="1"/>
  <c r="D370" i="1"/>
  <c r="AC370" i="1"/>
  <c r="CQ370" i="1" s="1"/>
  <c r="AD370" i="1"/>
  <c r="AE370" i="1"/>
  <c r="AF370" i="1"/>
  <c r="AG370" i="1"/>
  <c r="AH370" i="1"/>
  <c r="CV370" i="1" s="1"/>
  <c r="AI370" i="1"/>
  <c r="AJ370" i="1"/>
  <c r="CX370" i="1" s="1"/>
  <c r="CR370" i="1"/>
  <c r="CS370" i="1"/>
  <c r="CU370" i="1"/>
  <c r="CW370" i="1"/>
  <c r="FR370" i="1"/>
  <c r="GL370" i="1"/>
  <c r="GN370" i="1"/>
  <c r="GO370" i="1"/>
  <c r="CC375" i="1" s="1"/>
  <c r="CC368" i="1" s="1"/>
  <c r="GV370" i="1"/>
  <c r="HC370" i="1" s="1"/>
  <c r="C371" i="1"/>
  <c r="D371" i="1"/>
  <c r="I371" i="1"/>
  <c r="E344" i="5" s="1"/>
  <c r="AC371" i="1"/>
  <c r="AE371" i="1"/>
  <c r="U344" i="5" s="1"/>
  <c r="AF371" i="1"/>
  <c r="AG371" i="1"/>
  <c r="AH371" i="1"/>
  <c r="CV371" i="1" s="1"/>
  <c r="AI371" i="1"/>
  <c r="AJ371" i="1"/>
  <c r="CX371" i="1" s="1"/>
  <c r="CQ371" i="1"/>
  <c r="CU371" i="1"/>
  <c r="CW371" i="1"/>
  <c r="FR371" i="1"/>
  <c r="GL371" i="1"/>
  <c r="GN371" i="1"/>
  <c r="GO371" i="1"/>
  <c r="GV371" i="1"/>
  <c r="HC371" i="1"/>
  <c r="AC372" i="1"/>
  <c r="AE372" i="1"/>
  <c r="AF372" i="1"/>
  <c r="AG372" i="1"/>
  <c r="CU372" i="1" s="1"/>
  <c r="AH372" i="1"/>
  <c r="CV372" i="1" s="1"/>
  <c r="AI372" i="1"/>
  <c r="CW372" i="1" s="1"/>
  <c r="AJ372" i="1"/>
  <c r="CX372" i="1" s="1"/>
  <c r="CQ372" i="1"/>
  <c r="CS372" i="1"/>
  <c r="FR372" i="1"/>
  <c r="GL372" i="1"/>
  <c r="GN372" i="1"/>
  <c r="GO372" i="1"/>
  <c r="GV372" i="1"/>
  <c r="HC372" i="1" s="1"/>
  <c r="AC373" i="1"/>
  <c r="AE373" i="1"/>
  <c r="AF373" i="1"/>
  <c r="AG373" i="1"/>
  <c r="CU373" i="1" s="1"/>
  <c r="AH373" i="1"/>
  <c r="CV373" i="1" s="1"/>
  <c r="AI373" i="1"/>
  <c r="CW373" i="1" s="1"/>
  <c r="AJ373" i="1"/>
  <c r="CX373" i="1" s="1"/>
  <c r="CQ373" i="1"/>
  <c r="FR373" i="1"/>
  <c r="GL373" i="1"/>
  <c r="GN373" i="1"/>
  <c r="GO373" i="1"/>
  <c r="GV373" i="1"/>
  <c r="HC373" i="1"/>
  <c r="B375" i="1"/>
  <c r="B368" i="1" s="1"/>
  <c r="C375" i="1"/>
  <c r="C368" i="1" s="1"/>
  <c r="D375" i="1"/>
  <c r="D368" i="1" s="1"/>
  <c r="F375" i="1"/>
  <c r="F368" i="1" s="1"/>
  <c r="G375" i="1"/>
  <c r="BX375" i="1"/>
  <c r="CK375" i="1"/>
  <c r="CK368" i="1" s="1"/>
  <c r="CL375" i="1"/>
  <c r="BC375" i="1" s="1"/>
  <c r="CM375" i="1"/>
  <c r="CM368" i="1" s="1"/>
  <c r="B405" i="1"/>
  <c r="B22" i="1" s="1"/>
  <c r="C405" i="1"/>
  <c r="C22" i="1" s="1"/>
  <c r="D405" i="1"/>
  <c r="D22" i="1" s="1"/>
  <c r="F405" i="1"/>
  <c r="F22" i="1" s="1"/>
  <c r="G405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D447" i="1"/>
  <c r="E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DC449" i="1"/>
  <c r="DD449" i="1"/>
  <c r="DE449" i="1"/>
  <c r="DF449" i="1"/>
  <c r="DG449" i="1"/>
  <c r="DH449" i="1"/>
  <c r="DI449" i="1"/>
  <c r="DJ449" i="1"/>
  <c r="DK449" i="1"/>
  <c r="DL449" i="1"/>
  <c r="DM449" i="1"/>
  <c r="DN449" i="1"/>
  <c r="DO449" i="1"/>
  <c r="DP449" i="1"/>
  <c r="DQ449" i="1"/>
  <c r="DR449" i="1"/>
  <c r="DS449" i="1"/>
  <c r="DT449" i="1"/>
  <c r="DU449" i="1"/>
  <c r="DV449" i="1"/>
  <c r="DW449" i="1"/>
  <c r="DX449" i="1"/>
  <c r="DY449" i="1"/>
  <c r="DZ449" i="1"/>
  <c r="EA449" i="1"/>
  <c r="EB449" i="1"/>
  <c r="EC449" i="1"/>
  <c r="ED449" i="1"/>
  <c r="EE449" i="1"/>
  <c r="EF449" i="1"/>
  <c r="EG449" i="1"/>
  <c r="EH449" i="1"/>
  <c r="EI449" i="1"/>
  <c r="EJ449" i="1"/>
  <c r="EK449" i="1"/>
  <c r="EL449" i="1"/>
  <c r="EM449" i="1"/>
  <c r="EN449" i="1"/>
  <c r="EO449" i="1"/>
  <c r="EP449" i="1"/>
  <c r="EQ449" i="1"/>
  <c r="ER449" i="1"/>
  <c r="ES449" i="1"/>
  <c r="ET449" i="1"/>
  <c r="EU449" i="1"/>
  <c r="EV449" i="1"/>
  <c r="EW449" i="1"/>
  <c r="EX449" i="1"/>
  <c r="EY449" i="1"/>
  <c r="EZ449" i="1"/>
  <c r="FA449" i="1"/>
  <c r="FB449" i="1"/>
  <c r="FC449" i="1"/>
  <c r="FD449" i="1"/>
  <c r="FE449" i="1"/>
  <c r="FF449" i="1"/>
  <c r="FG449" i="1"/>
  <c r="FH449" i="1"/>
  <c r="FI449" i="1"/>
  <c r="FJ449" i="1"/>
  <c r="FK449" i="1"/>
  <c r="FL449" i="1"/>
  <c r="FM449" i="1"/>
  <c r="FN449" i="1"/>
  <c r="FO449" i="1"/>
  <c r="FP449" i="1"/>
  <c r="FQ449" i="1"/>
  <c r="FR449" i="1"/>
  <c r="FS449" i="1"/>
  <c r="FT449" i="1"/>
  <c r="FU449" i="1"/>
  <c r="FV449" i="1"/>
  <c r="FW449" i="1"/>
  <c r="FX449" i="1"/>
  <c r="FY449" i="1"/>
  <c r="FZ449" i="1"/>
  <c r="GA449" i="1"/>
  <c r="GB449" i="1"/>
  <c r="GC449" i="1"/>
  <c r="GD449" i="1"/>
  <c r="GE449" i="1"/>
  <c r="GF449" i="1"/>
  <c r="GG449" i="1"/>
  <c r="GH449" i="1"/>
  <c r="GI449" i="1"/>
  <c r="GJ449" i="1"/>
  <c r="GK449" i="1"/>
  <c r="GL449" i="1"/>
  <c r="GM449" i="1"/>
  <c r="GN449" i="1"/>
  <c r="GO449" i="1"/>
  <c r="GP449" i="1"/>
  <c r="GQ449" i="1"/>
  <c r="GR449" i="1"/>
  <c r="GS449" i="1"/>
  <c r="GT449" i="1"/>
  <c r="GU449" i="1"/>
  <c r="GV449" i="1"/>
  <c r="GW449" i="1"/>
  <c r="GX449" i="1"/>
  <c r="D451" i="1"/>
  <c r="E453" i="1"/>
  <c r="Z453" i="1"/>
  <c r="AA453" i="1"/>
  <c r="AM453" i="1"/>
  <c r="AN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DC453" i="1"/>
  <c r="DD453" i="1"/>
  <c r="DE453" i="1"/>
  <c r="DF453" i="1"/>
  <c r="DG453" i="1"/>
  <c r="DH453" i="1"/>
  <c r="DI453" i="1"/>
  <c r="DJ453" i="1"/>
  <c r="DK453" i="1"/>
  <c r="DL453" i="1"/>
  <c r="DM453" i="1"/>
  <c r="DN453" i="1"/>
  <c r="DO453" i="1"/>
  <c r="DP453" i="1"/>
  <c r="DQ453" i="1"/>
  <c r="DR453" i="1"/>
  <c r="DS453" i="1"/>
  <c r="DT453" i="1"/>
  <c r="DU453" i="1"/>
  <c r="DV453" i="1"/>
  <c r="DW453" i="1"/>
  <c r="DX453" i="1"/>
  <c r="DY453" i="1"/>
  <c r="DZ453" i="1"/>
  <c r="EA453" i="1"/>
  <c r="EB453" i="1"/>
  <c r="EC453" i="1"/>
  <c r="ED453" i="1"/>
  <c r="EE453" i="1"/>
  <c r="EF453" i="1"/>
  <c r="EG453" i="1"/>
  <c r="EH453" i="1"/>
  <c r="EI453" i="1"/>
  <c r="EJ453" i="1"/>
  <c r="EK453" i="1"/>
  <c r="EL453" i="1"/>
  <c r="EM453" i="1"/>
  <c r="EN453" i="1"/>
  <c r="EO453" i="1"/>
  <c r="EP453" i="1"/>
  <c r="EQ453" i="1"/>
  <c r="ER453" i="1"/>
  <c r="ES453" i="1"/>
  <c r="ET453" i="1"/>
  <c r="EU453" i="1"/>
  <c r="EV453" i="1"/>
  <c r="EW453" i="1"/>
  <c r="EX453" i="1"/>
  <c r="EY453" i="1"/>
  <c r="EZ453" i="1"/>
  <c r="FA453" i="1"/>
  <c r="FB453" i="1"/>
  <c r="FC453" i="1"/>
  <c r="FD453" i="1"/>
  <c r="FE453" i="1"/>
  <c r="FF453" i="1"/>
  <c r="FG453" i="1"/>
  <c r="FH453" i="1"/>
  <c r="FI453" i="1"/>
  <c r="FJ453" i="1"/>
  <c r="FK453" i="1"/>
  <c r="FL453" i="1"/>
  <c r="FM453" i="1"/>
  <c r="FN453" i="1"/>
  <c r="FO453" i="1"/>
  <c r="FP453" i="1"/>
  <c r="FQ453" i="1"/>
  <c r="FR453" i="1"/>
  <c r="FS453" i="1"/>
  <c r="FT453" i="1"/>
  <c r="FU453" i="1"/>
  <c r="FV453" i="1"/>
  <c r="FW453" i="1"/>
  <c r="FX453" i="1"/>
  <c r="FY453" i="1"/>
  <c r="FZ453" i="1"/>
  <c r="GA453" i="1"/>
  <c r="GB453" i="1"/>
  <c r="GC453" i="1"/>
  <c r="GD453" i="1"/>
  <c r="GE453" i="1"/>
  <c r="GF453" i="1"/>
  <c r="GG453" i="1"/>
  <c r="GH453" i="1"/>
  <c r="GI453" i="1"/>
  <c r="GJ453" i="1"/>
  <c r="GK453" i="1"/>
  <c r="GL453" i="1"/>
  <c r="GM453" i="1"/>
  <c r="GN453" i="1"/>
  <c r="GO453" i="1"/>
  <c r="GP453" i="1"/>
  <c r="GQ453" i="1"/>
  <c r="GR453" i="1"/>
  <c r="GS453" i="1"/>
  <c r="GT453" i="1"/>
  <c r="GU453" i="1"/>
  <c r="GV453" i="1"/>
  <c r="GW453" i="1"/>
  <c r="GX453" i="1"/>
  <c r="AC455" i="1"/>
  <c r="AE455" i="1"/>
  <c r="AF455" i="1"/>
  <c r="CT455" i="1" s="1"/>
  <c r="S455" i="1" s="1"/>
  <c r="CZ455" i="1" s="1"/>
  <c r="Y455" i="1" s="1"/>
  <c r="AG455" i="1"/>
  <c r="CU455" i="1" s="1"/>
  <c r="T455" i="1" s="1"/>
  <c r="AH455" i="1"/>
  <c r="CV455" i="1" s="1"/>
  <c r="U455" i="1" s="1"/>
  <c r="AI455" i="1"/>
  <c r="AJ455" i="1"/>
  <c r="CX455" i="1" s="1"/>
  <c r="W455" i="1" s="1"/>
  <c r="CQ455" i="1"/>
  <c r="P455" i="1" s="1"/>
  <c r="CW455" i="1"/>
  <c r="V455" i="1" s="1"/>
  <c r="FR455" i="1"/>
  <c r="GL455" i="1"/>
  <c r="GN455" i="1"/>
  <c r="GO455" i="1"/>
  <c r="GV455" i="1"/>
  <c r="HC455" i="1" s="1"/>
  <c r="GX455" i="1" s="1"/>
  <c r="AC456" i="1"/>
  <c r="AE456" i="1"/>
  <c r="AF456" i="1"/>
  <c r="AG456" i="1"/>
  <c r="CU456" i="1" s="1"/>
  <c r="T456" i="1" s="1"/>
  <c r="AH456" i="1"/>
  <c r="AI456" i="1"/>
  <c r="CW456" i="1" s="1"/>
  <c r="V456" i="1" s="1"/>
  <c r="AJ456" i="1"/>
  <c r="CV456" i="1"/>
  <c r="U456" i="1" s="1"/>
  <c r="CX456" i="1"/>
  <c r="W456" i="1" s="1"/>
  <c r="FR456" i="1"/>
  <c r="GL456" i="1"/>
  <c r="GN456" i="1"/>
  <c r="GO456" i="1"/>
  <c r="GV456" i="1"/>
  <c r="HC456" i="1"/>
  <c r="GX456" i="1" s="1"/>
  <c r="V457" i="1"/>
  <c r="AC457" i="1"/>
  <c r="AD457" i="1"/>
  <c r="AE457" i="1"/>
  <c r="AF457" i="1"/>
  <c r="CT457" i="1" s="1"/>
  <c r="S457" i="1" s="1"/>
  <c r="AG457" i="1"/>
  <c r="CU457" i="1" s="1"/>
  <c r="T457" i="1" s="1"/>
  <c r="AH457" i="1"/>
  <c r="CV457" i="1" s="1"/>
  <c r="U457" i="1" s="1"/>
  <c r="AI457" i="1"/>
  <c r="CW457" i="1" s="1"/>
  <c r="AJ457" i="1"/>
  <c r="CX457" i="1" s="1"/>
  <c r="W457" i="1" s="1"/>
  <c r="CQ457" i="1"/>
  <c r="P457" i="1" s="1"/>
  <c r="CR457" i="1"/>
  <c r="Q457" i="1" s="1"/>
  <c r="CS457" i="1"/>
  <c r="R457" i="1" s="1"/>
  <c r="GK457" i="1" s="1"/>
  <c r="FR457" i="1"/>
  <c r="GL457" i="1"/>
  <c r="GN457" i="1"/>
  <c r="GO457" i="1"/>
  <c r="GV457" i="1"/>
  <c r="HC457" i="1" s="1"/>
  <c r="GX457" i="1" s="1"/>
  <c r="AC458" i="1"/>
  <c r="AE458" i="1"/>
  <c r="U365" i="5" s="1"/>
  <c r="AF458" i="1"/>
  <c r="AG458" i="1"/>
  <c r="CU458" i="1" s="1"/>
  <c r="T458" i="1" s="1"/>
  <c r="AH458" i="1"/>
  <c r="CV458" i="1" s="1"/>
  <c r="U458" i="1" s="1"/>
  <c r="AI458" i="1"/>
  <c r="CW458" i="1" s="1"/>
  <c r="V458" i="1" s="1"/>
  <c r="AJ458" i="1"/>
  <c r="CX458" i="1"/>
  <c r="W458" i="1" s="1"/>
  <c r="FR458" i="1"/>
  <c r="GL458" i="1"/>
  <c r="GN458" i="1"/>
  <c r="GO458" i="1"/>
  <c r="GV458" i="1"/>
  <c r="HC458" i="1" s="1"/>
  <c r="GX458" i="1" s="1"/>
  <c r="P459" i="1"/>
  <c r="J367" i="5" s="1"/>
  <c r="I368" i="5" s="1"/>
  <c r="AC459" i="1"/>
  <c r="AD459" i="1"/>
  <c r="AE459" i="1"/>
  <c r="U367" i="5" s="1"/>
  <c r="AF459" i="1"/>
  <c r="AG459" i="1"/>
  <c r="AH459" i="1"/>
  <c r="CV459" i="1" s="1"/>
  <c r="U459" i="1" s="1"/>
  <c r="AI459" i="1"/>
  <c r="CW459" i="1" s="1"/>
  <c r="V459" i="1" s="1"/>
  <c r="AJ459" i="1"/>
  <c r="CX459" i="1" s="1"/>
  <c r="W459" i="1" s="1"/>
  <c r="CQ459" i="1"/>
  <c r="CR459" i="1"/>
  <c r="Q459" i="1" s="1"/>
  <c r="CS459" i="1"/>
  <c r="CU459" i="1"/>
  <c r="T459" i="1" s="1"/>
  <c r="FR459" i="1"/>
  <c r="GL459" i="1"/>
  <c r="GN459" i="1"/>
  <c r="GO459" i="1"/>
  <c r="GV459" i="1"/>
  <c r="HC459" i="1" s="1"/>
  <c r="GX459" i="1" s="1"/>
  <c r="C460" i="1"/>
  <c r="D460" i="1"/>
  <c r="I460" i="1"/>
  <c r="P460" i="1"/>
  <c r="AC460" i="1"/>
  <c r="AE460" i="1"/>
  <c r="U369" i="5" s="1"/>
  <c r="AF460" i="1"/>
  <c r="AG460" i="1"/>
  <c r="CU460" i="1" s="1"/>
  <c r="T460" i="1" s="1"/>
  <c r="AH460" i="1"/>
  <c r="CV460" i="1" s="1"/>
  <c r="U460" i="1" s="1"/>
  <c r="K374" i="5" s="1"/>
  <c r="AI460" i="1"/>
  <c r="AJ460" i="1"/>
  <c r="CX460" i="1" s="1"/>
  <c r="W460" i="1" s="1"/>
  <c r="CQ460" i="1"/>
  <c r="CS460" i="1"/>
  <c r="CW460" i="1"/>
  <c r="V460" i="1" s="1"/>
  <c r="FR460" i="1"/>
  <c r="GL460" i="1"/>
  <c r="GN460" i="1"/>
  <c r="GO460" i="1"/>
  <c r="GV460" i="1"/>
  <c r="HC460" i="1" s="1"/>
  <c r="GX460" i="1" s="1"/>
  <c r="AC461" i="1"/>
  <c r="AE461" i="1"/>
  <c r="AF461" i="1"/>
  <c r="Q376" i="5" s="1"/>
  <c r="AG461" i="1"/>
  <c r="CU461" i="1" s="1"/>
  <c r="T461" i="1" s="1"/>
  <c r="AH461" i="1"/>
  <c r="AI461" i="1"/>
  <c r="CW461" i="1" s="1"/>
  <c r="V461" i="1" s="1"/>
  <c r="AJ461" i="1"/>
  <c r="CX461" i="1" s="1"/>
  <c r="W461" i="1" s="1"/>
  <c r="CT461" i="1"/>
  <c r="S461" i="1" s="1"/>
  <c r="CV461" i="1"/>
  <c r="U461" i="1" s="1"/>
  <c r="FR461" i="1"/>
  <c r="GL461" i="1"/>
  <c r="GN461" i="1"/>
  <c r="GO461" i="1"/>
  <c r="GV461" i="1"/>
  <c r="HC461" i="1" s="1"/>
  <c r="GX461" i="1" s="1"/>
  <c r="AC462" i="1"/>
  <c r="CQ462" i="1" s="1"/>
  <c r="P462" i="1" s="1"/>
  <c r="AE462" i="1"/>
  <c r="AF462" i="1"/>
  <c r="CT462" i="1" s="1"/>
  <c r="S462" i="1" s="1"/>
  <c r="AG462" i="1"/>
  <c r="AH462" i="1"/>
  <c r="CV462" i="1" s="1"/>
  <c r="U462" i="1" s="1"/>
  <c r="AI462" i="1"/>
  <c r="AJ462" i="1"/>
  <c r="CX462" i="1" s="1"/>
  <c r="W462" i="1" s="1"/>
  <c r="CU462" i="1"/>
  <c r="T462" i="1" s="1"/>
  <c r="CW462" i="1"/>
  <c r="V462" i="1" s="1"/>
  <c r="FR462" i="1"/>
  <c r="GL462" i="1"/>
  <c r="GN462" i="1"/>
  <c r="GO462" i="1"/>
  <c r="GV462" i="1"/>
  <c r="GX462" i="1"/>
  <c r="HC462" i="1"/>
  <c r="C463" i="1"/>
  <c r="D463" i="1"/>
  <c r="I463" i="1"/>
  <c r="GX463" i="1" s="1"/>
  <c r="AC463" i="1"/>
  <c r="CQ463" i="1" s="1"/>
  <c r="P463" i="1" s="1"/>
  <c r="AE463" i="1"/>
  <c r="AF463" i="1"/>
  <c r="CT463" i="1" s="1"/>
  <c r="AG463" i="1"/>
  <c r="CU463" i="1" s="1"/>
  <c r="AH463" i="1"/>
  <c r="CV463" i="1" s="1"/>
  <c r="AI463" i="1"/>
  <c r="CW463" i="1" s="1"/>
  <c r="V463" i="1" s="1"/>
  <c r="AJ463" i="1"/>
  <c r="CX463" i="1" s="1"/>
  <c r="CS463" i="1"/>
  <c r="FR463" i="1"/>
  <c r="GL463" i="1"/>
  <c r="GN463" i="1"/>
  <c r="GO463" i="1"/>
  <c r="GV463" i="1"/>
  <c r="HC463" i="1"/>
  <c r="AC464" i="1"/>
  <c r="AD464" i="1"/>
  <c r="AE464" i="1"/>
  <c r="AF464" i="1"/>
  <c r="CT464" i="1" s="1"/>
  <c r="AG464" i="1"/>
  <c r="AH464" i="1"/>
  <c r="CV464" i="1" s="1"/>
  <c r="AI464" i="1"/>
  <c r="AJ464" i="1"/>
  <c r="CX464" i="1" s="1"/>
  <c r="CQ464" i="1"/>
  <c r="CR464" i="1"/>
  <c r="CS464" i="1"/>
  <c r="CU464" i="1"/>
  <c r="CW464" i="1"/>
  <c r="FR464" i="1"/>
  <c r="GL464" i="1"/>
  <c r="GN464" i="1"/>
  <c r="GO464" i="1"/>
  <c r="GV464" i="1"/>
  <c r="HC464" i="1" s="1"/>
  <c r="AC465" i="1"/>
  <c r="AE465" i="1"/>
  <c r="AD465" i="1" s="1"/>
  <c r="AF465" i="1"/>
  <c r="AG465" i="1"/>
  <c r="CU465" i="1" s="1"/>
  <c r="T465" i="1" s="1"/>
  <c r="AH465" i="1"/>
  <c r="AI465" i="1"/>
  <c r="CW465" i="1" s="1"/>
  <c r="V465" i="1" s="1"/>
  <c r="AJ465" i="1"/>
  <c r="CX465" i="1" s="1"/>
  <c r="W465" i="1" s="1"/>
  <c r="CR465" i="1"/>
  <c r="Q465" i="1" s="1"/>
  <c r="CT465" i="1"/>
  <c r="S465" i="1" s="1"/>
  <c r="CV465" i="1"/>
  <c r="U465" i="1" s="1"/>
  <c r="FR465" i="1"/>
  <c r="GL465" i="1"/>
  <c r="GN465" i="1"/>
  <c r="GO465" i="1"/>
  <c r="GV465" i="1"/>
  <c r="HC465" i="1" s="1"/>
  <c r="GX465" i="1" s="1"/>
  <c r="AC466" i="1"/>
  <c r="AE466" i="1"/>
  <c r="AD466" i="1" s="1"/>
  <c r="AF466" i="1"/>
  <c r="CT466" i="1" s="1"/>
  <c r="S466" i="1" s="1"/>
  <c r="AG466" i="1"/>
  <c r="CU466" i="1" s="1"/>
  <c r="T466" i="1" s="1"/>
  <c r="AH466" i="1"/>
  <c r="CV466" i="1" s="1"/>
  <c r="U466" i="1" s="1"/>
  <c r="AI466" i="1"/>
  <c r="AJ466" i="1"/>
  <c r="CX466" i="1" s="1"/>
  <c r="W466" i="1" s="1"/>
  <c r="CQ466" i="1"/>
  <c r="P466" i="1" s="1"/>
  <c r="CS466" i="1"/>
  <c r="R466" i="1" s="1"/>
  <c r="GK466" i="1" s="1"/>
  <c r="CW466" i="1"/>
  <c r="V466" i="1" s="1"/>
  <c r="FR466" i="1"/>
  <c r="GL466" i="1"/>
  <c r="GN466" i="1"/>
  <c r="GO466" i="1"/>
  <c r="GV466" i="1"/>
  <c r="GX466" i="1"/>
  <c r="HC466" i="1"/>
  <c r="B468" i="1"/>
  <c r="B453" i="1" s="1"/>
  <c r="C468" i="1"/>
  <c r="C453" i="1" s="1"/>
  <c r="D468" i="1"/>
  <c r="D453" i="1" s="1"/>
  <c r="F468" i="1"/>
  <c r="F453" i="1" s="1"/>
  <c r="G468" i="1"/>
  <c r="BX468" i="1"/>
  <c r="AO468" i="1" s="1"/>
  <c r="CB468" i="1"/>
  <c r="CK468" i="1"/>
  <c r="CK453" i="1" s="1"/>
  <c r="CL468" i="1"/>
  <c r="BC468" i="1" s="1"/>
  <c r="CM468" i="1"/>
  <c r="D498" i="1"/>
  <c r="E500" i="1"/>
  <c r="Z500" i="1"/>
  <c r="AA500" i="1"/>
  <c r="AM500" i="1"/>
  <c r="AN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CN500" i="1"/>
  <c r="CO500" i="1"/>
  <c r="CP500" i="1"/>
  <c r="CQ500" i="1"/>
  <c r="CR500" i="1"/>
  <c r="CS500" i="1"/>
  <c r="CT500" i="1"/>
  <c r="CU500" i="1"/>
  <c r="CV500" i="1"/>
  <c r="CW500" i="1"/>
  <c r="CX500" i="1"/>
  <c r="CY500" i="1"/>
  <c r="CZ500" i="1"/>
  <c r="DA500" i="1"/>
  <c r="DB500" i="1"/>
  <c r="DC500" i="1"/>
  <c r="DD500" i="1"/>
  <c r="DE500" i="1"/>
  <c r="DF500" i="1"/>
  <c r="DG500" i="1"/>
  <c r="DH500" i="1"/>
  <c r="DI500" i="1"/>
  <c r="DJ500" i="1"/>
  <c r="DK500" i="1"/>
  <c r="DL500" i="1"/>
  <c r="DM500" i="1"/>
  <c r="DN500" i="1"/>
  <c r="DO500" i="1"/>
  <c r="DP500" i="1"/>
  <c r="DQ500" i="1"/>
  <c r="DR500" i="1"/>
  <c r="DS500" i="1"/>
  <c r="DT500" i="1"/>
  <c r="DU500" i="1"/>
  <c r="DV500" i="1"/>
  <c r="DW500" i="1"/>
  <c r="DX500" i="1"/>
  <c r="DY500" i="1"/>
  <c r="DZ500" i="1"/>
  <c r="EA500" i="1"/>
  <c r="EB500" i="1"/>
  <c r="EC500" i="1"/>
  <c r="ED500" i="1"/>
  <c r="EE500" i="1"/>
  <c r="EF500" i="1"/>
  <c r="EG500" i="1"/>
  <c r="EH500" i="1"/>
  <c r="EI500" i="1"/>
  <c r="EJ500" i="1"/>
  <c r="EK500" i="1"/>
  <c r="EL500" i="1"/>
  <c r="EM500" i="1"/>
  <c r="EN500" i="1"/>
  <c r="EO500" i="1"/>
  <c r="EP500" i="1"/>
  <c r="EQ500" i="1"/>
  <c r="ER500" i="1"/>
  <c r="ES500" i="1"/>
  <c r="ET500" i="1"/>
  <c r="EU500" i="1"/>
  <c r="EV500" i="1"/>
  <c r="EW500" i="1"/>
  <c r="EX500" i="1"/>
  <c r="EY500" i="1"/>
  <c r="EZ500" i="1"/>
  <c r="FA500" i="1"/>
  <c r="FB500" i="1"/>
  <c r="FC500" i="1"/>
  <c r="FD500" i="1"/>
  <c r="FE500" i="1"/>
  <c r="FF500" i="1"/>
  <c r="FG500" i="1"/>
  <c r="FH500" i="1"/>
  <c r="FI500" i="1"/>
  <c r="FJ500" i="1"/>
  <c r="FK500" i="1"/>
  <c r="FL500" i="1"/>
  <c r="FM500" i="1"/>
  <c r="FN500" i="1"/>
  <c r="FO500" i="1"/>
  <c r="FP500" i="1"/>
  <c r="FQ500" i="1"/>
  <c r="FR500" i="1"/>
  <c r="FS500" i="1"/>
  <c r="FT500" i="1"/>
  <c r="FU500" i="1"/>
  <c r="FV500" i="1"/>
  <c r="FW500" i="1"/>
  <c r="FX500" i="1"/>
  <c r="FY500" i="1"/>
  <c r="FZ500" i="1"/>
  <c r="GA500" i="1"/>
  <c r="GB500" i="1"/>
  <c r="GC500" i="1"/>
  <c r="GD500" i="1"/>
  <c r="GE500" i="1"/>
  <c r="GF500" i="1"/>
  <c r="GG500" i="1"/>
  <c r="GH500" i="1"/>
  <c r="GI500" i="1"/>
  <c r="GJ500" i="1"/>
  <c r="GK500" i="1"/>
  <c r="GL500" i="1"/>
  <c r="GM500" i="1"/>
  <c r="GN500" i="1"/>
  <c r="GO500" i="1"/>
  <c r="GP500" i="1"/>
  <c r="GQ500" i="1"/>
  <c r="GR500" i="1"/>
  <c r="GS500" i="1"/>
  <c r="GT500" i="1"/>
  <c r="GU500" i="1"/>
  <c r="GV500" i="1"/>
  <c r="GW500" i="1"/>
  <c r="GX500" i="1"/>
  <c r="AC502" i="1"/>
  <c r="CQ502" i="1" s="1"/>
  <c r="P502" i="1" s="1"/>
  <c r="J383" i="5" s="1"/>
  <c r="I384" i="5" s="1"/>
  <c r="AD502" i="1"/>
  <c r="AB502" i="1" s="1"/>
  <c r="AE502" i="1"/>
  <c r="U383" i="5" s="1"/>
  <c r="AF502" i="1"/>
  <c r="AG502" i="1"/>
  <c r="AH502" i="1"/>
  <c r="CV502" i="1" s="1"/>
  <c r="U502" i="1" s="1"/>
  <c r="AI502" i="1"/>
  <c r="CW502" i="1" s="1"/>
  <c r="V502" i="1" s="1"/>
  <c r="AJ502" i="1"/>
  <c r="CX502" i="1" s="1"/>
  <c r="W502" i="1" s="1"/>
  <c r="CR502" i="1"/>
  <c r="Q502" i="1" s="1"/>
  <c r="AD566" i="1" s="1"/>
  <c r="AD500" i="1" s="1"/>
  <c r="CS502" i="1"/>
  <c r="CU502" i="1"/>
  <c r="T502" i="1" s="1"/>
  <c r="FR502" i="1"/>
  <c r="GL502" i="1"/>
  <c r="GN502" i="1"/>
  <c r="GO502" i="1"/>
  <c r="CC566" i="1" s="1"/>
  <c r="CC500" i="1" s="1"/>
  <c r="GV502" i="1"/>
  <c r="HC502" i="1" s="1"/>
  <c r="GX502" i="1" s="1"/>
  <c r="S503" i="1"/>
  <c r="AC503" i="1"/>
  <c r="AE503" i="1"/>
  <c r="AF503" i="1"/>
  <c r="AG503" i="1"/>
  <c r="CU503" i="1" s="1"/>
  <c r="T503" i="1" s="1"/>
  <c r="AH503" i="1"/>
  <c r="CV503" i="1" s="1"/>
  <c r="U503" i="1" s="1"/>
  <c r="AI503" i="1"/>
  <c r="CW503" i="1" s="1"/>
  <c r="V503" i="1" s="1"/>
  <c r="AJ503" i="1"/>
  <c r="CX503" i="1" s="1"/>
  <c r="W503" i="1" s="1"/>
  <c r="CR503" i="1"/>
  <c r="Q503" i="1" s="1"/>
  <c r="CT503" i="1"/>
  <c r="FR503" i="1"/>
  <c r="GL503" i="1"/>
  <c r="GN503" i="1"/>
  <c r="GO503" i="1"/>
  <c r="GV503" i="1"/>
  <c r="HC503" i="1" s="1"/>
  <c r="GX503" i="1" s="1"/>
  <c r="AC504" i="1"/>
  <c r="AE504" i="1"/>
  <c r="AF504" i="1"/>
  <c r="CT504" i="1" s="1"/>
  <c r="S504" i="1" s="1"/>
  <c r="AG504" i="1"/>
  <c r="AH504" i="1"/>
  <c r="CV504" i="1" s="1"/>
  <c r="U504" i="1" s="1"/>
  <c r="AI504" i="1"/>
  <c r="AJ504" i="1"/>
  <c r="CX504" i="1" s="1"/>
  <c r="W504" i="1" s="1"/>
  <c r="CQ504" i="1"/>
  <c r="P504" i="1" s="1"/>
  <c r="CU504" i="1"/>
  <c r="T504" i="1" s="1"/>
  <c r="CW504" i="1"/>
  <c r="V504" i="1" s="1"/>
  <c r="FR504" i="1"/>
  <c r="GL504" i="1"/>
  <c r="GN504" i="1"/>
  <c r="GO504" i="1"/>
  <c r="GV504" i="1"/>
  <c r="HC504" i="1"/>
  <c r="GX504" i="1" s="1"/>
  <c r="AC505" i="1"/>
  <c r="AE505" i="1"/>
  <c r="AF505" i="1"/>
  <c r="AG505" i="1"/>
  <c r="CU505" i="1" s="1"/>
  <c r="T505" i="1" s="1"/>
  <c r="AH505" i="1"/>
  <c r="AI505" i="1"/>
  <c r="CW505" i="1" s="1"/>
  <c r="V505" i="1" s="1"/>
  <c r="AJ505" i="1"/>
  <c r="CX505" i="1" s="1"/>
  <c r="W505" i="1" s="1"/>
  <c r="CR505" i="1"/>
  <c r="Q505" i="1" s="1"/>
  <c r="CT505" i="1"/>
  <c r="S505" i="1" s="1"/>
  <c r="CV505" i="1"/>
  <c r="U505" i="1" s="1"/>
  <c r="FR505" i="1"/>
  <c r="GL505" i="1"/>
  <c r="GN505" i="1"/>
  <c r="GO505" i="1"/>
  <c r="GV505" i="1"/>
  <c r="HC505" i="1"/>
  <c r="GX505" i="1" s="1"/>
  <c r="R506" i="1"/>
  <c r="GK506" i="1" s="1"/>
  <c r="AC506" i="1"/>
  <c r="AD506" i="1"/>
  <c r="AE506" i="1"/>
  <c r="U387" i="5" s="1"/>
  <c r="AF506" i="1"/>
  <c r="AG506" i="1"/>
  <c r="CU506" i="1" s="1"/>
  <c r="T506" i="1" s="1"/>
  <c r="AG566" i="1" s="1"/>
  <c r="AG500" i="1" s="1"/>
  <c r="AH506" i="1"/>
  <c r="CV506" i="1" s="1"/>
  <c r="U506" i="1" s="1"/>
  <c r="AH566" i="1" s="1"/>
  <c r="AH500" i="1" s="1"/>
  <c r="AI506" i="1"/>
  <c r="CW506" i="1" s="1"/>
  <c r="V506" i="1" s="1"/>
  <c r="AI566" i="1" s="1"/>
  <c r="AJ506" i="1"/>
  <c r="CX506" i="1" s="1"/>
  <c r="W506" i="1" s="1"/>
  <c r="CQ506" i="1"/>
  <c r="P506" i="1" s="1"/>
  <c r="J387" i="5" s="1"/>
  <c r="I388" i="5" s="1"/>
  <c r="CR506" i="1"/>
  <c r="Q506" i="1" s="1"/>
  <c r="CS506" i="1"/>
  <c r="FR506" i="1"/>
  <c r="BY566" i="1" s="1"/>
  <c r="BY500" i="1" s="1"/>
  <c r="GL506" i="1"/>
  <c r="GN506" i="1"/>
  <c r="GO506" i="1"/>
  <c r="GV506" i="1"/>
  <c r="HC506" i="1" s="1"/>
  <c r="GX506" i="1"/>
  <c r="U507" i="1"/>
  <c r="AC507" i="1"/>
  <c r="AE507" i="1"/>
  <c r="AF507" i="1"/>
  <c r="Q389" i="5" s="1"/>
  <c r="AG507" i="1"/>
  <c r="AH507" i="1"/>
  <c r="CV507" i="1" s="1"/>
  <c r="AI507" i="1"/>
  <c r="CW507" i="1" s="1"/>
  <c r="V507" i="1" s="1"/>
  <c r="AJ507" i="1"/>
  <c r="CX507" i="1" s="1"/>
  <c r="W507" i="1" s="1"/>
  <c r="CR507" i="1"/>
  <c r="Q507" i="1" s="1"/>
  <c r="CT507" i="1"/>
  <c r="S507" i="1" s="1"/>
  <c r="CU507" i="1"/>
  <c r="T507" i="1" s="1"/>
  <c r="FR507" i="1"/>
  <c r="GL507" i="1"/>
  <c r="GN507" i="1"/>
  <c r="GO507" i="1"/>
  <c r="GV507" i="1"/>
  <c r="HC507" i="1" s="1"/>
  <c r="GX507" i="1" s="1"/>
  <c r="AC508" i="1"/>
  <c r="AD508" i="1"/>
  <c r="AE508" i="1"/>
  <c r="U391" i="5" s="1"/>
  <c r="AF508" i="1"/>
  <c r="AG508" i="1"/>
  <c r="AH508" i="1"/>
  <c r="CV508" i="1" s="1"/>
  <c r="U508" i="1" s="1"/>
  <c r="AI508" i="1"/>
  <c r="CW508" i="1" s="1"/>
  <c r="V508" i="1" s="1"/>
  <c r="AJ508" i="1"/>
  <c r="CX508" i="1" s="1"/>
  <c r="W508" i="1" s="1"/>
  <c r="AJ566" i="1" s="1"/>
  <c r="AJ500" i="1" s="1"/>
  <c r="CQ508" i="1"/>
  <c r="P508" i="1" s="1"/>
  <c r="CR508" i="1"/>
  <c r="Q508" i="1" s="1"/>
  <c r="CS508" i="1"/>
  <c r="CU508" i="1"/>
  <c r="T508" i="1" s="1"/>
  <c r="FR508" i="1"/>
  <c r="GL508" i="1"/>
  <c r="GN508" i="1"/>
  <c r="GO508" i="1"/>
  <c r="GV508" i="1"/>
  <c r="HC508" i="1" s="1"/>
  <c r="GX508" i="1" s="1"/>
  <c r="AC509" i="1"/>
  <c r="AE509" i="1"/>
  <c r="AD509" i="1" s="1"/>
  <c r="AF509" i="1"/>
  <c r="CT509" i="1" s="1"/>
  <c r="S509" i="1" s="1"/>
  <c r="AG509" i="1"/>
  <c r="CU509" i="1" s="1"/>
  <c r="T509" i="1" s="1"/>
  <c r="AH509" i="1"/>
  <c r="CV509" i="1" s="1"/>
  <c r="U509" i="1" s="1"/>
  <c r="AI509" i="1"/>
  <c r="CW509" i="1" s="1"/>
  <c r="V509" i="1" s="1"/>
  <c r="AJ509" i="1"/>
  <c r="CX509" i="1"/>
  <c r="W509" i="1" s="1"/>
  <c r="FR509" i="1"/>
  <c r="GL509" i="1"/>
  <c r="GN509" i="1"/>
  <c r="GO509" i="1"/>
  <c r="GV509" i="1"/>
  <c r="HC509" i="1"/>
  <c r="GX509" i="1" s="1"/>
  <c r="AC510" i="1"/>
  <c r="CQ510" i="1" s="1"/>
  <c r="P510" i="1" s="1"/>
  <c r="AD510" i="1"/>
  <c r="AE510" i="1"/>
  <c r="AF510" i="1"/>
  <c r="CT510" i="1" s="1"/>
  <c r="S510" i="1" s="1"/>
  <c r="AG510" i="1"/>
  <c r="AH510" i="1"/>
  <c r="CV510" i="1" s="1"/>
  <c r="U510" i="1" s="1"/>
  <c r="AI510" i="1"/>
  <c r="AJ510" i="1"/>
  <c r="CX510" i="1" s="1"/>
  <c r="W510" i="1" s="1"/>
  <c r="CR510" i="1"/>
  <c r="Q510" i="1" s="1"/>
  <c r="CS510" i="1"/>
  <c r="R510" i="1" s="1"/>
  <c r="GK510" i="1" s="1"/>
  <c r="CU510" i="1"/>
  <c r="T510" i="1" s="1"/>
  <c r="CW510" i="1"/>
  <c r="V510" i="1" s="1"/>
  <c r="FR510" i="1"/>
  <c r="GL510" i="1"/>
  <c r="GN510" i="1"/>
  <c r="GO510" i="1"/>
  <c r="GV510" i="1"/>
  <c r="HC510" i="1" s="1"/>
  <c r="GX510" i="1" s="1"/>
  <c r="U511" i="1"/>
  <c r="AC511" i="1"/>
  <c r="AE511" i="1"/>
  <c r="AF511" i="1"/>
  <c r="AG511" i="1"/>
  <c r="CU511" i="1" s="1"/>
  <c r="T511" i="1" s="1"/>
  <c r="AH511" i="1"/>
  <c r="AI511" i="1"/>
  <c r="CW511" i="1" s="1"/>
  <c r="V511" i="1" s="1"/>
  <c r="AJ511" i="1"/>
  <c r="CX511" i="1" s="1"/>
  <c r="W511" i="1" s="1"/>
  <c r="CR511" i="1"/>
  <c r="Q511" i="1" s="1"/>
  <c r="CT511" i="1"/>
  <c r="S511" i="1" s="1"/>
  <c r="CV511" i="1"/>
  <c r="FR511" i="1"/>
  <c r="GL511" i="1"/>
  <c r="GN511" i="1"/>
  <c r="GO511" i="1"/>
  <c r="GV511" i="1"/>
  <c r="HC511" i="1" s="1"/>
  <c r="GX511" i="1" s="1"/>
  <c r="P512" i="1"/>
  <c r="AC512" i="1"/>
  <c r="AE512" i="1"/>
  <c r="AF512" i="1"/>
  <c r="CT512" i="1" s="1"/>
  <c r="S512" i="1" s="1"/>
  <c r="CZ512" i="1" s="1"/>
  <c r="Y512" i="1" s="1"/>
  <c r="AG512" i="1"/>
  <c r="CU512" i="1" s="1"/>
  <c r="T512" i="1" s="1"/>
  <c r="AH512" i="1"/>
  <c r="CV512" i="1" s="1"/>
  <c r="U512" i="1" s="1"/>
  <c r="AI512" i="1"/>
  <c r="AJ512" i="1"/>
  <c r="CX512" i="1" s="1"/>
  <c r="W512" i="1" s="1"/>
  <c r="CQ512" i="1"/>
  <c r="CW512" i="1"/>
  <c r="V512" i="1" s="1"/>
  <c r="CY512" i="1"/>
  <c r="X512" i="1" s="1"/>
  <c r="FR512" i="1"/>
  <c r="GL512" i="1"/>
  <c r="GN512" i="1"/>
  <c r="GO512" i="1"/>
  <c r="GV512" i="1"/>
  <c r="HC512" i="1" s="1"/>
  <c r="GX512" i="1" s="1"/>
  <c r="AC513" i="1"/>
  <c r="AE513" i="1"/>
  <c r="AD513" i="1" s="1"/>
  <c r="AF513" i="1"/>
  <c r="AG513" i="1"/>
  <c r="CU513" i="1" s="1"/>
  <c r="T513" i="1" s="1"/>
  <c r="AH513" i="1"/>
  <c r="AI513" i="1"/>
  <c r="CW513" i="1" s="1"/>
  <c r="V513" i="1" s="1"/>
  <c r="AJ513" i="1"/>
  <c r="CX513" i="1" s="1"/>
  <c r="W513" i="1" s="1"/>
  <c r="CR513" i="1"/>
  <c r="Q513" i="1" s="1"/>
  <c r="CT513" i="1"/>
  <c r="S513" i="1" s="1"/>
  <c r="CV513" i="1"/>
  <c r="U513" i="1" s="1"/>
  <c r="FR513" i="1"/>
  <c r="GL513" i="1"/>
  <c r="GN513" i="1"/>
  <c r="GO513" i="1"/>
  <c r="GV513" i="1"/>
  <c r="HC513" i="1" s="1"/>
  <c r="GX513" i="1" s="1"/>
  <c r="AC514" i="1"/>
  <c r="AD514" i="1"/>
  <c r="AE514" i="1"/>
  <c r="AF514" i="1"/>
  <c r="CT514" i="1" s="1"/>
  <c r="S514" i="1" s="1"/>
  <c r="AG514" i="1"/>
  <c r="AH514" i="1"/>
  <c r="CV514" i="1" s="1"/>
  <c r="U514" i="1" s="1"/>
  <c r="AI514" i="1"/>
  <c r="AJ514" i="1"/>
  <c r="CX514" i="1" s="1"/>
  <c r="W514" i="1" s="1"/>
  <c r="CQ514" i="1"/>
  <c r="P514" i="1" s="1"/>
  <c r="CR514" i="1"/>
  <c r="Q514" i="1" s="1"/>
  <c r="CS514" i="1"/>
  <c r="R514" i="1" s="1"/>
  <c r="GK514" i="1" s="1"/>
  <c r="CU514" i="1"/>
  <c r="T514" i="1" s="1"/>
  <c r="CW514" i="1"/>
  <c r="V514" i="1" s="1"/>
  <c r="FR514" i="1"/>
  <c r="GL514" i="1"/>
  <c r="GN514" i="1"/>
  <c r="GO514" i="1"/>
  <c r="GV514" i="1"/>
  <c r="HC514" i="1" s="1"/>
  <c r="GX514" i="1" s="1"/>
  <c r="AC515" i="1"/>
  <c r="AE515" i="1"/>
  <c r="CR515" i="1" s="1"/>
  <c r="Q515" i="1" s="1"/>
  <c r="AF515" i="1"/>
  <c r="CT515" i="1" s="1"/>
  <c r="S515" i="1" s="1"/>
  <c r="CY515" i="1" s="1"/>
  <c r="X515" i="1" s="1"/>
  <c r="AG515" i="1"/>
  <c r="CU515" i="1" s="1"/>
  <c r="T515" i="1" s="1"/>
  <c r="AH515" i="1"/>
  <c r="AI515" i="1"/>
  <c r="CW515" i="1" s="1"/>
  <c r="V515" i="1" s="1"/>
  <c r="AJ515" i="1"/>
  <c r="CV515" i="1"/>
  <c r="U515" i="1" s="1"/>
  <c r="CX515" i="1"/>
  <c r="W515" i="1" s="1"/>
  <c r="FR515" i="1"/>
  <c r="GL515" i="1"/>
  <c r="GN515" i="1"/>
  <c r="GO515" i="1"/>
  <c r="GV515" i="1"/>
  <c r="HC515" i="1" s="1"/>
  <c r="GX515" i="1" s="1"/>
  <c r="C516" i="1"/>
  <c r="D516" i="1"/>
  <c r="I516" i="1"/>
  <c r="AC516" i="1"/>
  <c r="AE516" i="1"/>
  <c r="CR516" i="1" s="1"/>
  <c r="AF516" i="1"/>
  <c r="AG516" i="1"/>
  <c r="CU516" i="1" s="1"/>
  <c r="AH516" i="1"/>
  <c r="AI516" i="1"/>
  <c r="CW516" i="1" s="1"/>
  <c r="AJ516" i="1"/>
  <c r="CX516" i="1" s="1"/>
  <c r="W516" i="1" s="1"/>
  <c r="CT516" i="1"/>
  <c r="S516" i="1" s="1"/>
  <c r="CY516" i="1" s="1"/>
  <c r="X516" i="1" s="1"/>
  <c r="CV516" i="1"/>
  <c r="U516" i="1" s="1"/>
  <c r="FR516" i="1"/>
  <c r="GL516" i="1"/>
  <c r="GN516" i="1"/>
  <c r="GO516" i="1"/>
  <c r="GV516" i="1"/>
  <c r="HC516" i="1" s="1"/>
  <c r="GX516" i="1" s="1"/>
  <c r="I517" i="1"/>
  <c r="S517" i="1" s="1"/>
  <c r="AC517" i="1"/>
  <c r="AE517" i="1"/>
  <c r="AD517" i="1" s="1"/>
  <c r="AF517" i="1"/>
  <c r="AG517" i="1"/>
  <c r="CU517" i="1" s="1"/>
  <c r="AH517" i="1"/>
  <c r="AI517" i="1"/>
  <c r="CW517" i="1" s="1"/>
  <c r="AJ517" i="1"/>
  <c r="CX517" i="1" s="1"/>
  <c r="W517" i="1" s="1"/>
  <c r="CR517" i="1"/>
  <c r="CT517" i="1"/>
  <c r="CV517" i="1"/>
  <c r="FR517" i="1"/>
  <c r="GL517" i="1"/>
  <c r="GN517" i="1"/>
  <c r="GO517" i="1"/>
  <c r="GV517" i="1"/>
  <c r="HC517" i="1" s="1"/>
  <c r="GX517" i="1" s="1"/>
  <c r="R518" i="1"/>
  <c r="GK518" i="1" s="1"/>
  <c r="AC518" i="1"/>
  <c r="AD518" i="1"/>
  <c r="AE518" i="1"/>
  <c r="AF518" i="1"/>
  <c r="CT518" i="1" s="1"/>
  <c r="S518" i="1" s="1"/>
  <c r="AG518" i="1"/>
  <c r="CU518" i="1" s="1"/>
  <c r="T518" i="1" s="1"/>
  <c r="AH518" i="1"/>
  <c r="CV518" i="1" s="1"/>
  <c r="U518" i="1" s="1"/>
  <c r="AI518" i="1"/>
  <c r="AJ518" i="1"/>
  <c r="CX518" i="1" s="1"/>
  <c r="W518" i="1" s="1"/>
  <c r="CQ518" i="1"/>
  <c r="P518" i="1" s="1"/>
  <c r="CR518" i="1"/>
  <c r="Q518" i="1" s="1"/>
  <c r="CS518" i="1"/>
  <c r="CW518" i="1"/>
  <c r="V518" i="1" s="1"/>
  <c r="FR518" i="1"/>
  <c r="GL518" i="1"/>
  <c r="GN518" i="1"/>
  <c r="GO518" i="1"/>
  <c r="GV518" i="1"/>
  <c r="HC518" i="1" s="1"/>
  <c r="GX518" i="1" s="1"/>
  <c r="AC519" i="1"/>
  <c r="AE519" i="1"/>
  <c r="CR519" i="1" s="1"/>
  <c r="Q519" i="1" s="1"/>
  <c r="AF519" i="1"/>
  <c r="CT519" i="1" s="1"/>
  <c r="S519" i="1" s="1"/>
  <c r="CY519" i="1" s="1"/>
  <c r="X519" i="1" s="1"/>
  <c r="AG519" i="1"/>
  <c r="CU519" i="1" s="1"/>
  <c r="T519" i="1" s="1"/>
  <c r="AH519" i="1"/>
  <c r="AI519" i="1"/>
  <c r="CW519" i="1" s="1"/>
  <c r="V519" i="1" s="1"/>
  <c r="AJ519" i="1"/>
  <c r="CV519" i="1"/>
  <c r="U519" i="1" s="1"/>
  <c r="CX519" i="1"/>
  <c r="W519" i="1" s="1"/>
  <c r="FR519" i="1"/>
  <c r="GL519" i="1"/>
  <c r="GN519" i="1"/>
  <c r="GO519" i="1"/>
  <c r="GV519" i="1"/>
  <c r="HC519" i="1" s="1"/>
  <c r="GX519" i="1" s="1"/>
  <c r="T520" i="1"/>
  <c r="AC520" i="1"/>
  <c r="CQ520" i="1" s="1"/>
  <c r="P520" i="1" s="1"/>
  <c r="AD520" i="1"/>
  <c r="AE520" i="1"/>
  <c r="AF520" i="1"/>
  <c r="CT520" i="1" s="1"/>
  <c r="S520" i="1" s="1"/>
  <c r="CZ520" i="1" s="1"/>
  <c r="Y520" i="1" s="1"/>
  <c r="AG520" i="1"/>
  <c r="AH520" i="1"/>
  <c r="CV520" i="1" s="1"/>
  <c r="U520" i="1" s="1"/>
  <c r="AI520" i="1"/>
  <c r="CW520" i="1" s="1"/>
  <c r="V520" i="1" s="1"/>
  <c r="AJ520" i="1"/>
  <c r="CX520" i="1" s="1"/>
  <c r="W520" i="1" s="1"/>
  <c r="CR520" i="1"/>
  <c r="Q520" i="1" s="1"/>
  <c r="CS520" i="1"/>
  <c r="R520" i="1" s="1"/>
  <c r="GK520" i="1" s="1"/>
  <c r="CU520" i="1"/>
  <c r="CY520" i="1"/>
  <c r="X520" i="1" s="1"/>
  <c r="FR520" i="1"/>
  <c r="GL520" i="1"/>
  <c r="GN520" i="1"/>
  <c r="GO520" i="1"/>
  <c r="GV520" i="1"/>
  <c r="GX520" i="1"/>
  <c r="HC520" i="1"/>
  <c r="AC521" i="1"/>
  <c r="AE521" i="1"/>
  <c r="AF521" i="1"/>
  <c r="AG521" i="1"/>
  <c r="CU521" i="1" s="1"/>
  <c r="T521" i="1" s="1"/>
  <c r="AH521" i="1"/>
  <c r="AI521" i="1"/>
  <c r="CW521" i="1" s="1"/>
  <c r="V521" i="1" s="1"/>
  <c r="AJ521" i="1"/>
  <c r="CT521" i="1"/>
  <c r="S521" i="1" s="1"/>
  <c r="CV521" i="1"/>
  <c r="U521" i="1" s="1"/>
  <c r="CX521" i="1"/>
  <c r="W521" i="1" s="1"/>
  <c r="FR521" i="1"/>
  <c r="GL521" i="1"/>
  <c r="GN521" i="1"/>
  <c r="GO521" i="1"/>
  <c r="GV521" i="1"/>
  <c r="HC521" i="1"/>
  <c r="GX521" i="1" s="1"/>
  <c r="AC522" i="1"/>
  <c r="AD522" i="1"/>
  <c r="AE522" i="1"/>
  <c r="AF522" i="1"/>
  <c r="CT522" i="1" s="1"/>
  <c r="S522" i="1" s="1"/>
  <c r="AG522" i="1"/>
  <c r="CU522" i="1" s="1"/>
  <c r="T522" i="1" s="1"/>
  <c r="AH522" i="1"/>
  <c r="CV522" i="1" s="1"/>
  <c r="U522" i="1" s="1"/>
  <c r="AI522" i="1"/>
  <c r="CW522" i="1" s="1"/>
  <c r="V522" i="1" s="1"/>
  <c r="AJ522" i="1"/>
  <c r="CX522" i="1" s="1"/>
  <c r="W522" i="1" s="1"/>
  <c r="CQ522" i="1"/>
  <c r="P522" i="1" s="1"/>
  <c r="CR522" i="1"/>
  <c r="Q522" i="1" s="1"/>
  <c r="CS522" i="1"/>
  <c r="R522" i="1" s="1"/>
  <c r="GK522" i="1" s="1"/>
  <c r="FR522" i="1"/>
  <c r="GL522" i="1"/>
  <c r="GN522" i="1"/>
  <c r="GO522" i="1"/>
  <c r="GV522" i="1"/>
  <c r="HC522" i="1" s="1"/>
  <c r="GX522" i="1" s="1"/>
  <c r="AC523" i="1"/>
  <c r="AE523" i="1"/>
  <c r="CR523" i="1" s="1"/>
  <c r="Q523" i="1" s="1"/>
  <c r="AF523" i="1"/>
  <c r="AG523" i="1"/>
  <c r="CU523" i="1" s="1"/>
  <c r="T523" i="1" s="1"/>
  <c r="AH523" i="1"/>
  <c r="CV523" i="1" s="1"/>
  <c r="U523" i="1" s="1"/>
  <c r="AI523" i="1"/>
  <c r="CW523" i="1" s="1"/>
  <c r="V523" i="1" s="1"/>
  <c r="AJ523" i="1"/>
  <c r="CX523" i="1" s="1"/>
  <c r="W523" i="1" s="1"/>
  <c r="CT523" i="1"/>
  <c r="S523" i="1" s="1"/>
  <c r="CY523" i="1" s="1"/>
  <c r="X523" i="1" s="1"/>
  <c r="FR523" i="1"/>
  <c r="GL523" i="1"/>
  <c r="GN523" i="1"/>
  <c r="GO523" i="1"/>
  <c r="GV523" i="1"/>
  <c r="HC523" i="1" s="1"/>
  <c r="GX523" i="1" s="1"/>
  <c r="AC524" i="1"/>
  <c r="AE524" i="1"/>
  <c r="AD524" i="1" s="1"/>
  <c r="AB524" i="1" s="1"/>
  <c r="AF524" i="1"/>
  <c r="CT524" i="1" s="1"/>
  <c r="S524" i="1" s="1"/>
  <c r="CZ524" i="1" s="1"/>
  <c r="Y524" i="1" s="1"/>
  <c r="AG524" i="1"/>
  <c r="CU524" i="1" s="1"/>
  <c r="T524" i="1" s="1"/>
  <c r="AH524" i="1"/>
  <c r="CV524" i="1" s="1"/>
  <c r="U524" i="1" s="1"/>
  <c r="AI524" i="1"/>
  <c r="CW524" i="1" s="1"/>
  <c r="V524" i="1" s="1"/>
  <c r="AJ524" i="1"/>
  <c r="CX524" i="1" s="1"/>
  <c r="W524" i="1" s="1"/>
  <c r="CQ524" i="1"/>
  <c r="P524" i="1" s="1"/>
  <c r="CS524" i="1"/>
  <c r="R524" i="1" s="1"/>
  <c r="GK524" i="1" s="1"/>
  <c r="FR524" i="1"/>
  <c r="GL524" i="1"/>
  <c r="GN524" i="1"/>
  <c r="GO524" i="1"/>
  <c r="GV524" i="1"/>
  <c r="GX524" i="1"/>
  <c r="HC524" i="1"/>
  <c r="S525" i="1"/>
  <c r="AC525" i="1"/>
  <c r="AE525" i="1"/>
  <c r="AD525" i="1" s="1"/>
  <c r="AF525" i="1"/>
  <c r="AG525" i="1"/>
  <c r="CU525" i="1" s="1"/>
  <c r="T525" i="1" s="1"/>
  <c r="AH525" i="1"/>
  <c r="AI525" i="1"/>
  <c r="CW525" i="1" s="1"/>
  <c r="V525" i="1" s="1"/>
  <c r="AJ525" i="1"/>
  <c r="CR525" i="1"/>
  <c r="Q525" i="1" s="1"/>
  <c r="CT525" i="1"/>
  <c r="CV525" i="1"/>
  <c r="U525" i="1" s="1"/>
  <c r="CX525" i="1"/>
  <c r="W525" i="1" s="1"/>
  <c r="FR525" i="1"/>
  <c r="GL525" i="1"/>
  <c r="GN525" i="1"/>
  <c r="GO525" i="1"/>
  <c r="GV525" i="1"/>
  <c r="HC525" i="1" s="1"/>
  <c r="GX525" i="1" s="1"/>
  <c r="R526" i="1"/>
  <c r="GK526" i="1" s="1"/>
  <c r="AC526" i="1"/>
  <c r="AD526" i="1"/>
  <c r="AE526" i="1"/>
  <c r="AF526" i="1"/>
  <c r="CT526" i="1" s="1"/>
  <c r="S526" i="1" s="1"/>
  <c r="AG526" i="1"/>
  <c r="AH526" i="1"/>
  <c r="CV526" i="1" s="1"/>
  <c r="U526" i="1" s="1"/>
  <c r="AI526" i="1"/>
  <c r="CW526" i="1" s="1"/>
  <c r="V526" i="1" s="1"/>
  <c r="AJ526" i="1"/>
  <c r="CX526" i="1" s="1"/>
  <c r="W526" i="1" s="1"/>
  <c r="CQ526" i="1"/>
  <c r="P526" i="1" s="1"/>
  <c r="CR526" i="1"/>
  <c r="Q526" i="1" s="1"/>
  <c r="CS526" i="1"/>
  <c r="CU526" i="1"/>
  <c r="T526" i="1" s="1"/>
  <c r="FR526" i="1"/>
  <c r="GL526" i="1"/>
  <c r="GN526" i="1"/>
  <c r="GO526" i="1"/>
  <c r="GV526" i="1"/>
  <c r="HC526" i="1" s="1"/>
  <c r="GX526" i="1" s="1"/>
  <c r="AC527" i="1"/>
  <c r="AE527" i="1"/>
  <c r="CR527" i="1" s="1"/>
  <c r="Q527" i="1" s="1"/>
  <c r="AF527" i="1"/>
  <c r="CT527" i="1" s="1"/>
  <c r="S527" i="1" s="1"/>
  <c r="CY527" i="1" s="1"/>
  <c r="X527" i="1" s="1"/>
  <c r="AG527" i="1"/>
  <c r="CU527" i="1" s="1"/>
  <c r="T527" i="1" s="1"/>
  <c r="AH527" i="1"/>
  <c r="CV527" i="1" s="1"/>
  <c r="U527" i="1" s="1"/>
  <c r="AI527" i="1"/>
  <c r="CW527" i="1" s="1"/>
  <c r="V527" i="1" s="1"/>
  <c r="AJ527" i="1"/>
  <c r="CX527" i="1"/>
  <c r="W527" i="1" s="1"/>
  <c r="CZ527" i="1"/>
  <c r="Y527" i="1" s="1"/>
  <c r="FR527" i="1"/>
  <c r="GL527" i="1"/>
  <c r="GN527" i="1"/>
  <c r="GO527" i="1"/>
  <c r="GV527" i="1"/>
  <c r="HC527" i="1" s="1"/>
  <c r="GX527" i="1" s="1"/>
  <c r="T528" i="1"/>
  <c r="AC528" i="1"/>
  <c r="AE528" i="1"/>
  <c r="AD528" i="1" s="1"/>
  <c r="AF528" i="1"/>
  <c r="AG528" i="1"/>
  <c r="AH528" i="1"/>
  <c r="CV528" i="1" s="1"/>
  <c r="U528" i="1" s="1"/>
  <c r="AI528" i="1"/>
  <c r="AJ528" i="1"/>
  <c r="CX528" i="1" s="1"/>
  <c r="W528" i="1" s="1"/>
  <c r="CQ528" i="1"/>
  <c r="P528" i="1" s="1"/>
  <c r="CS528" i="1"/>
  <c r="R528" i="1" s="1"/>
  <c r="GK528" i="1" s="1"/>
  <c r="CT528" i="1"/>
  <c r="S528" i="1" s="1"/>
  <c r="CZ528" i="1" s="1"/>
  <c r="Y528" i="1" s="1"/>
  <c r="CU528" i="1"/>
  <c r="CW528" i="1"/>
  <c r="V528" i="1" s="1"/>
  <c r="CY528" i="1"/>
  <c r="X528" i="1" s="1"/>
  <c r="FR528" i="1"/>
  <c r="GL528" i="1"/>
  <c r="GN528" i="1"/>
  <c r="GO528" i="1"/>
  <c r="GV528" i="1"/>
  <c r="GX528" i="1"/>
  <c r="HC528" i="1"/>
  <c r="D529" i="1"/>
  <c r="I529" i="1"/>
  <c r="I530" i="1" s="1"/>
  <c r="AC529" i="1"/>
  <c r="CQ529" i="1" s="1"/>
  <c r="P529" i="1" s="1"/>
  <c r="AE529" i="1"/>
  <c r="CR529" i="1" s="1"/>
  <c r="AF529" i="1"/>
  <c r="AG529" i="1"/>
  <c r="AH529" i="1"/>
  <c r="CV529" i="1" s="1"/>
  <c r="U529" i="1" s="1"/>
  <c r="AI529" i="1"/>
  <c r="CW529" i="1" s="1"/>
  <c r="AJ529" i="1"/>
  <c r="CX529" i="1" s="1"/>
  <c r="W529" i="1" s="1"/>
  <c r="CT529" i="1"/>
  <c r="S529" i="1" s="1"/>
  <c r="CU529" i="1"/>
  <c r="FR529" i="1"/>
  <c r="GL529" i="1"/>
  <c r="GN529" i="1"/>
  <c r="GO529" i="1"/>
  <c r="GV529" i="1"/>
  <c r="HC529" i="1" s="1"/>
  <c r="AC530" i="1"/>
  <c r="AE530" i="1"/>
  <c r="AD530" i="1" s="1"/>
  <c r="AF530" i="1"/>
  <c r="CT530" i="1" s="1"/>
  <c r="S530" i="1" s="1"/>
  <c r="AG530" i="1"/>
  <c r="CU530" i="1" s="1"/>
  <c r="T530" i="1" s="1"/>
  <c r="AH530" i="1"/>
  <c r="CV530" i="1" s="1"/>
  <c r="U530" i="1" s="1"/>
  <c r="AI530" i="1"/>
  <c r="AJ530" i="1"/>
  <c r="CS530" i="1"/>
  <c r="CW530" i="1"/>
  <c r="V530" i="1" s="1"/>
  <c r="CX530" i="1"/>
  <c r="W530" i="1" s="1"/>
  <c r="FR530" i="1"/>
  <c r="GL530" i="1"/>
  <c r="GN530" i="1"/>
  <c r="GO530" i="1"/>
  <c r="GV530" i="1"/>
  <c r="HC530" i="1"/>
  <c r="I531" i="1"/>
  <c r="AC531" i="1"/>
  <c r="CQ531" i="1" s="1"/>
  <c r="P531" i="1" s="1"/>
  <c r="AE531" i="1"/>
  <c r="AF531" i="1"/>
  <c r="AG531" i="1"/>
  <c r="CU531" i="1" s="1"/>
  <c r="AH531" i="1"/>
  <c r="AI531" i="1"/>
  <c r="CW531" i="1" s="1"/>
  <c r="AJ531" i="1"/>
  <c r="CX531" i="1" s="1"/>
  <c r="W531" i="1" s="1"/>
  <c r="CR531" i="1"/>
  <c r="Q531" i="1" s="1"/>
  <c r="CT531" i="1"/>
  <c r="CV531" i="1"/>
  <c r="FR531" i="1"/>
  <c r="GL531" i="1"/>
  <c r="GN531" i="1"/>
  <c r="GO531" i="1"/>
  <c r="GV531" i="1"/>
  <c r="HC531" i="1" s="1"/>
  <c r="D532" i="1"/>
  <c r="I532" i="1"/>
  <c r="I533" i="1" s="1"/>
  <c r="V532" i="1"/>
  <c r="AC532" i="1"/>
  <c r="AE532" i="1"/>
  <c r="AF532" i="1"/>
  <c r="CT532" i="1" s="1"/>
  <c r="S532" i="1" s="1"/>
  <c r="AG532" i="1"/>
  <c r="AH532" i="1"/>
  <c r="CV532" i="1" s="1"/>
  <c r="U532" i="1" s="1"/>
  <c r="AI532" i="1"/>
  <c r="AJ532" i="1"/>
  <c r="CX532" i="1" s="1"/>
  <c r="W532" i="1" s="1"/>
  <c r="CQ532" i="1"/>
  <c r="P532" i="1" s="1"/>
  <c r="CU532" i="1"/>
  <c r="T532" i="1" s="1"/>
  <c r="CW532" i="1"/>
  <c r="FR532" i="1"/>
  <c r="GL532" i="1"/>
  <c r="GN532" i="1"/>
  <c r="GO532" i="1"/>
  <c r="GV532" i="1"/>
  <c r="HC532" i="1" s="1"/>
  <c r="GX532" i="1"/>
  <c r="AC533" i="1"/>
  <c r="AE533" i="1"/>
  <c r="CS533" i="1" s="1"/>
  <c r="R533" i="1" s="1"/>
  <c r="GK533" i="1" s="1"/>
  <c r="AF533" i="1"/>
  <c r="CT533" i="1" s="1"/>
  <c r="AG533" i="1"/>
  <c r="AH533" i="1"/>
  <c r="CV533" i="1" s="1"/>
  <c r="U533" i="1" s="1"/>
  <c r="AI533" i="1"/>
  <c r="AJ533" i="1"/>
  <c r="CQ533" i="1"/>
  <c r="P533" i="1" s="1"/>
  <c r="CU533" i="1"/>
  <c r="T533" i="1" s="1"/>
  <c r="CW533" i="1"/>
  <c r="V533" i="1" s="1"/>
  <c r="CX533" i="1"/>
  <c r="W533" i="1" s="1"/>
  <c r="FR533" i="1"/>
  <c r="GL533" i="1"/>
  <c r="GN533" i="1"/>
  <c r="GO533" i="1"/>
  <c r="GV533" i="1"/>
  <c r="HC533" i="1"/>
  <c r="GX533" i="1" s="1"/>
  <c r="AC534" i="1"/>
  <c r="AE534" i="1"/>
  <c r="AD534" i="1" s="1"/>
  <c r="AF534" i="1"/>
  <c r="CT534" i="1" s="1"/>
  <c r="AG534" i="1"/>
  <c r="CU534" i="1" s="1"/>
  <c r="AH534" i="1"/>
  <c r="AI534" i="1"/>
  <c r="CW534" i="1" s="1"/>
  <c r="AJ534" i="1"/>
  <c r="CX534" i="1" s="1"/>
  <c r="CQ534" i="1"/>
  <c r="CR534" i="1"/>
  <c r="CS534" i="1"/>
  <c r="CV534" i="1"/>
  <c r="FR534" i="1"/>
  <c r="GL534" i="1"/>
  <c r="GN534" i="1"/>
  <c r="GO534" i="1"/>
  <c r="GV534" i="1"/>
  <c r="HC534" i="1" s="1"/>
  <c r="D535" i="1"/>
  <c r="I535" i="1"/>
  <c r="AC535" i="1"/>
  <c r="AE535" i="1"/>
  <c r="AF535" i="1"/>
  <c r="CT535" i="1" s="1"/>
  <c r="S535" i="1" s="1"/>
  <c r="AG535" i="1"/>
  <c r="CU535" i="1" s="1"/>
  <c r="T535" i="1" s="1"/>
  <c r="AH535" i="1"/>
  <c r="CV535" i="1" s="1"/>
  <c r="U535" i="1" s="1"/>
  <c r="AI535" i="1"/>
  <c r="CW535" i="1" s="1"/>
  <c r="V535" i="1" s="1"/>
  <c r="AJ535" i="1"/>
  <c r="CX535" i="1"/>
  <c r="W535" i="1" s="1"/>
  <c r="FR535" i="1"/>
  <c r="GL535" i="1"/>
  <c r="GN535" i="1"/>
  <c r="GO535" i="1"/>
  <c r="GV535" i="1"/>
  <c r="HC535" i="1"/>
  <c r="GX535" i="1" s="1"/>
  <c r="I536" i="1"/>
  <c r="U536" i="1"/>
  <c r="AC536" i="1"/>
  <c r="AE536" i="1"/>
  <c r="CR536" i="1" s="1"/>
  <c r="AF536" i="1"/>
  <c r="AG536" i="1"/>
  <c r="CU536" i="1" s="1"/>
  <c r="T536" i="1" s="1"/>
  <c r="AH536" i="1"/>
  <c r="CV536" i="1" s="1"/>
  <c r="AI536" i="1"/>
  <c r="CW536" i="1" s="1"/>
  <c r="V536" i="1" s="1"/>
  <c r="AJ536" i="1"/>
  <c r="CX536" i="1" s="1"/>
  <c r="W536" i="1" s="1"/>
  <c r="CQ536" i="1"/>
  <c r="P536" i="1" s="1"/>
  <c r="CT536" i="1"/>
  <c r="S536" i="1" s="1"/>
  <c r="CY536" i="1" s="1"/>
  <c r="X536" i="1" s="1"/>
  <c r="CZ536" i="1"/>
  <c r="Y536" i="1" s="1"/>
  <c r="FR536" i="1"/>
  <c r="GL536" i="1"/>
  <c r="GN536" i="1"/>
  <c r="GO536" i="1"/>
  <c r="GV536" i="1"/>
  <c r="HC536" i="1" s="1"/>
  <c r="D537" i="1"/>
  <c r="I537" i="1"/>
  <c r="I538" i="1" s="1"/>
  <c r="AB537" i="1"/>
  <c r="AC537" i="1"/>
  <c r="AE537" i="1"/>
  <c r="AD537" i="1" s="1"/>
  <c r="AF537" i="1"/>
  <c r="CT537" i="1" s="1"/>
  <c r="AG537" i="1"/>
  <c r="CU537" i="1" s="1"/>
  <c r="AH537" i="1"/>
  <c r="AI537" i="1"/>
  <c r="CW537" i="1" s="1"/>
  <c r="V537" i="1" s="1"/>
  <c r="AJ537" i="1"/>
  <c r="CX537" i="1" s="1"/>
  <c r="CQ537" i="1"/>
  <c r="CR537" i="1"/>
  <c r="Q537" i="1" s="1"/>
  <c r="CS537" i="1"/>
  <c r="R537" i="1" s="1"/>
  <c r="GK537" i="1" s="1"/>
  <c r="CV537" i="1"/>
  <c r="FR537" i="1"/>
  <c r="GL537" i="1"/>
  <c r="GN537" i="1"/>
  <c r="GO537" i="1"/>
  <c r="GV537" i="1"/>
  <c r="HC537" i="1" s="1"/>
  <c r="GX537" i="1" s="1"/>
  <c r="D538" i="1"/>
  <c r="AC538" i="1"/>
  <c r="AE538" i="1"/>
  <c r="AD538" i="1" s="1"/>
  <c r="AF538" i="1"/>
  <c r="CT538" i="1" s="1"/>
  <c r="S538" i="1" s="1"/>
  <c r="AG538" i="1"/>
  <c r="CU538" i="1" s="1"/>
  <c r="AH538" i="1"/>
  <c r="CV538" i="1" s="1"/>
  <c r="AI538" i="1"/>
  <c r="CW538" i="1" s="1"/>
  <c r="AJ538" i="1"/>
  <c r="CX538" i="1" s="1"/>
  <c r="W538" i="1" s="1"/>
  <c r="CR538" i="1"/>
  <c r="CS538" i="1"/>
  <c r="R538" i="1" s="1"/>
  <c r="GK538" i="1" s="1"/>
  <c r="FR538" i="1"/>
  <c r="GL538" i="1"/>
  <c r="GN538" i="1"/>
  <c r="GO538" i="1"/>
  <c r="GV538" i="1"/>
  <c r="HC538" i="1"/>
  <c r="D539" i="1"/>
  <c r="I539" i="1"/>
  <c r="T539" i="1" s="1"/>
  <c r="AC539" i="1"/>
  <c r="AE539" i="1"/>
  <c r="CR539" i="1" s="1"/>
  <c r="Q539" i="1" s="1"/>
  <c r="AF539" i="1"/>
  <c r="AG539" i="1"/>
  <c r="AH539" i="1"/>
  <c r="CV539" i="1" s="1"/>
  <c r="AI539" i="1"/>
  <c r="CW539" i="1" s="1"/>
  <c r="V539" i="1" s="1"/>
  <c r="AJ539" i="1"/>
  <c r="CT539" i="1"/>
  <c r="CU539" i="1"/>
  <c r="CX539" i="1"/>
  <c r="FR539" i="1"/>
  <c r="GL539" i="1"/>
  <c r="GN539" i="1"/>
  <c r="GO539" i="1"/>
  <c r="GV539" i="1"/>
  <c r="HC539" i="1"/>
  <c r="GX539" i="1" s="1"/>
  <c r="D540" i="1"/>
  <c r="I540" i="1"/>
  <c r="AC540" i="1"/>
  <c r="AE540" i="1"/>
  <c r="AF540" i="1"/>
  <c r="AG540" i="1"/>
  <c r="CU540" i="1" s="1"/>
  <c r="AH540" i="1"/>
  <c r="AI540" i="1"/>
  <c r="CW540" i="1" s="1"/>
  <c r="AJ540" i="1"/>
  <c r="CX540" i="1" s="1"/>
  <c r="W540" i="1" s="1"/>
  <c r="CT540" i="1"/>
  <c r="CV540" i="1"/>
  <c r="U540" i="1" s="1"/>
  <c r="FR540" i="1"/>
  <c r="GL540" i="1"/>
  <c r="GN540" i="1"/>
  <c r="GO540" i="1"/>
  <c r="GV540" i="1"/>
  <c r="HC540" i="1" s="1"/>
  <c r="D541" i="1"/>
  <c r="I541" i="1"/>
  <c r="I542" i="1" s="1"/>
  <c r="AC541" i="1"/>
  <c r="AE541" i="1"/>
  <c r="AF541" i="1"/>
  <c r="CT541" i="1" s="1"/>
  <c r="S541" i="1" s="1"/>
  <c r="AG541" i="1"/>
  <c r="CU541" i="1" s="1"/>
  <c r="T541" i="1" s="1"/>
  <c r="AH541" i="1"/>
  <c r="AI541" i="1"/>
  <c r="AJ541" i="1"/>
  <c r="CX541" i="1" s="1"/>
  <c r="W541" i="1" s="1"/>
  <c r="CV541" i="1"/>
  <c r="U541" i="1" s="1"/>
  <c r="CW541" i="1"/>
  <c r="V541" i="1" s="1"/>
  <c r="FR541" i="1"/>
  <c r="GL541" i="1"/>
  <c r="GN541" i="1"/>
  <c r="GO541" i="1"/>
  <c r="GV541" i="1"/>
  <c r="HC541" i="1" s="1"/>
  <c r="GX541" i="1" s="1"/>
  <c r="AC542" i="1"/>
  <c r="CQ542" i="1" s="1"/>
  <c r="P542" i="1" s="1"/>
  <c r="AE542" i="1"/>
  <c r="AD542" i="1" s="1"/>
  <c r="AF542" i="1"/>
  <c r="AG542" i="1"/>
  <c r="CU542" i="1" s="1"/>
  <c r="T542" i="1" s="1"/>
  <c r="AH542" i="1"/>
  <c r="CV542" i="1" s="1"/>
  <c r="U542" i="1" s="1"/>
  <c r="AI542" i="1"/>
  <c r="CW542" i="1" s="1"/>
  <c r="V542" i="1" s="1"/>
  <c r="AJ542" i="1"/>
  <c r="CX542" i="1" s="1"/>
  <c r="W542" i="1" s="1"/>
  <c r="CS542" i="1"/>
  <c r="R542" i="1" s="1"/>
  <c r="GK542" i="1" s="1"/>
  <c r="CT542" i="1"/>
  <c r="FR542" i="1"/>
  <c r="GL542" i="1"/>
  <c r="GN542" i="1"/>
  <c r="GO542" i="1"/>
  <c r="GV542" i="1"/>
  <c r="HC542" i="1"/>
  <c r="GX542" i="1" s="1"/>
  <c r="AC543" i="1"/>
  <c r="AE543" i="1"/>
  <c r="AF543" i="1"/>
  <c r="CT543" i="1" s="1"/>
  <c r="AG543" i="1"/>
  <c r="AH543" i="1"/>
  <c r="CV543" i="1" s="1"/>
  <c r="AI543" i="1"/>
  <c r="AJ543" i="1"/>
  <c r="CX543" i="1" s="1"/>
  <c r="CQ543" i="1"/>
  <c r="CU543" i="1"/>
  <c r="CW543" i="1"/>
  <c r="FR543" i="1"/>
  <c r="GL543" i="1"/>
  <c r="GN543" i="1"/>
  <c r="GO543" i="1"/>
  <c r="GV543" i="1"/>
  <c r="HC543" i="1"/>
  <c r="D544" i="1"/>
  <c r="I544" i="1"/>
  <c r="AC544" i="1"/>
  <c r="AE544" i="1"/>
  <c r="AF544" i="1"/>
  <c r="AG544" i="1"/>
  <c r="CU544" i="1" s="1"/>
  <c r="T544" i="1" s="1"/>
  <c r="AH544" i="1"/>
  <c r="AI544" i="1"/>
  <c r="AJ544" i="1"/>
  <c r="CS544" i="1"/>
  <c r="R544" i="1" s="1"/>
  <c r="GK544" i="1" s="1"/>
  <c r="CT544" i="1"/>
  <c r="S544" i="1" s="1"/>
  <c r="CV544" i="1"/>
  <c r="U544" i="1" s="1"/>
  <c r="CW544" i="1"/>
  <c r="V544" i="1" s="1"/>
  <c r="CX544" i="1"/>
  <c r="W544" i="1" s="1"/>
  <c r="FR544" i="1"/>
  <c r="GL544" i="1"/>
  <c r="GN544" i="1"/>
  <c r="GO544" i="1"/>
  <c r="GV544" i="1"/>
  <c r="HC544" i="1" s="1"/>
  <c r="GX544" i="1" s="1"/>
  <c r="D545" i="1"/>
  <c r="AC545" i="1"/>
  <c r="CQ545" i="1" s="1"/>
  <c r="P545" i="1" s="1"/>
  <c r="AE545" i="1"/>
  <c r="AF545" i="1"/>
  <c r="CT545" i="1" s="1"/>
  <c r="S545" i="1" s="1"/>
  <c r="CY545" i="1" s="1"/>
  <c r="X545" i="1" s="1"/>
  <c r="AG545" i="1"/>
  <c r="CU545" i="1" s="1"/>
  <c r="T545" i="1" s="1"/>
  <c r="AH545" i="1"/>
  <c r="CV545" i="1" s="1"/>
  <c r="U545" i="1" s="1"/>
  <c r="AI545" i="1"/>
  <c r="CW545" i="1" s="1"/>
  <c r="V545" i="1" s="1"/>
  <c r="AJ545" i="1"/>
  <c r="CR545" i="1"/>
  <c r="Q545" i="1" s="1"/>
  <c r="CX545" i="1"/>
  <c r="W545" i="1" s="1"/>
  <c r="FR545" i="1"/>
  <c r="GL545" i="1"/>
  <c r="GN545" i="1"/>
  <c r="GO545" i="1"/>
  <c r="GV545" i="1"/>
  <c r="HC545" i="1" s="1"/>
  <c r="GX545" i="1" s="1"/>
  <c r="D546" i="1"/>
  <c r="I546" i="1"/>
  <c r="AC546" i="1"/>
  <c r="CQ546" i="1" s="1"/>
  <c r="P546" i="1" s="1"/>
  <c r="AE546" i="1"/>
  <c r="AD546" i="1" s="1"/>
  <c r="AF546" i="1"/>
  <c r="CT546" i="1" s="1"/>
  <c r="AG546" i="1"/>
  <c r="CU546" i="1" s="1"/>
  <c r="AH546" i="1"/>
  <c r="CV546" i="1" s="1"/>
  <c r="AI546" i="1"/>
  <c r="CW546" i="1" s="1"/>
  <c r="AJ546" i="1"/>
  <c r="CX546" i="1" s="1"/>
  <c r="W546" i="1" s="1"/>
  <c r="CR546" i="1"/>
  <c r="CS546" i="1"/>
  <c r="R546" i="1" s="1"/>
  <c r="GK546" i="1" s="1"/>
  <c r="FR546" i="1"/>
  <c r="GL546" i="1"/>
  <c r="GN546" i="1"/>
  <c r="GO546" i="1"/>
  <c r="GV546" i="1"/>
  <c r="HC546" i="1" s="1"/>
  <c r="D547" i="1"/>
  <c r="I547" i="1"/>
  <c r="AC547" i="1"/>
  <c r="AE547" i="1"/>
  <c r="AF547" i="1"/>
  <c r="AG547" i="1"/>
  <c r="CU547" i="1" s="1"/>
  <c r="T547" i="1" s="1"/>
  <c r="AH547" i="1"/>
  <c r="AI547" i="1"/>
  <c r="AJ547" i="1"/>
  <c r="CT547" i="1"/>
  <c r="S547" i="1" s="1"/>
  <c r="CV547" i="1"/>
  <c r="U547" i="1" s="1"/>
  <c r="CW547" i="1"/>
  <c r="V547" i="1" s="1"/>
  <c r="CX547" i="1"/>
  <c r="W547" i="1" s="1"/>
  <c r="FR547" i="1"/>
  <c r="GL547" i="1"/>
  <c r="GN547" i="1"/>
  <c r="GO547" i="1"/>
  <c r="GV547" i="1"/>
  <c r="HC547" i="1"/>
  <c r="GX547" i="1" s="1"/>
  <c r="D548" i="1"/>
  <c r="I548" i="1"/>
  <c r="AC548" i="1"/>
  <c r="AD548" i="1"/>
  <c r="AE548" i="1"/>
  <c r="AF548" i="1"/>
  <c r="AG548" i="1"/>
  <c r="AH548" i="1"/>
  <c r="CV548" i="1" s="1"/>
  <c r="U548" i="1" s="1"/>
  <c r="AI548" i="1"/>
  <c r="AJ548" i="1"/>
  <c r="CX548" i="1" s="1"/>
  <c r="W548" i="1" s="1"/>
  <c r="CQ548" i="1"/>
  <c r="CR548" i="1"/>
  <c r="CS548" i="1"/>
  <c r="CT548" i="1"/>
  <c r="S548" i="1" s="1"/>
  <c r="CU548" i="1"/>
  <c r="T548" i="1" s="1"/>
  <c r="CW548" i="1"/>
  <c r="V548" i="1" s="1"/>
  <c r="FR548" i="1"/>
  <c r="GL548" i="1"/>
  <c r="GN548" i="1"/>
  <c r="GO548" i="1"/>
  <c r="GV548" i="1"/>
  <c r="HC548" i="1" s="1"/>
  <c r="GX548" i="1"/>
  <c r="D549" i="1"/>
  <c r="I549" i="1"/>
  <c r="U549" i="1"/>
  <c r="AC549" i="1"/>
  <c r="AE549" i="1"/>
  <c r="CR549" i="1" s="1"/>
  <c r="Q549" i="1" s="1"/>
  <c r="AF549" i="1"/>
  <c r="AG549" i="1"/>
  <c r="AH549" i="1"/>
  <c r="AI549" i="1"/>
  <c r="CW549" i="1" s="1"/>
  <c r="V549" i="1" s="1"/>
  <c r="AJ549" i="1"/>
  <c r="CQ549" i="1"/>
  <c r="P549" i="1" s="1"/>
  <c r="CT549" i="1"/>
  <c r="S549" i="1" s="1"/>
  <c r="CU549" i="1"/>
  <c r="T549" i="1" s="1"/>
  <c r="CV549" i="1"/>
  <c r="CX549" i="1"/>
  <c r="W549" i="1" s="1"/>
  <c r="FR549" i="1"/>
  <c r="GL549" i="1"/>
  <c r="GN549" i="1"/>
  <c r="GO549" i="1"/>
  <c r="GV549" i="1"/>
  <c r="HC549" i="1" s="1"/>
  <c r="GX549" i="1" s="1"/>
  <c r="I550" i="1"/>
  <c r="AC550" i="1"/>
  <c r="AD550" i="1"/>
  <c r="AE550" i="1"/>
  <c r="CR550" i="1" s="1"/>
  <c r="Q550" i="1" s="1"/>
  <c r="AF550" i="1"/>
  <c r="CT550" i="1" s="1"/>
  <c r="S550" i="1" s="1"/>
  <c r="AG550" i="1"/>
  <c r="CU550" i="1" s="1"/>
  <c r="T550" i="1" s="1"/>
  <c r="AH550" i="1"/>
  <c r="AI550" i="1"/>
  <c r="AJ550" i="1"/>
  <c r="CS550" i="1"/>
  <c r="CV550" i="1"/>
  <c r="U550" i="1" s="1"/>
  <c r="CW550" i="1"/>
  <c r="V550" i="1" s="1"/>
  <c r="CX550" i="1"/>
  <c r="W550" i="1" s="1"/>
  <c r="FR550" i="1"/>
  <c r="GL550" i="1"/>
  <c r="GN550" i="1"/>
  <c r="GO550" i="1"/>
  <c r="GV550" i="1"/>
  <c r="HC550" i="1" s="1"/>
  <c r="GX550" i="1" s="1"/>
  <c r="I551" i="1"/>
  <c r="AC551" i="1"/>
  <c r="AE551" i="1"/>
  <c r="AF551" i="1"/>
  <c r="CT551" i="1" s="1"/>
  <c r="AG551" i="1"/>
  <c r="AH551" i="1"/>
  <c r="CV551" i="1" s="1"/>
  <c r="U551" i="1" s="1"/>
  <c r="AI551" i="1"/>
  <c r="CW551" i="1" s="1"/>
  <c r="AJ551" i="1"/>
  <c r="CX551" i="1" s="1"/>
  <c r="W551" i="1" s="1"/>
  <c r="CQ551" i="1"/>
  <c r="CR551" i="1"/>
  <c r="CU551" i="1"/>
  <c r="FR551" i="1"/>
  <c r="GL551" i="1"/>
  <c r="GN551" i="1"/>
  <c r="GO551" i="1"/>
  <c r="GV551" i="1"/>
  <c r="HC551" i="1" s="1"/>
  <c r="AC552" i="1"/>
  <c r="AD552" i="1"/>
  <c r="AE552" i="1"/>
  <c r="AF552" i="1"/>
  <c r="CT552" i="1" s="1"/>
  <c r="S552" i="1" s="1"/>
  <c r="AG552" i="1"/>
  <c r="CU552" i="1" s="1"/>
  <c r="T552" i="1" s="1"/>
  <c r="AH552" i="1"/>
  <c r="CV552" i="1" s="1"/>
  <c r="U552" i="1" s="1"/>
  <c r="AI552" i="1"/>
  <c r="AJ552" i="1"/>
  <c r="CX552" i="1" s="1"/>
  <c r="W552" i="1" s="1"/>
  <c r="CQ552" i="1"/>
  <c r="P552" i="1" s="1"/>
  <c r="CR552" i="1"/>
  <c r="Q552" i="1" s="1"/>
  <c r="CS552" i="1"/>
  <c r="R552" i="1" s="1"/>
  <c r="GK552" i="1" s="1"/>
  <c r="CW552" i="1"/>
  <c r="V552" i="1" s="1"/>
  <c r="FR552" i="1"/>
  <c r="GL552" i="1"/>
  <c r="GN552" i="1"/>
  <c r="GO552" i="1"/>
  <c r="GV552" i="1"/>
  <c r="HC552" i="1"/>
  <c r="GX552" i="1" s="1"/>
  <c r="AC553" i="1"/>
  <c r="AE553" i="1"/>
  <c r="AD553" i="1" s="1"/>
  <c r="AF553" i="1"/>
  <c r="AG553" i="1"/>
  <c r="CU553" i="1" s="1"/>
  <c r="T553" i="1" s="1"/>
  <c r="AH553" i="1"/>
  <c r="CV553" i="1" s="1"/>
  <c r="U553" i="1" s="1"/>
  <c r="AI553" i="1"/>
  <c r="AJ553" i="1"/>
  <c r="CR553" i="1"/>
  <c r="Q553" i="1" s="1"/>
  <c r="CT553" i="1"/>
  <c r="S553" i="1" s="1"/>
  <c r="CW553" i="1"/>
  <c r="V553" i="1" s="1"/>
  <c r="CX553" i="1"/>
  <c r="W553" i="1" s="1"/>
  <c r="FR553" i="1"/>
  <c r="GL553" i="1"/>
  <c r="GN553" i="1"/>
  <c r="GO553" i="1"/>
  <c r="GV553" i="1"/>
  <c r="HC553" i="1" s="1"/>
  <c r="GX553" i="1" s="1"/>
  <c r="V554" i="1"/>
  <c r="AC554" i="1"/>
  <c r="CQ554" i="1" s="1"/>
  <c r="P554" i="1" s="1"/>
  <c r="AE554" i="1"/>
  <c r="AD554" i="1" s="1"/>
  <c r="AF554" i="1"/>
  <c r="CT554" i="1" s="1"/>
  <c r="S554" i="1" s="1"/>
  <c r="AG554" i="1"/>
  <c r="AH554" i="1"/>
  <c r="AI554" i="1"/>
  <c r="CW554" i="1" s="1"/>
  <c r="AJ554" i="1"/>
  <c r="CX554" i="1" s="1"/>
  <c r="W554" i="1" s="1"/>
  <c r="CR554" i="1"/>
  <c r="Q554" i="1" s="1"/>
  <c r="CS554" i="1"/>
  <c r="R554" i="1" s="1"/>
  <c r="GK554" i="1" s="1"/>
  <c r="CU554" i="1"/>
  <c r="T554" i="1" s="1"/>
  <c r="CV554" i="1"/>
  <c r="U554" i="1" s="1"/>
  <c r="FR554" i="1"/>
  <c r="GL554" i="1"/>
  <c r="GN554" i="1"/>
  <c r="GO554" i="1"/>
  <c r="GV554" i="1"/>
  <c r="HC554" i="1" s="1"/>
  <c r="GX554" i="1" s="1"/>
  <c r="AC555" i="1"/>
  <c r="AE555" i="1"/>
  <c r="AF555" i="1"/>
  <c r="AG555" i="1"/>
  <c r="CU555" i="1" s="1"/>
  <c r="T555" i="1" s="1"/>
  <c r="AH555" i="1"/>
  <c r="CV555" i="1" s="1"/>
  <c r="U555" i="1" s="1"/>
  <c r="AI555" i="1"/>
  <c r="CW555" i="1" s="1"/>
  <c r="V555" i="1" s="1"/>
  <c r="AJ555" i="1"/>
  <c r="CX555" i="1" s="1"/>
  <c r="W555" i="1" s="1"/>
  <c r="CR555" i="1"/>
  <c r="Q555" i="1" s="1"/>
  <c r="CT555" i="1"/>
  <c r="S555" i="1" s="1"/>
  <c r="CY555" i="1" s="1"/>
  <c r="X555" i="1" s="1"/>
  <c r="FR555" i="1"/>
  <c r="GL555" i="1"/>
  <c r="GN555" i="1"/>
  <c r="GO555" i="1"/>
  <c r="GV555" i="1"/>
  <c r="HC555" i="1" s="1"/>
  <c r="GX555" i="1" s="1"/>
  <c r="D556" i="1"/>
  <c r="I556" i="1"/>
  <c r="I557" i="1" s="1"/>
  <c r="AC556" i="1"/>
  <c r="CQ556" i="1" s="1"/>
  <c r="P556" i="1" s="1"/>
  <c r="AE556" i="1"/>
  <c r="AF556" i="1"/>
  <c r="CT556" i="1" s="1"/>
  <c r="AG556" i="1"/>
  <c r="CU556" i="1" s="1"/>
  <c r="AH556" i="1"/>
  <c r="CV556" i="1" s="1"/>
  <c r="U556" i="1" s="1"/>
  <c r="AI556" i="1"/>
  <c r="CW556" i="1" s="1"/>
  <c r="V556" i="1" s="1"/>
  <c r="AJ556" i="1"/>
  <c r="CX556" i="1" s="1"/>
  <c r="FR556" i="1"/>
  <c r="GL556" i="1"/>
  <c r="GN556" i="1"/>
  <c r="GO556" i="1"/>
  <c r="GV556" i="1"/>
  <c r="HC556" i="1" s="1"/>
  <c r="GX556" i="1" s="1"/>
  <c r="AC557" i="1"/>
  <c r="CQ557" i="1" s="1"/>
  <c r="P557" i="1" s="1"/>
  <c r="AD557" i="1"/>
  <c r="AE557" i="1"/>
  <c r="AF557" i="1"/>
  <c r="AG557" i="1"/>
  <c r="AH557" i="1"/>
  <c r="CV557" i="1" s="1"/>
  <c r="U557" i="1" s="1"/>
  <c r="AI557" i="1"/>
  <c r="AJ557" i="1"/>
  <c r="CX557" i="1" s="1"/>
  <c r="CR557" i="1"/>
  <c r="Q557" i="1" s="1"/>
  <c r="CS557" i="1"/>
  <c r="CT557" i="1"/>
  <c r="CU557" i="1"/>
  <c r="T557" i="1" s="1"/>
  <c r="CW557" i="1"/>
  <c r="V557" i="1" s="1"/>
  <c r="FR557" i="1"/>
  <c r="GL557" i="1"/>
  <c r="GN557" i="1"/>
  <c r="GO557" i="1"/>
  <c r="GV557" i="1"/>
  <c r="HC557" i="1" s="1"/>
  <c r="AC558" i="1"/>
  <c r="CQ558" i="1" s="1"/>
  <c r="AE558" i="1"/>
  <c r="AF558" i="1"/>
  <c r="CT558" i="1" s="1"/>
  <c r="AG558" i="1"/>
  <c r="CU558" i="1" s="1"/>
  <c r="AH558" i="1"/>
  <c r="CV558" i="1" s="1"/>
  <c r="AI558" i="1"/>
  <c r="CW558" i="1" s="1"/>
  <c r="AJ558" i="1"/>
  <c r="CX558" i="1" s="1"/>
  <c r="CS558" i="1"/>
  <c r="FR558" i="1"/>
  <c r="GL558" i="1"/>
  <c r="GN558" i="1"/>
  <c r="GO558" i="1"/>
  <c r="GV558" i="1"/>
  <c r="HC558" i="1"/>
  <c r="D559" i="1"/>
  <c r="AC559" i="1"/>
  <c r="CQ559" i="1" s="1"/>
  <c r="P559" i="1" s="1"/>
  <c r="AE559" i="1"/>
  <c r="AD559" i="1" s="1"/>
  <c r="AF559" i="1"/>
  <c r="AG559" i="1"/>
  <c r="AH559" i="1"/>
  <c r="CV559" i="1" s="1"/>
  <c r="U559" i="1" s="1"/>
  <c r="AI559" i="1"/>
  <c r="AJ559" i="1"/>
  <c r="CS559" i="1"/>
  <c r="R559" i="1" s="1"/>
  <c r="GK559" i="1" s="1"/>
  <c r="CT559" i="1"/>
  <c r="S559" i="1" s="1"/>
  <c r="CZ559" i="1" s="1"/>
  <c r="Y559" i="1" s="1"/>
  <c r="CU559" i="1"/>
  <c r="T559" i="1" s="1"/>
  <c r="CW559" i="1"/>
  <c r="V559" i="1" s="1"/>
  <c r="CX559" i="1"/>
  <c r="W559" i="1" s="1"/>
  <c r="CY559" i="1"/>
  <c r="X559" i="1" s="1"/>
  <c r="FR559" i="1"/>
  <c r="GL559" i="1"/>
  <c r="GN559" i="1"/>
  <c r="GO559" i="1"/>
  <c r="GV559" i="1"/>
  <c r="HC559" i="1" s="1"/>
  <c r="GX559" i="1" s="1"/>
  <c r="D560" i="1"/>
  <c r="I560" i="1"/>
  <c r="I561" i="1" s="1"/>
  <c r="AC560" i="1"/>
  <c r="AE560" i="1"/>
  <c r="AF560" i="1"/>
  <c r="CT560" i="1" s="1"/>
  <c r="S560" i="1" s="1"/>
  <c r="CY560" i="1" s="1"/>
  <c r="X560" i="1" s="1"/>
  <c r="AG560" i="1"/>
  <c r="CU560" i="1" s="1"/>
  <c r="T560" i="1" s="1"/>
  <c r="AH560" i="1"/>
  <c r="CV560" i="1" s="1"/>
  <c r="U560" i="1" s="1"/>
  <c r="AI560" i="1"/>
  <c r="CW560" i="1" s="1"/>
  <c r="V560" i="1" s="1"/>
  <c r="AJ560" i="1"/>
  <c r="CX560" i="1" s="1"/>
  <c r="W560" i="1" s="1"/>
  <c r="CR560" i="1"/>
  <c r="Q560" i="1" s="1"/>
  <c r="FR560" i="1"/>
  <c r="GL560" i="1"/>
  <c r="GN560" i="1"/>
  <c r="GO560" i="1"/>
  <c r="GV560" i="1"/>
  <c r="HC560" i="1" s="1"/>
  <c r="GX560" i="1" s="1"/>
  <c r="AC561" i="1"/>
  <c r="AD561" i="1"/>
  <c r="AE561" i="1"/>
  <c r="CR561" i="1" s="1"/>
  <c r="Q561" i="1" s="1"/>
  <c r="AF561" i="1"/>
  <c r="CT561" i="1" s="1"/>
  <c r="S561" i="1" s="1"/>
  <c r="CY561" i="1" s="1"/>
  <c r="X561" i="1" s="1"/>
  <c r="AG561" i="1"/>
  <c r="CU561" i="1" s="1"/>
  <c r="T561" i="1" s="1"/>
  <c r="AH561" i="1"/>
  <c r="CV561" i="1" s="1"/>
  <c r="U561" i="1" s="1"/>
  <c r="AI561" i="1"/>
  <c r="AJ561" i="1"/>
  <c r="CS561" i="1"/>
  <c r="R561" i="1" s="1"/>
  <c r="GK561" i="1" s="1"/>
  <c r="CW561" i="1"/>
  <c r="V561" i="1" s="1"/>
  <c r="CX561" i="1"/>
  <c r="W561" i="1" s="1"/>
  <c r="FR561" i="1"/>
  <c r="GL561" i="1"/>
  <c r="GN561" i="1"/>
  <c r="GO561" i="1"/>
  <c r="GV561" i="1"/>
  <c r="HC561" i="1" s="1"/>
  <c r="GX561" i="1" s="1"/>
  <c r="I562" i="1"/>
  <c r="AC562" i="1"/>
  <c r="AE562" i="1"/>
  <c r="CS562" i="1" s="1"/>
  <c r="AF562" i="1"/>
  <c r="CT562" i="1" s="1"/>
  <c r="AG562" i="1"/>
  <c r="CU562" i="1" s="1"/>
  <c r="AH562" i="1"/>
  <c r="CV562" i="1" s="1"/>
  <c r="AI562" i="1"/>
  <c r="CW562" i="1" s="1"/>
  <c r="AJ562" i="1"/>
  <c r="CX562" i="1" s="1"/>
  <c r="CQ562" i="1"/>
  <c r="P562" i="1" s="1"/>
  <c r="FR562" i="1"/>
  <c r="GL562" i="1"/>
  <c r="GN562" i="1"/>
  <c r="GO562" i="1"/>
  <c r="GV562" i="1"/>
  <c r="HC562" i="1" s="1"/>
  <c r="D563" i="1"/>
  <c r="AC563" i="1"/>
  <c r="CQ563" i="1" s="1"/>
  <c r="P563" i="1" s="1"/>
  <c r="AE563" i="1"/>
  <c r="AF563" i="1"/>
  <c r="CT563" i="1" s="1"/>
  <c r="S563" i="1" s="1"/>
  <c r="AG563" i="1"/>
  <c r="CU563" i="1" s="1"/>
  <c r="T563" i="1" s="1"/>
  <c r="AH563" i="1"/>
  <c r="CV563" i="1" s="1"/>
  <c r="U563" i="1" s="1"/>
  <c r="AI563" i="1"/>
  <c r="CW563" i="1" s="1"/>
  <c r="V563" i="1" s="1"/>
  <c r="AJ563" i="1"/>
  <c r="CX563" i="1"/>
  <c r="W563" i="1" s="1"/>
  <c r="FR563" i="1"/>
  <c r="GL563" i="1"/>
  <c r="GN563" i="1"/>
  <c r="GO563" i="1"/>
  <c r="GV563" i="1"/>
  <c r="HC563" i="1"/>
  <c r="GX563" i="1" s="1"/>
  <c r="I564" i="1"/>
  <c r="AC564" i="1"/>
  <c r="CQ564" i="1" s="1"/>
  <c r="P564" i="1" s="1"/>
  <c r="AE564" i="1"/>
  <c r="CS564" i="1" s="1"/>
  <c r="R564" i="1" s="1"/>
  <c r="GK564" i="1" s="1"/>
  <c r="AF564" i="1"/>
  <c r="CT564" i="1" s="1"/>
  <c r="S564" i="1" s="1"/>
  <c r="AG564" i="1"/>
  <c r="AH564" i="1"/>
  <c r="AI564" i="1"/>
  <c r="CW564" i="1" s="1"/>
  <c r="AJ564" i="1"/>
  <c r="CX564" i="1" s="1"/>
  <c r="W564" i="1" s="1"/>
  <c r="CU564" i="1"/>
  <c r="T564" i="1" s="1"/>
  <c r="CV564" i="1"/>
  <c r="U564" i="1" s="1"/>
  <c r="FR564" i="1"/>
  <c r="GL564" i="1"/>
  <c r="GN564" i="1"/>
  <c r="GO564" i="1"/>
  <c r="GV564" i="1"/>
  <c r="HC564" i="1" s="1"/>
  <c r="GX564" i="1" s="1"/>
  <c r="B566" i="1"/>
  <c r="B500" i="1" s="1"/>
  <c r="C566" i="1"/>
  <c r="C500" i="1" s="1"/>
  <c r="D566" i="1"/>
  <c r="D500" i="1" s="1"/>
  <c r="F566" i="1"/>
  <c r="F500" i="1" s="1"/>
  <c r="G566" i="1"/>
  <c r="BX566" i="1"/>
  <c r="BX500" i="1" s="1"/>
  <c r="CK566" i="1"/>
  <c r="CK500" i="1" s="1"/>
  <c r="CL566" i="1"/>
  <c r="CL500" i="1" s="1"/>
  <c r="CM566" i="1"/>
  <c r="CM500" i="1" s="1"/>
  <c r="B596" i="1"/>
  <c r="B449" i="1" s="1"/>
  <c r="C596" i="1"/>
  <c r="C449" i="1" s="1"/>
  <c r="D596" i="1"/>
  <c r="D449" i="1" s="1"/>
  <c r="F596" i="1"/>
  <c r="F449" i="1" s="1"/>
  <c r="G596" i="1"/>
  <c r="D626" i="1"/>
  <c r="E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CY628" i="1"/>
  <c r="CZ628" i="1"/>
  <c r="DA628" i="1"/>
  <c r="DB628" i="1"/>
  <c r="DC628" i="1"/>
  <c r="DD628" i="1"/>
  <c r="DE628" i="1"/>
  <c r="DF628" i="1"/>
  <c r="DG628" i="1"/>
  <c r="DH628" i="1"/>
  <c r="DI628" i="1"/>
  <c r="DJ628" i="1"/>
  <c r="DK628" i="1"/>
  <c r="DL628" i="1"/>
  <c r="DM628" i="1"/>
  <c r="DN628" i="1"/>
  <c r="DO628" i="1"/>
  <c r="DP628" i="1"/>
  <c r="DQ628" i="1"/>
  <c r="DR628" i="1"/>
  <c r="DS628" i="1"/>
  <c r="DT628" i="1"/>
  <c r="DU628" i="1"/>
  <c r="DV628" i="1"/>
  <c r="DW628" i="1"/>
  <c r="DX628" i="1"/>
  <c r="DY628" i="1"/>
  <c r="DZ628" i="1"/>
  <c r="EA628" i="1"/>
  <c r="EB628" i="1"/>
  <c r="EC628" i="1"/>
  <c r="ED628" i="1"/>
  <c r="EE628" i="1"/>
  <c r="EF628" i="1"/>
  <c r="EG628" i="1"/>
  <c r="EH628" i="1"/>
  <c r="EI628" i="1"/>
  <c r="EJ628" i="1"/>
  <c r="EK628" i="1"/>
  <c r="EL628" i="1"/>
  <c r="EM628" i="1"/>
  <c r="EN628" i="1"/>
  <c r="EO628" i="1"/>
  <c r="EP628" i="1"/>
  <c r="EQ628" i="1"/>
  <c r="ER628" i="1"/>
  <c r="ES628" i="1"/>
  <c r="ET628" i="1"/>
  <c r="EU628" i="1"/>
  <c r="EV628" i="1"/>
  <c r="EW628" i="1"/>
  <c r="EX628" i="1"/>
  <c r="EY628" i="1"/>
  <c r="EZ628" i="1"/>
  <c r="FA628" i="1"/>
  <c r="FB628" i="1"/>
  <c r="FC628" i="1"/>
  <c r="FD628" i="1"/>
  <c r="FE628" i="1"/>
  <c r="FF628" i="1"/>
  <c r="FG628" i="1"/>
  <c r="FH628" i="1"/>
  <c r="FI628" i="1"/>
  <c r="FJ628" i="1"/>
  <c r="FK628" i="1"/>
  <c r="FL628" i="1"/>
  <c r="FM628" i="1"/>
  <c r="FN628" i="1"/>
  <c r="FO628" i="1"/>
  <c r="FP628" i="1"/>
  <c r="FQ628" i="1"/>
  <c r="FR628" i="1"/>
  <c r="FS628" i="1"/>
  <c r="FT628" i="1"/>
  <c r="FU628" i="1"/>
  <c r="FV628" i="1"/>
  <c r="FW628" i="1"/>
  <c r="FX628" i="1"/>
  <c r="FY628" i="1"/>
  <c r="FZ628" i="1"/>
  <c r="GA628" i="1"/>
  <c r="GB628" i="1"/>
  <c r="GC628" i="1"/>
  <c r="GD628" i="1"/>
  <c r="GE628" i="1"/>
  <c r="GF628" i="1"/>
  <c r="GG628" i="1"/>
  <c r="GH628" i="1"/>
  <c r="GI628" i="1"/>
  <c r="GJ628" i="1"/>
  <c r="GK628" i="1"/>
  <c r="GL628" i="1"/>
  <c r="GM628" i="1"/>
  <c r="GN628" i="1"/>
  <c r="GO628" i="1"/>
  <c r="GP628" i="1"/>
  <c r="GQ628" i="1"/>
  <c r="GR628" i="1"/>
  <c r="GS628" i="1"/>
  <c r="GT628" i="1"/>
  <c r="GU628" i="1"/>
  <c r="GV628" i="1"/>
  <c r="GW628" i="1"/>
  <c r="GX628" i="1"/>
  <c r="D630" i="1"/>
  <c r="E632" i="1"/>
  <c r="Z632" i="1"/>
  <c r="AA632" i="1"/>
  <c r="AM632" i="1"/>
  <c r="AN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CN632" i="1"/>
  <c r="CO632" i="1"/>
  <c r="CP632" i="1"/>
  <c r="CQ632" i="1"/>
  <c r="CR632" i="1"/>
  <c r="CS632" i="1"/>
  <c r="CT632" i="1"/>
  <c r="CU632" i="1"/>
  <c r="CV632" i="1"/>
  <c r="CW632" i="1"/>
  <c r="CX632" i="1"/>
  <c r="CY632" i="1"/>
  <c r="CZ632" i="1"/>
  <c r="DA632" i="1"/>
  <c r="DB632" i="1"/>
  <c r="DC632" i="1"/>
  <c r="DD632" i="1"/>
  <c r="DE632" i="1"/>
  <c r="DF632" i="1"/>
  <c r="DG632" i="1"/>
  <c r="DH632" i="1"/>
  <c r="DI632" i="1"/>
  <c r="DJ632" i="1"/>
  <c r="DK632" i="1"/>
  <c r="DL632" i="1"/>
  <c r="DM632" i="1"/>
  <c r="DN632" i="1"/>
  <c r="DO632" i="1"/>
  <c r="DP632" i="1"/>
  <c r="DQ632" i="1"/>
  <c r="DR632" i="1"/>
  <c r="DS632" i="1"/>
  <c r="DT632" i="1"/>
  <c r="DU632" i="1"/>
  <c r="DV632" i="1"/>
  <c r="DW632" i="1"/>
  <c r="DX632" i="1"/>
  <c r="DY632" i="1"/>
  <c r="DZ632" i="1"/>
  <c r="EA632" i="1"/>
  <c r="EB632" i="1"/>
  <c r="EC632" i="1"/>
  <c r="ED632" i="1"/>
  <c r="EE632" i="1"/>
  <c r="EF632" i="1"/>
  <c r="EG632" i="1"/>
  <c r="EH632" i="1"/>
  <c r="EI632" i="1"/>
  <c r="EJ632" i="1"/>
  <c r="EK632" i="1"/>
  <c r="EL632" i="1"/>
  <c r="EM632" i="1"/>
  <c r="EN632" i="1"/>
  <c r="EO632" i="1"/>
  <c r="EP632" i="1"/>
  <c r="EQ632" i="1"/>
  <c r="ER632" i="1"/>
  <c r="ES632" i="1"/>
  <c r="ET632" i="1"/>
  <c r="EU632" i="1"/>
  <c r="EV632" i="1"/>
  <c r="EW632" i="1"/>
  <c r="EX632" i="1"/>
  <c r="EY632" i="1"/>
  <c r="EZ632" i="1"/>
  <c r="FA632" i="1"/>
  <c r="FB632" i="1"/>
  <c r="FC632" i="1"/>
  <c r="FD632" i="1"/>
  <c r="FE632" i="1"/>
  <c r="FF632" i="1"/>
  <c r="FG632" i="1"/>
  <c r="FH632" i="1"/>
  <c r="FI632" i="1"/>
  <c r="FJ632" i="1"/>
  <c r="FK632" i="1"/>
  <c r="FL632" i="1"/>
  <c r="FM632" i="1"/>
  <c r="FN632" i="1"/>
  <c r="FO632" i="1"/>
  <c r="FP632" i="1"/>
  <c r="FQ632" i="1"/>
  <c r="FR632" i="1"/>
  <c r="FS632" i="1"/>
  <c r="FT632" i="1"/>
  <c r="FU632" i="1"/>
  <c r="FV632" i="1"/>
  <c r="FW632" i="1"/>
  <c r="FX632" i="1"/>
  <c r="FY632" i="1"/>
  <c r="FZ632" i="1"/>
  <c r="GA632" i="1"/>
  <c r="GB632" i="1"/>
  <c r="GC632" i="1"/>
  <c r="GD632" i="1"/>
  <c r="GE632" i="1"/>
  <c r="GF632" i="1"/>
  <c r="GG632" i="1"/>
  <c r="GH632" i="1"/>
  <c r="GI632" i="1"/>
  <c r="GJ632" i="1"/>
  <c r="GK632" i="1"/>
  <c r="GL632" i="1"/>
  <c r="GM632" i="1"/>
  <c r="GN632" i="1"/>
  <c r="GO632" i="1"/>
  <c r="GP632" i="1"/>
  <c r="GQ632" i="1"/>
  <c r="GR632" i="1"/>
  <c r="GS632" i="1"/>
  <c r="GT632" i="1"/>
  <c r="GU632" i="1"/>
  <c r="GV632" i="1"/>
  <c r="GW632" i="1"/>
  <c r="GX632" i="1"/>
  <c r="C634" i="1"/>
  <c r="D634" i="1"/>
  <c r="I634" i="1"/>
  <c r="AC634" i="1"/>
  <c r="CQ634" i="1" s="1"/>
  <c r="P634" i="1" s="1"/>
  <c r="J407" i="5" s="1"/>
  <c r="AE634" i="1"/>
  <c r="AF634" i="1"/>
  <c r="AG634" i="1"/>
  <c r="CU634" i="1" s="1"/>
  <c r="AH634" i="1"/>
  <c r="AI634" i="1"/>
  <c r="CW634" i="1" s="1"/>
  <c r="AJ634" i="1"/>
  <c r="CX634" i="1" s="1"/>
  <c r="CR634" i="1"/>
  <c r="Q634" i="1" s="1"/>
  <c r="J405" i="5" s="1"/>
  <c r="CV634" i="1"/>
  <c r="U634" i="1" s="1"/>
  <c r="K411" i="5" s="1"/>
  <c r="FR634" i="1"/>
  <c r="GL634" i="1"/>
  <c r="GN634" i="1"/>
  <c r="GO634" i="1"/>
  <c r="GV634" i="1"/>
  <c r="HC634" i="1" s="1"/>
  <c r="GX634" i="1" s="1"/>
  <c r="C635" i="1"/>
  <c r="D635" i="1"/>
  <c r="I635" i="1"/>
  <c r="AC635" i="1"/>
  <c r="CQ635" i="1" s="1"/>
  <c r="AE635" i="1"/>
  <c r="AF635" i="1"/>
  <c r="AG635" i="1"/>
  <c r="CU635" i="1" s="1"/>
  <c r="AH635" i="1"/>
  <c r="CV635" i="1" s="1"/>
  <c r="U635" i="1" s="1"/>
  <c r="K418" i="5" s="1"/>
  <c r="AI635" i="1"/>
  <c r="CW635" i="1" s="1"/>
  <c r="AJ635" i="1"/>
  <c r="CX635" i="1" s="1"/>
  <c r="CR635" i="1"/>
  <c r="Q635" i="1" s="1"/>
  <c r="FR635" i="1"/>
  <c r="GL635" i="1"/>
  <c r="GN635" i="1"/>
  <c r="GO635" i="1"/>
  <c r="GV635" i="1"/>
  <c r="HC635" i="1" s="1"/>
  <c r="C636" i="1"/>
  <c r="D636" i="1"/>
  <c r="I636" i="1"/>
  <c r="AC636" i="1"/>
  <c r="CQ636" i="1" s="1"/>
  <c r="AE636" i="1"/>
  <c r="AF636" i="1"/>
  <c r="AG636" i="1"/>
  <c r="CU636" i="1" s="1"/>
  <c r="T636" i="1" s="1"/>
  <c r="AH636" i="1"/>
  <c r="AI636" i="1"/>
  <c r="CW636" i="1" s="1"/>
  <c r="V636" i="1" s="1"/>
  <c r="AJ636" i="1"/>
  <c r="CX636" i="1" s="1"/>
  <c r="W636" i="1" s="1"/>
  <c r="CR636" i="1"/>
  <c r="Q636" i="1" s="1"/>
  <c r="J422" i="5" s="1"/>
  <c r="CV636" i="1"/>
  <c r="FR636" i="1"/>
  <c r="GL636" i="1"/>
  <c r="GN636" i="1"/>
  <c r="GO636" i="1"/>
  <c r="GV636" i="1"/>
  <c r="HC636" i="1" s="1"/>
  <c r="GX636" i="1" s="1"/>
  <c r="AC637" i="1"/>
  <c r="CQ637" i="1" s="1"/>
  <c r="AD637" i="1"/>
  <c r="AE637" i="1"/>
  <c r="AF637" i="1"/>
  <c r="AG637" i="1"/>
  <c r="CU637" i="1" s="1"/>
  <c r="AH637" i="1"/>
  <c r="CV637" i="1" s="1"/>
  <c r="AI637" i="1"/>
  <c r="CW637" i="1" s="1"/>
  <c r="AJ637" i="1"/>
  <c r="CX637" i="1" s="1"/>
  <c r="CR637" i="1"/>
  <c r="CT637" i="1"/>
  <c r="FR637" i="1"/>
  <c r="GL637" i="1"/>
  <c r="GN637" i="1"/>
  <c r="GO637" i="1"/>
  <c r="GV637" i="1"/>
  <c r="HC637" i="1"/>
  <c r="B639" i="1"/>
  <c r="B632" i="1" s="1"/>
  <c r="C639" i="1"/>
  <c r="C632" i="1" s="1"/>
  <c r="D639" i="1"/>
  <c r="D632" i="1" s="1"/>
  <c r="F639" i="1"/>
  <c r="F632" i="1" s="1"/>
  <c r="G639" i="1"/>
  <c r="BX639" i="1"/>
  <c r="BY639" i="1"/>
  <c r="BY632" i="1" s="1"/>
  <c r="CB639" i="1"/>
  <c r="CB632" i="1" s="1"/>
  <c r="CK639" i="1"/>
  <c r="CK632" i="1" s="1"/>
  <c r="CL639" i="1"/>
  <c r="CL632" i="1" s="1"/>
  <c r="CM639" i="1"/>
  <c r="CM632" i="1" s="1"/>
  <c r="D669" i="1"/>
  <c r="B671" i="1"/>
  <c r="E671" i="1"/>
  <c r="G671" i="1"/>
  <c r="Z671" i="1"/>
  <c r="AA671" i="1"/>
  <c r="AM671" i="1"/>
  <c r="AN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CK671" i="1"/>
  <c r="CL671" i="1"/>
  <c r="CN671" i="1"/>
  <c r="CO671" i="1"/>
  <c r="CP671" i="1"/>
  <c r="CQ671" i="1"/>
  <c r="CR671" i="1"/>
  <c r="CS671" i="1"/>
  <c r="CT671" i="1"/>
  <c r="CU671" i="1"/>
  <c r="CV671" i="1"/>
  <c r="CW671" i="1"/>
  <c r="CX671" i="1"/>
  <c r="CY671" i="1"/>
  <c r="CZ671" i="1"/>
  <c r="DA671" i="1"/>
  <c r="DB671" i="1"/>
  <c r="DC671" i="1"/>
  <c r="DD671" i="1"/>
  <c r="DE671" i="1"/>
  <c r="DF671" i="1"/>
  <c r="DG671" i="1"/>
  <c r="DH671" i="1"/>
  <c r="DI671" i="1"/>
  <c r="DJ671" i="1"/>
  <c r="DK671" i="1"/>
  <c r="DL671" i="1"/>
  <c r="DM671" i="1"/>
  <c r="DN671" i="1"/>
  <c r="DO671" i="1"/>
  <c r="DP671" i="1"/>
  <c r="DQ671" i="1"/>
  <c r="DR671" i="1"/>
  <c r="DS671" i="1"/>
  <c r="DT671" i="1"/>
  <c r="DU671" i="1"/>
  <c r="DV671" i="1"/>
  <c r="DW671" i="1"/>
  <c r="DX671" i="1"/>
  <c r="DY671" i="1"/>
  <c r="DZ671" i="1"/>
  <c r="EA671" i="1"/>
  <c r="EB671" i="1"/>
  <c r="EC671" i="1"/>
  <c r="ED671" i="1"/>
  <c r="EE671" i="1"/>
  <c r="EF671" i="1"/>
  <c r="EG671" i="1"/>
  <c r="EH671" i="1"/>
  <c r="EI671" i="1"/>
  <c r="EJ671" i="1"/>
  <c r="EK671" i="1"/>
  <c r="EL671" i="1"/>
  <c r="EM671" i="1"/>
  <c r="EN671" i="1"/>
  <c r="EO671" i="1"/>
  <c r="EP671" i="1"/>
  <c r="EQ671" i="1"/>
  <c r="ER671" i="1"/>
  <c r="ES671" i="1"/>
  <c r="ET671" i="1"/>
  <c r="EU671" i="1"/>
  <c r="EV671" i="1"/>
  <c r="EW671" i="1"/>
  <c r="EX671" i="1"/>
  <c r="EY671" i="1"/>
  <c r="EZ671" i="1"/>
  <c r="FA671" i="1"/>
  <c r="FB671" i="1"/>
  <c r="FC671" i="1"/>
  <c r="FD671" i="1"/>
  <c r="FE671" i="1"/>
  <c r="FF671" i="1"/>
  <c r="FG671" i="1"/>
  <c r="FH671" i="1"/>
  <c r="FI671" i="1"/>
  <c r="FJ671" i="1"/>
  <c r="FK671" i="1"/>
  <c r="FL671" i="1"/>
  <c r="FM671" i="1"/>
  <c r="FN671" i="1"/>
  <c r="FO671" i="1"/>
  <c r="FP671" i="1"/>
  <c r="FQ671" i="1"/>
  <c r="FR671" i="1"/>
  <c r="FS671" i="1"/>
  <c r="FT671" i="1"/>
  <c r="FU671" i="1"/>
  <c r="FV671" i="1"/>
  <c r="FW671" i="1"/>
  <c r="FX671" i="1"/>
  <c r="FY671" i="1"/>
  <c r="FZ671" i="1"/>
  <c r="GA671" i="1"/>
  <c r="GB671" i="1"/>
  <c r="GC671" i="1"/>
  <c r="GD671" i="1"/>
  <c r="GE671" i="1"/>
  <c r="GF671" i="1"/>
  <c r="GG671" i="1"/>
  <c r="GH671" i="1"/>
  <c r="GI671" i="1"/>
  <c r="GJ671" i="1"/>
  <c r="GK671" i="1"/>
  <c r="GL671" i="1"/>
  <c r="GM671" i="1"/>
  <c r="GN671" i="1"/>
  <c r="GO671" i="1"/>
  <c r="GP671" i="1"/>
  <c r="GQ671" i="1"/>
  <c r="GR671" i="1"/>
  <c r="GS671" i="1"/>
  <c r="GT671" i="1"/>
  <c r="GU671" i="1"/>
  <c r="GV671" i="1"/>
  <c r="GW671" i="1"/>
  <c r="GX671" i="1"/>
  <c r="D673" i="1"/>
  <c r="I673" i="1"/>
  <c r="D90" i="6" s="1"/>
  <c r="AC673" i="1"/>
  <c r="CQ673" i="1" s="1"/>
  <c r="P673" i="1" s="1"/>
  <c r="J440" i="5" s="1"/>
  <c r="AE673" i="1"/>
  <c r="AF673" i="1"/>
  <c r="AG673" i="1"/>
  <c r="CU673" i="1" s="1"/>
  <c r="T673" i="1" s="1"/>
  <c r="AH673" i="1"/>
  <c r="CV673" i="1" s="1"/>
  <c r="AI673" i="1"/>
  <c r="CW673" i="1" s="1"/>
  <c r="V673" i="1" s="1"/>
  <c r="AJ673" i="1"/>
  <c r="CT673" i="1"/>
  <c r="S673" i="1" s="1"/>
  <c r="J437" i="5" s="1"/>
  <c r="CX673" i="1"/>
  <c r="W673" i="1" s="1"/>
  <c r="FR673" i="1"/>
  <c r="GL673" i="1"/>
  <c r="GN673" i="1"/>
  <c r="GO673" i="1"/>
  <c r="GV673" i="1"/>
  <c r="HC673" i="1"/>
  <c r="GX673" i="1" s="1"/>
  <c r="D674" i="1"/>
  <c r="I674" i="1"/>
  <c r="S446" i="5" s="1"/>
  <c r="AC674" i="1"/>
  <c r="AD674" i="1"/>
  <c r="AE674" i="1"/>
  <c r="AF674" i="1"/>
  <c r="AG674" i="1"/>
  <c r="CU674" i="1" s="1"/>
  <c r="AH674" i="1"/>
  <c r="CV674" i="1" s="1"/>
  <c r="AI674" i="1"/>
  <c r="CW674" i="1" s="1"/>
  <c r="AJ674" i="1"/>
  <c r="CX674" i="1" s="1"/>
  <c r="CQ674" i="1"/>
  <c r="CR674" i="1"/>
  <c r="FR674" i="1"/>
  <c r="GL674" i="1"/>
  <c r="GN674" i="1"/>
  <c r="GO674" i="1"/>
  <c r="GV674" i="1"/>
  <c r="HC674" i="1" s="1"/>
  <c r="D675" i="1"/>
  <c r="I675" i="1"/>
  <c r="E453" i="5" s="1"/>
  <c r="AC675" i="1"/>
  <c r="CQ675" i="1" s="1"/>
  <c r="AE675" i="1"/>
  <c r="AF675" i="1"/>
  <c r="AG675" i="1"/>
  <c r="CU675" i="1" s="1"/>
  <c r="T675" i="1" s="1"/>
  <c r="AH675" i="1"/>
  <c r="CV675" i="1" s="1"/>
  <c r="U675" i="1" s="1"/>
  <c r="K458" i="5" s="1"/>
  <c r="AI675" i="1"/>
  <c r="CW675" i="1" s="1"/>
  <c r="V675" i="1" s="1"/>
  <c r="AJ675" i="1"/>
  <c r="CX675" i="1" s="1"/>
  <c r="W675" i="1" s="1"/>
  <c r="CR675" i="1"/>
  <c r="Q675" i="1" s="1"/>
  <c r="FR675" i="1"/>
  <c r="GL675" i="1"/>
  <c r="GN675" i="1"/>
  <c r="GO675" i="1"/>
  <c r="GV675" i="1"/>
  <c r="HC675" i="1" s="1"/>
  <c r="GX675" i="1" s="1"/>
  <c r="D676" i="1"/>
  <c r="I676" i="1"/>
  <c r="AC676" i="1"/>
  <c r="CQ676" i="1" s="1"/>
  <c r="AD676" i="1"/>
  <c r="AE676" i="1"/>
  <c r="AF676" i="1"/>
  <c r="AG676" i="1"/>
  <c r="CU676" i="1" s="1"/>
  <c r="AH676" i="1"/>
  <c r="CV676" i="1" s="1"/>
  <c r="AI676" i="1"/>
  <c r="CW676" i="1" s="1"/>
  <c r="AJ676" i="1"/>
  <c r="CX676" i="1" s="1"/>
  <c r="W676" i="1" s="1"/>
  <c r="CS676" i="1"/>
  <c r="FR676" i="1"/>
  <c r="GL676" i="1"/>
  <c r="GN676" i="1"/>
  <c r="GO676" i="1"/>
  <c r="GV676" i="1"/>
  <c r="HC676" i="1"/>
  <c r="B678" i="1"/>
  <c r="C678" i="1"/>
  <c r="C671" i="1" s="1"/>
  <c r="D678" i="1"/>
  <c r="D671" i="1" s="1"/>
  <c r="F678" i="1"/>
  <c r="F671" i="1" s="1"/>
  <c r="G678" i="1"/>
  <c r="A468" i="5" s="1"/>
  <c r="BX678" i="1"/>
  <c r="AO678" i="1" s="1"/>
  <c r="CK678" i="1"/>
  <c r="BB678" i="1" s="1"/>
  <c r="CL678" i="1"/>
  <c r="BC678" i="1" s="1"/>
  <c r="CM678" i="1"/>
  <c r="CM671" i="1" s="1"/>
  <c r="B708" i="1"/>
  <c r="B628" i="1" s="1"/>
  <c r="C708" i="1"/>
  <c r="C628" i="1" s="1"/>
  <c r="D708" i="1"/>
  <c r="D628" i="1" s="1"/>
  <c r="F708" i="1"/>
  <c r="F628" i="1" s="1"/>
  <c r="G708" i="1"/>
  <c r="B738" i="1"/>
  <c r="D738" i="1"/>
  <c r="B739" i="1"/>
  <c r="D739" i="1"/>
  <c r="B740" i="1"/>
  <c r="D740" i="1"/>
  <c r="B742" i="1"/>
  <c r="B18" i="1" s="1"/>
  <c r="C742" i="1"/>
  <c r="C18" i="1" s="1"/>
  <c r="D742" i="1"/>
  <c r="D18" i="1" s="1"/>
  <c r="F742" i="1"/>
  <c r="F18" i="1" s="1"/>
  <c r="G742" i="1"/>
  <c r="K384" i="5" l="1"/>
  <c r="P384" i="5"/>
  <c r="V206" i="5"/>
  <c r="R164" i="1"/>
  <c r="CY507" i="1"/>
  <c r="X507" i="1" s="1"/>
  <c r="R389" i="5" s="1"/>
  <c r="CZ507" i="1"/>
  <c r="Y507" i="1" s="1"/>
  <c r="T389" i="5" s="1"/>
  <c r="CZ552" i="1"/>
  <c r="Y552" i="1" s="1"/>
  <c r="GM552" i="1" s="1"/>
  <c r="CY552" i="1"/>
  <c r="X552" i="1" s="1"/>
  <c r="CS673" i="1"/>
  <c r="U436" i="5"/>
  <c r="S297" i="5"/>
  <c r="Q297" i="5"/>
  <c r="CT295" i="1"/>
  <c r="S295" i="1" s="1"/>
  <c r="J298" i="5" s="1"/>
  <c r="BZ26" i="1"/>
  <c r="CG65" i="1"/>
  <c r="J391" i="5"/>
  <c r="I392" i="5" s="1"/>
  <c r="D93" i="6"/>
  <c r="E460" i="5"/>
  <c r="W674" i="1"/>
  <c r="AJ678" i="1" s="1"/>
  <c r="GX674" i="1"/>
  <c r="CJ678" i="1" s="1"/>
  <c r="W214" i="1"/>
  <c r="Q147" i="5"/>
  <c r="S147" i="5"/>
  <c r="CT115" i="1"/>
  <c r="S115" i="1" s="1"/>
  <c r="J148" i="5" s="1"/>
  <c r="CS371" i="1"/>
  <c r="AD547" i="1"/>
  <c r="CR547" i="1"/>
  <c r="Q547" i="1" s="1"/>
  <c r="CS547" i="1"/>
  <c r="R547" i="1" s="1"/>
  <c r="GK547" i="1" s="1"/>
  <c r="J371" i="5"/>
  <c r="Q363" i="5"/>
  <c r="S363" i="5"/>
  <c r="CT456" i="1"/>
  <c r="S456" i="1" s="1"/>
  <c r="CY456" i="1" s="1"/>
  <c r="X456" i="1" s="1"/>
  <c r="AD371" i="1"/>
  <c r="R51" i="1"/>
  <c r="V41" i="5"/>
  <c r="J47" i="5" s="1"/>
  <c r="AD541" i="1"/>
  <c r="CR541" i="1"/>
  <c r="Q541" i="1" s="1"/>
  <c r="AD532" i="1"/>
  <c r="AB532" i="1" s="1"/>
  <c r="CR532" i="1"/>
  <c r="Q532" i="1" s="1"/>
  <c r="AD462" i="1"/>
  <c r="AB462" i="1" s="1"/>
  <c r="CR462" i="1"/>
  <c r="Q462" i="1" s="1"/>
  <c r="CT459" i="1"/>
  <c r="S459" i="1" s="1"/>
  <c r="CZ459" i="1" s="1"/>
  <c r="Y459" i="1" s="1"/>
  <c r="T367" i="5" s="1"/>
  <c r="S367" i="5"/>
  <c r="Q367" i="5"/>
  <c r="BY468" i="1"/>
  <c r="BY453" i="1" s="1"/>
  <c r="AD456" i="1"/>
  <c r="U363" i="5"/>
  <c r="CR456" i="1"/>
  <c r="Q456" i="1" s="1"/>
  <c r="AD455" i="1"/>
  <c r="AB455" i="1" s="1"/>
  <c r="CR455" i="1"/>
  <c r="Q455" i="1" s="1"/>
  <c r="CP455" i="1" s="1"/>
  <c r="O455" i="1" s="1"/>
  <c r="AP255" i="1"/>
  <c r="BY248" i="1"/>
  <c r="CB207" i="1"/>
  <c r="AS216" i="1"/>
  <c r="CR51" i="1"/>
  <c r="Q51" i="1" s="1"/>
  <c r="J43" i="5" s="1"/>
  <c r="AD51" i="1"/>
  <c r="CQ42" i="1"/>
  <c r="P42" i="1" s="1"/>
  <c r="CT164" i="1"/>
  <c r="S164" i="1" s="1"/>
  <c r="Q206" i="5"/>
  <c r="S206" i="5"/>
  <c r="CT120" i="1"/>
  <c r="GX676" i="1"/>
  <c r="AD673" i="1"/>
  <c r="AB673" i="1" s="1"/>
  <c r="CJ566" i="1"/>
  <c r="CJ500" i="1" s="1"/>
  <c r="AD539" i="1"/>
  <c r="AB539" i="1" s="1"/>
  <c r="CZ519" i="1"/>
  <c r="Y519" i="1" s="1"/>
  <c r="P35" i="1"/>
  <c r="G628" i="1"/>
  <c r="A471" i="5"/>
  <c r="AD533" i="1"/>
  <c r="AB533" i="1" s="1"/>
  <c r="CR533" i="1"/>
  <c r="Q533" i="1" s="1"/>
  <c r="CP533" i="1" s="1"/>
  <c r="O533" i="1" s="1"/>
  <c r="CT458" i="1"/>
  <c r="S458" i="1" s="1"/>
  <c r="S365" i="5"/>
  <c r="CY32" i="1"/>
  <c r="X32" i="1" s="1"/>
  <c r="CR564" i="1"/>
  <c r="Q564" i="1" s="1"/>
  <c r="CP564" i="1" s="1"/>
  <c r="O564" i="1" s="1"/>
  <c r="P551" i="1"/>
  <c r="Q546" i="1"/>
  <c r="CP546" i="1" s="1"/>
  <c r="O546" i="1" s="1"/>
  <c r="CZ545" i="1"/>
  <c r="Y545" i="1" s="1"/>
  <c r="AB541" i="1"/>
  <c r="CQ541" i="1"/>
  <c r="P541" i="1" s="1"/>
  <c r="CP541" i="1" s="1"/>
  <c r="O541" i="1" s="1"/>
  <c r="CS532" i="1"/>
  <c r="R532" i="1" s="1"/>
  <c r="GK532" i="1" s="1"/>
  <c r="CP462" i="1"/>
  <c r="O462" i="1" s="1"/>
  <c r="R459" i="1"/>
  <c r="GK459" i="1" s="1"/>
  <c r="V367" i="5"/>
  <c r="CS455" i="1"/>
  <c r="R455" i="1" s="1"/>
  <c r="GK455" i="1" s="1"/>
  <c r="CB287" i="1"/>
  <c r="AD123" i="1"/>
  <c r="AB123" i="1" s="1"/>
  <c r="CR123" i="1"/>
  <c r="Q123" i="1" s="1"/>
  <c r="CS123" i="1"/>
  <c r="R123" i="1" s="1"/>
  <c r="GK123" i="1" s="1"/>
  <c r="CZ38" i="1"/>
  <c r="Y38" i="1" s="1"/>
  <c r="CY38" i="1"/>
  <c r="X38" i="1" s="1"/>
  <c r="D91" i="6"/>
  <c r="E446" i="5"/>
  <c r="AD504" i="1"/>
  <c r="AB504" i="1" s="1"/>
  <c r="CR504" i="1"/>
  <c r="Q504" i="1" s="1"/>
  <c r="AD214" i="1"/>
  <c r="CR214" i="1"/>
  <c r="Q214" i="1" s="1"/>
  <c r="W111" i="1"/>
  <c r="V676" i="1"/>
  <c r="AI678" i="1" s="1"/>
  <c r="V674" i="1"/>
  <c r="CS504" i="1"/>
  <c r="R504" i="1" s="1"/>
  <c r="GK504" i="1" s="1"/>
  <c r="U206" i="5"/>
  <c r="AD164" i="1"/>
  <c r="CR164" i="1"/>
  <c r="Q164" i="1" s="1"/>
  <c r="J208" i="5" s="1"/>
  <c r="CR673" i="1"/>
  <c r="Q673" i="1" s="1"/>
  <c r="J438" i="5" s="1"/>
  <c r="CR563" i="1"/>
  <c r="Q563" i="1" s="1"/>
  <c r="AD563" i="1"/>
  <c r="AB563" i="1" s="1"/>
  <c r="CS563" i="1"/>
  <c r="R563" i="1" s="1"/>
  <c r="GK563" i="1" s="1"/>
  <c r="G632" i="1"/>
  <c r="A432" i="5"/>
  <c r="AD41" i="1"/>
  <c r="CR41" i="1"/>
  <c r="Q41" i="1" s="1"/>
  <c r="CS41" i="1"/>
  <c r="R41" i="1" s="1"/>
  <c r="GK41" i="1" s="1"/>
  <c r="E413" i="5"/>
  <c r="D86" i="6"/>
  <c r="CZ548" i="1"/>
  <c r="Y548" i="1" s="1"/>
  <c r="CY548" i="1"/>
  <c r="X548" i="1" s="1"/>
  <c r="CS541" i="1"/>
  <c r="R541" i="1" s="1"/>
  <c r="GK541" i="1" s="1"/>
  <c r="CS462" i="1"/>
  <c r="R462" i="1" s="1"/>
  <c r="GK462" i="1" s="1"/>
  <c r="AB459" i="1"/>
  <c r="T214" i="1"/>
  <c r="BY216" i="1"/>
  <c r="BY207" i="1" s="1"/>
  <c r="CR213" i="1"/>
  <c r="Q213" i="1" s="1"/>
  <c r="U255" i="5"/>
  <c r="U186" i="5"/>
  <c r="CR162" i="1"/>
  <c r="CY54" i="1"/>
  <c r="X54" i="1" s="1"/>
  <c r="R59" i="5" s="1"/>
  <c r="J61" i="5" s="1"/>
  <c r="CZ54" i="1"/>
  <c r="Y54" i="1" s="1"/>
  <c r="T59" i="5" s="1"/>
  <c r="J62" i="5" s="1"/>
  <c r="J60" i="5"/>
  <c r="CS539" i="1"/>
  <c r="R539" i="1" s="1"/>
  <c r="GK539" i="1" s="1"/>
  <c r="CY529" i="1"/>
  <c r="X529" i="1" s="1"/>
  <c r="CZ529" i="1"/>
  <c r="Y529" i="1" s="1"/>
  <c r="V517" i="1"/>
  <c r="G368" i="1"/>
  <c r="A354" i="5"/>
  <c r="AF354" i="5"/>
  <c r="U676" i="1"/>
  <c r="K465" i="5" s="1"/>
  <c r="U674" i="1"/>
  <c r="K451" i="5" s="1"/>
  <c r="AD543" i="1"/>
  <c r="AB543" i="1" s="1"/>
  <c r="CR543" i="1"/>
  <c r="AS468" i="1"/>
  <c r="CB453" i="1"/>
  <c r="AD33" i="1"/>
  <c r="AB33" i="1" s="1"/>
  <c r="CR33" i="1"/>
  <c r="Q33" i="1" s="1"/>
  <c r="CP33" i="1" s="1"/>
  <c r="O33" i="1" s="1"/>
  <c r="CS33" i="1"/>
  <c r="R33" i="1" s="1"/>
  <c r="T676" i="1"/>
  <c r="T674" i="1"/>
  <c r="AG678" i="1" s="1"/>
  <c r="CS543" i="1"/>
  <c r="CQ539" i="1"/>
  <c r="P539" i="1" s="1"/>
  <c r="CR371" i="1"/>
  <c r="R52" i="1"/>
  <c r="V50" i="5"/>
  <c r="J56" i="5" s="1"/>
  <c r="CR50" i="1"/>
  <c r="Q50" i="1" s="1"/>
  <c r="U35" i="5"/>
  <c r="W635" i="1"/>
  <c r="E403" i="5"/>
  <c r="D85" i="6"/>
  <c r="AB554" i="1"/>
  <c r="V551" i="1"/>
  <c r="CR528" i="1"/>
  <c r="Q528" i="1" s="1"/>
  <c r="CP528" i="1" s="1"/>
  <c r="O528" i="1" s="1"/>
  <c r="Q517" i="1"/>
  <c r="CY505" i="1"/>
  <c r="X505" i="1" s="1"/>
  <c r="CZ505" i="1"/>
  <c r="Y505" i="1" s="1"/>
  <c r="R502" i="1"/>
  <c r="GK502" i="1" s="1"/>
  <c r="V383" i="5"/>
  <c r="CM453" i="1"/>
  <c r="BD468" i="1"/>
  <c r="Q296" i="1"/>
  <c r="CR289" i="1"/>
  <c r="S214" i="1"/>
  <c r="CZ214" i="1" s="1"/>
  <c r="Y214" i="1" s="1"/>
  <c r="GX163" i="1"/>
  <c r="D44" i="6"/>
  <c r="E196" i="5"/>
  <c r="U196" i="5"/>
  <c r="S196" i="5"/>
  <c r="P111" i="1"/>
  <c r="CX25" i="3"/>
  <c r="D34" i="6"/>
  <c r="E138" i="5"/>
  <c r="Q138" i="5"/>
  <c r="CS63" i="1"/>
  <c r="U113" i="5"/>
  <c r="U214" i="1"/>
  <c r="CT170" i="1"/>
  <c r="AD115" i="1"/>
  <c r="U147" i="5"/>
  <c r="CR115" i="1"/>
  <c r="Q115" i="1" s="1"/>
  <c r="J149" i="5" s="1"/>
  <c r="CS113" i="1"/>
  <c r="R113" i="1" s="1"/>
  <c r="GK113" i="1" s="1"/>
  <c r="CR113" i="1"/>
  <c r="Q113" i="1" s="1"/>
  <c r="CT58" i="1"/>
  <c r="AD57" i="1"/>
  <c r="CR57" i="1"/>
  <c r="Q57" i="1" s="1"/>
  <c r="J85" i="5" s="1"/>
  <c r="U83" i="5"/>
  <c r="AD55" i="1"/>
  <c r="CR55" i="1"/>
  <c r="Q55" i="1" s="1"/>
  <c r="J67" i="5" s="1"/>
  <c r="U65" i="5"/>
  <c r="U59" i="5"/>
  <c r="CR54" i="1"/>
  <c r="Q54" i="1" s="1"/>
  <c r="AD46" i="1"/>
  <c r="CR46" i="1"/>
  <c r="Q46" i="1" s="1"/>
  <c r="CS46" i="1"/>
  <c r="R46" i="1" s="1"/>
  <c r="GK46" i="1" s="1"/>
  <c r="CB678" i="1"/>
  <c r="CT676" i="1"/>
  <c r="S676" i="1" s="1"/>
  <c r="J461" i="5" s="1"/>
  <c r="S460" i="5"/>
  <c r="Q460" i="5"/>
  <c r="CT674" i="1"/>
  <c r="S674" i="1" s="1"/>
  <c r="J447" i="5" s="1"/>
  <c r="Q446" i="5"/>
  <c r="CC678" i="1"/>
  <c r="W562" i="1"/>
  <c r="AD558" i="1"/>
  <c r="CR558" i="1"/>
  <c r="R548" i="1"/>
  <c r="GK548" i="1" s="1"/>
  <c r="GX546" i="1"/>
  <c r="V546" i="1"/>
  <c r="S540" i="1"/>
  <c r="AD535" i="1"/>
  <c r="CR535" i="1"/>
  <c r="Q535" i="1" s="1"/>
  <c r="CS535" i="1"/>
  <c r="R535" i="1" s="1"/>
  <c r="GK535" i="1" s="1"/>
  <c r="V531" i="1"/>
  <c r="GX530" i="1"/>
  <c r="CT506" i="1"/>
  <c r="S506" i="1" s="1"/>
  <c r="S387" i="5"/>
  <c r="Q387" i="5"/>
  <c r="CB566" i="1"/>
  <c r="CB500" i="1" s="1"/>
  <c r="CX59" i="3"/>
  <c r="I289" i="1"/>
  <c r="GX289" i="1" s="1"/>
  <c r="U291" i="5"/>
  <c r="Q286" i="5"/>
  <c r="S286" i="5"/>
  <c r="GX214" i="1"/>
  <c r="CJ216" i="1" s="1"/>
  <c r="BA216" i="1" s="1"/>
  <c r="Q209" i="1"/>
  <c r="CS59" i="1"/>
  <c r="AD58" i="1"/>
  <c r="CR58" i="1"/>
  <c r="CS55" i="1"/>
  <c r="AB49" i="1"/>
  <c r="CZ46" i="1"/>
  <c r="Y46" i="1" s="1"/>
  <c r="CY46" i="1"/>
  <c r="X46" i="1" s="1"/>
  <c r="AD38" i="1"/>
  <c r="CR38" i="1"/>
  <c r="Q38" i="1" s="1"/>
  <c r="D92" i="6"/>
  <c r="S551" i="1"/>
  <c r="Q548" i="1"/>
  <c r="CP548" i="1" s="1"/>
  <c r="O548" i="1" s="1"/>
  <c r="U546" i="1"/>
  <c r="CP532" i="1"/>
  <c r="O532" i="1" s="1"/>
  <c r="GM532" i="1" s="1"/>
  <c r="AD521" i="1"/>
  <c r="AB521" i="1" s="1"/>
  <c r="CR521" i="1"/>
  <c r="Q521" i="1" s="1"/>
  <c r="AD512" i="1"/>
  <c r="AB512" i="1" s="1"/>
  <c r="CR512" i="1"/>
  <c r="Q512" i="1" s="1"/>
  <c r="AB464" i="1"/>
  <c r="G287" i="1"/>
  <c r="A305" i="5"/>
  <c r="T296" i="1"/>
  <c r="AD291" i="1"/>
  <c r="AB291" i="1" s="1"/>
  <c r="U286" i="5"/>
  <c r="CR291" i="1"/>
  <c r="Q291" i="1" s="1"/>
  <c r="J288" i="5" s="1"/>
  <c r="GX209" i="1"/>
  <c r="P209" i="1"/>
  <c r="GX55" i="1"/>
  <c r="E65" i="5"/>
  <c r="D22" i="6"/>
  <c r="I63" i="1"/>
  <c r="GK167" i="1"/>
  <c r="J221" i="5"/>
  <c r="CS675" i="1"/>
  <c r="U453" i="5"/>
  <c r="CS636" i="1"/>
  <c r="U420" i="5"/>
  <c r="CT635" i="1"/>
  <c r="S635" i="1" s="1"/>
  <c r="J414" i="5" s="1"/>
  <c r="Q413" i="5"/>
  <c r="S413" i="5"/>
  <c r="T634" i="1"/>
  <c r="V562" i="1"/>
  <c r="BY678" i="1"/>
  <c r="Q674" i="1"/>
  <c r="AD678" i="1" s="1"/>
  <c r="AB674" i="1"/>
  <c r="BZ678" i="1"/>
  <c r="CI678" i="1" s="1"/>
  <c r="CS637" i="1"/>
  <c r="U636" i="1"/>
  <c r="K429" i="5" s="1"/>
  <c r="P636" i="1"/>
  <c r="J424" i="5" s="1"/>
  <c r="AD635" i="1"/>
  <c r="AB635" i="1" s="1"/>
  <c r="U413" i="5"/>
  <c r="CT634" i="1"/>
  <c r="S634" i="1" s="1"/>
  <c r="J404" i="5" s="1"/>
  <c r="S403" i="5"/>
  <c r="Q403" i="5"/>
  <c r="GX562" i="1"/>
  <c r="U562" i="1"/>
  <c r="AD556" i="1"/>
  <c r="AB556" i="1" s="1"/>
  <c r="CR556" i="1"/>
  <c r="CS556" i="1"/>
  <c r="R556" i="1" s="1"/>
  <c r="GK556" i="1" s="1"/>
  <c r="P548" i="1"/>
  <c r="GX540" i="1"/>
  <c r="V540" i="1"/>
  <c r="W539" i="1"/>
  <c r="AB534" i="1"/>
  <c r="T531" i="1"/>
  <c r="V529" i="1"/>
  <c r="CS512" i="1"/>
  <c r="R512" i="1" s="1"/>
  <c r="GK512" i="1" s="1"/>
  <c r="CY511" i="1"/>
  <c r="X511" i="1" s="1"/>
  <c r="CZ511" i="1"/>
  <c r="Y511" i="1" s="1"/>
  <c r="V391" i="5"/>
  <c r="R508" i="1"/>
  <c r="GK508" i="1" s="1"/>
  <c r="BZ566" i="1"/>
  <c r="BZ500" i="1" s="1"/>
  <c r="AD461" i="1"/>
  <c r="U376" i="5"/>
  <c r="CR461" i="1"/>
  <c r="Q461" i="1" s="1"/>
  <c r="E291" i="5"/>
  <c r="D60" i="6"/>
  <c r="W209" i="1"/>
  <c r="CR173" i="1"/>
  <c r="AB126" i="1"/>
  <c r="CS108" i="1"/>
  <c r="R108" i="1" s="1"/>
  <c r="GK108" i="1" s="1"/>
  <c r="CP108" i="1"/>
  <c r="O108" i="1" s="1"/>
  <c r="AD106" i="1"/>
  <c r="CR106" i="1"/>
  <c r="Q106" i="1" s="1"/>
  <c r="CS106" i="1"/>
  <c r="R106" i="1" s="1"/>
  <c r="GK106" i="1" s="1"/>
  <c r="AD52" i="1"/>
  <c r="CR52" i="1"/>
  <c r="Q52" i="1" s="1"/>
  <c r="J52" i="5" s="1"/>
  <c r="I58" i="5" s="1"/>
  <c r="U50" i="5"/>
  <c r="V31" i="1"/>
  <c r="Q31" i="1"/>
  <c r="R676" i="1"/>
  <c r="GK676" i="1" s="1"/>
  <c r="V460" i="5"/>
  <c r="P674" i="1"/>
  <c r="J448" i="5" s="1"/>
  <c r="S436" i="5"/>
  <c r="Q436" i="5"/>
  <c r="I637" i="1"/>
  <c r="U425" i="5" s="1"/>
  <c r="E420" i="5"/>
  <c r="D87" i="6"/>
  <c r="P635" i="1"/>
  <c r="CS634" i="1"/>
  <c r="U403" i="5"/>
  <c r="G449" i="1"/>
  <c r="A397" i="5"/>
  <c r="AF397" i="5"/>
  <c r="T562" i="1"/>
  <c r="Q551" i="1"/>
  <c r="CY549" i="1"/>
  <c r="X549" i="1" s="1"/>
  <c r="CZ549" i="1"/>
  <c r="Y549" i="1" s="1"/>
  <c r="AD544" i="1"/>
  <c r="CR544" i="1"/>
  <c r="Q544" i="1" s="1"/>
  <c r="Q516" i="1"/>
  <c r="AB508" i="1"/>
  <c r="AO375" i="1"/>
  <c r="BX368" i="1"/>
  <c r="BC336" i="1"/>
  <c r="CL330" i="1"/>
  <c r="CT253" i="1"/>
  <c r="Q275" i="5"/>
  <c r="S275" i="5"/>
  <c r="Q255" i="5"/>
  <c r="CT213" i="1"/>
  <c r="S213" i="1" s="1"/>
  <c r="S255" i="5"/>
  <c r="GX111" i="1"/>
  <c r="Q111" i="1"/>
  <c r="AB111" i="1"/>
  <c r="R103" i="1"/>
  <c r="V138" i="5"/>
  <c r="J144" i="5" s="1"/>
  <c r="AD103" i="1"/>
  <c r="AB103" i="1" s="1"/>
  <c r="U138" i="5"/>
  <c r="CC128" i="1"/>
  <c r="CC97" i="1" s="1"/>
  <c r="Q35" i="5"/>
  <c r="CT50" i="1"/>
  <c r="S50" i="1" s="1"/>
  <c r="AD28" i="1"/>
  <c r="CR28" i="1"/>
  <c r="Q28" i="1" s="1"/>
  <c r="CS28" i="1"/>
  <c r="R28" i="1" s="1"/>
  <c r="GK28" i="1" s="1"/>
  <c r="S531" i="1"/>
  <c r="GX529" i="1"/>
  <c r="T529" i="1"/>
  <c r="Q529" i="1"/>
  <c r="CP524" i="1"/>
  <c r="O524" i="1" s="1"/>
  <c r="AB520" i="1"/>
  <c r="U517" i="1"/>
  <c r="CT508" i="1"/>
  <c r="S508" i="1" s="1"/>
  <c r="CP508" i="1" s="1"/>
  <c r="O508" i="1" s="1"/>
  <c r="S391" i="5"/>
  <c r="Q391" i="5"/>
  <c r="CS507" i="1"/>
  <c r="U389" i="5"/>
  <c r="CT502" i="1"/>
  <c r="S502" i="1" s="1"/>
  <c r="S383" i="5"/>
  <c r="Q383" i="5"/>
  <c r="BZ468" i="1"/>
  <c r="CT371" i="1"/>
  <c r="S344" i="5"/>
  <c r="Q344" i="5"/>
  <c r="CT334" i="1"/>
  <c r="S334" i="1" s="1"/>
  <c r="J320" i="5" s="1"/>
  <c r="Q319" i="5"/>
  <c r="S319" i="5"/>
  <c r="V289" i="1"/>
  <c r="CT167" i="1"/>
  <c r="S167" i="1" s="1"/>
  <c r="J219" i="5" s="1"/>
  <c r="S218" i="5"/>
  <c r="Q218" i="5"/>
  <c r="R121" i="1"/>
  <c r="GK121" i="1" s="1"/>
  <c r="V179" i="5"/>
  <c r="CT118" i="1"/>
  <c r="T114" i="1"/>
  <c r="T103" i="1"/>
  <c r="S103" i="1"/>
  <c r="J139" i="5" s="1"/>
  <c r="CX17" i="3"/>
  <c r="I120" i="1"/>
  <c r="E129" i="5"/>
  <c r="V63" i="1"/>
  <c r="AB60" i="1"/>
  <c r="CQ36" i="1"/>
  <c r="P36" i="1" s="1"/>
  <c r="AB36" i="1"/>
  <c r="Q35" i="1"/>
  <c r="CP35" i="1" s="1"/>
  <c r="O35" i="1" s="1"/>
  <c r="V120" i="5"/>
  <c r="J126" i="5" s="1"/>
  <c r="G18" i="1"/>
  <c r="A474" i="5"/>
  <c r="U460" i="5"/>
  <c r="CT675" i="1"/>
  <c r="S675" i="1" s="1"/>
  <c r="J454" i="5" s="1"/>
  <c r="S453" i="5"/>
  <c r="Q453" i="5"/>
  <c r="CC639" i="1"/>
  <c r="GX635" i="1"/>
  <c r="V635" i="1"/>
  <c r="W634" i="1"/>
  <c r="V564" i="1"/>
  <c r="S562" i="1"/>
  <c r="CZ562" i="1" s="1"/>
  <c r="Y562" i="1" s="1"/>
  <c r="CP552" i="1"/>
  <c r="O552" i="1" s="1"/>
  <c r="AB552" i="1"/>
  <c r="T546" i="1"/>
  <c r="T540" i="1"/>
  <c r="U539" i="1"/>
  <c r="V516" i="1"/>
  <c r="AD463" i="1"/>
  <c r="CR463" i="1"/>
  <c r="Q463" i="1" s="1"/>
  <c r="CP463" i="1" s="1"/>
  <c r="O463" i="1" s="1"/>
  <c r="CT460" i="1"/>
  <c r="S460" i="1" s="1"/>
  <c r="S369" i="5"/>
  <c r="I332" i="1"/>
  <c r="E319" i="5"/>
  <c r="D64" i="6"/>
  <c r="U333" i="1"/>
  <c r="U296" i="1"/>
  <c r="T293" i="1"/>
  <c r="V292" i="1"/>
  <c r="BD255" i="1"/>
  <c r="CG216" i="1"/>
  <c r="U209" i="1"/>
  <c r="D48" i="6"/>
  <c r="E218" i="5"/>
  <c r="E179" i="5"/>
  <c r="D41" i="6"/>
  <c r="CS119" i="1"/>
  <c r="W114" i="1"/>
  <c r="AD112" i="1"/>
  <c r="AB112" i="1" s="1"/>
  <c r="CR112" i="1"/>
  <c r="Q112" i="1" s="1"/>
  <c r="V103" i="1"/>
  <c r="U63" i="1"/>
  <c r="T62" i="1"/>
  <c r="CT62" i="1"/>
  <c r="S109" i="5"/>
  <c r="CT56" i="1"/>
  <c r="S56" i="1" s="1"/>
  <c r="S74" i="5"/>
  <c r="AD53" i="1"/>
  <c r="AB53" i="1" s="1"/>
  <c r="CR53" i="1"/>
  <c r="Q53" i="1" s="1"/>
  <c r="CS53" i="1"/>
  <c r="R53" i="1" s="1"/>
  <c r="GK53" i="1" s="1"/>
  <c r="U37" i="1"/>
  <c r="T35" i="1"/>
  <c r="CS32" i="1"/>
  <c r="R32" i="1" s="1"/>
  <c r="AD32" i="1"/>
  <c r="AB32" i="1" s="1"/>
  <c r="CR32" i="1"/>
  <c r="Q32" i="1" s="1"/>
  <c r="GX30" i="1"/>
  <c r="U30" i="1"/>
  <c r="U120" i="5"/>
  <c r="S138" i="5"/>
  <c r="G500" i="1"/>
  <c r="A394" i="5"/>
  <c r="R562" i="1"/>
  <c r="GK562" i="1" s="1"/>
  <c r="GX551" i="1"/>
  <c r="S546" i="1"/>
  <c r="U531" i="1"/>
  <c r="R530" i="1"/>
  <c r="GK530" i="1" s="1"/>
  <c r="T517" i="1"/>
  <c r="AB506" i="1"/>
  <c r="S385" i="5"/>
  <c r="Q385" i="5"/>
  <c r="R463" i="1"/>
  <c r="GK463" i="1" s="1"/>
  <c r="R460" i="1"/>
  <c r="GK460" i="1" s="1"/>
  <c r="V369" i="5"/>
  <c r="P368" i="5"/>
  <c r="K368" i="5"/>
  <c r="U348" i="5"/>
  <c r="AD373" i="1"/>
  <c r="AB373" i="1" s="1"/>
  <c r="CR373" i="1"/>
  <c r="CT370" i="1"/>
  <c r="BY336" i="1"/>
  <c r="CT332" i="1"/>
  <c r="S332" i="1" s="1"/>
  <c r="J310" i="5" s="1"/>
  <c r="G248" i="1"/>
  <c r="A282" i="5"/>
  <c r="V253" i="1"/>
  <c r="D57" i="6"/>
  <c r="CT252" i="1"/>
  <c r="S252" i="1" s="1"/>
  <c r="Q270" i="5"/>
  <c r="CR251" i="1"/>
  <c r="V212" i="1"/>
  <c r="CT166" i="1"/>
  <c r="S212" i="5"/>
  <c r="BZ128" i="1"/>
  <c r="CG128" i="1" s="1"/>
  <c r="T121" i="1"/>
  <c r="CR119" i="1"/>
  <c r="AD119" i="1"/>
  <c r="AB119" i="1" s="1"/>
  <c r="GX114" i="1"/>
  <c r="V114" i="1"/>
  <c r="U111" i="1"/>
  <c r="AD105" i="1"/>
  <c r="AB105" i="1" s="1"/>
  <c r="CR105" i="1"/>
  <c r="Q105" i="1" s="1"/>
  <c r="CP105" i="1" s="1"/>
  <c r="O105" i="1" s="1"/>
  <c r="Q63" i="1"/>
  <c r="R62" i="1"/>
  <c r="J111" i="5" s="1"/>
  <c r="V109" i="5"/>
  <c r="V55" i="1"/>
  <c r="I62" i="1"/>
  <c r="U109" i="5" s="1"/>
  <c r="CR44" i="1"/>
  <c r="Q44" i="1" s="1"/>
  <c r="CZ43" i="1"/>
  <c r="Y43" i="1" s="1"/>
  <c r="W33" i="1"/>
  <c r="J123" i="5"/>
  <c r="V634" i="1"/>
  <c r="T551" i="1"/>
  <c r="R550" i="1"/>
  <c r="GK550" i="1" s="1"/>
  <c r="CR676" i="1"/>
  <c r="Q676" i="1" s="1"/>
  <c r="P676" i="1"/>
  <c r="J462" i="5" s="1"/>
  <c r="P675" i="1"/>
  <c r="J455" i="5" s="1"/>
  <c r="CS674" i="1"/>
  <c r="U446" i="5"/>
  <c r="U673" i="1"/>
  <c r="BZ639" i="1"/>
  <c r="CT636" i="1"/>
  <c r="S636" i="1" s="1"/>
  <c r="J421" i="5" s="1"/>
  <c r="S420" i="5"/>
  <c r="Q420" i="5"/>
  <c r="T635" i="1"/>
  <c r="CR562" i="1"/>
  <c r="Q562" i="1" s="1"/>
  <c r="CR559" i="1"/>
  <c r="Q559" i="1" s="1"/>
  <c r="CP559" i="1" s="1"/>
  <c r="O559" i="1" s="1"/>
  <c r="GX557" i="1"/>
  <c r="CS553" i="1"/>
  <c r="R553" i="1" s="1"/>
  <c r="GK553" i="1" s="1"/>
  <c r="AB546" i="1"/>
  <c r="CR542" i="1"/>
  <c r="Q542" i="1" s="1"/>
  <c r="S539" i="1"/>
  <c r="GX536" i="1"/>
  <c r="Q536" i="1"/>
  <c r="GX531" i="1"/>
  <c r="CR530" i="1"/>
  <c r="Q530" i="1" s="1"/>
  <c r="CR524" i="1"/>
  <c r="Q524" i="1" s="1"/>
  <c r="T516" i="1"/>
  <c r="CR509" i="1"/>
  <c r="Q509" i="1" s="1"/>
  <c r="AD503" i="1"/>
  <c r="U385" i="5"/>
  <c r="CR466" i="1"/>
  <c r="Q466" i="1" s="1"/>
  <c r="CR460" i="1"/>
  <c r="Q460" i="1" s="1"/>
  <c r="CP460" i="1" s="1"/>
  <c r="O460" i="1" s="1"/>
  <c r="AD460" i="1"/>
  <c r="AB460" i="1" s="1"/>
  <c r="CR458" i="1"/>
  <c r="Q458" i="1" s="1"/>
  <c r="AI468" i="1"/>
  <c r="CS373" i="1"/>
  <c r="CR372" i="1"/>
  <c r="AD372" i="1"/>
  <c r="AB372" i="1" s="1"/>
  <c r="V371" i="1"/>
  <c r="GX333" i="1"/>
  <c r="CG298" i="1"/>
  <c r="AX298" i="1" s="1"/>
  <c r="S296" i="1"/>
  <c r="CR295" i="1"/>
  <c r="Q295" i="1" s="1"/>
  <c r="T292" i="1"/>
  <c r="AG298" i="1" s="1"/>
  <c r="BZ255" i="1"/>
  <c r="CI255" i="1" s="1"/>
  <c r="R252" i="1"/>
  <c r="V270" i="5"/>
  <c r="GX212" i="1"/>
  <c r="CR211" i="1"/>
  <c r="Q211" i="1" s="1"/>
  <c r="U223" i="5"/>
  <c r="G97" i="1"/>
  <c r="A182" i="5"/>
  <c r="AD124" i="1"/>
  <c r="CR124" i="1"/>
  <c r="Q124" i="1" s="1"/>
  <c r="CP122" i="1"/>
  <c r="O122" i="1" s="1"/>
  <c r="U114" i="1"/>
  <c r="CS112" i="1"/>
  <c r="R112" i="1" s="1"/>
  <c r="GK112" i="1" s="1"/>
  <c r="U103" i="1"/>
  <c r="K145" i="5" s="1"/>
  <c r="Q101" i="1"/>
  <c r="J131" i="5" s="1"/>
  <c r="BY128" i="1"/>
  <c r="BY97" i="1" s="1"/>
  <c r="CT100" i="1"/>
  <c r="S100" i="1" s="1"/>
  <c r="J121" i="5" s="1"/>
  <c r="Q120" i="5"/>
  <c r="S120" i="5"/>
  <c r="CR62" i="1"/>
  <c r="Q62" i="1" s="1"/>
  <c r="J110" i="5" s="1"/>
  <c r="I112" i="5" s="1"/>
  <c r="AD62" i="1"/>
  <c r="AB62" i="1" s="1"/>
  <c r="CZ49" i="1"/>
  <c r="Y49" i="1" s="1"/>
  <c r="CY49" i="1"/>
  <c r="X49" i="1" s="1"/>
  <c r="GX44" i="1"/>
  <c r="GX39" i="1"/>
  <c r="P39" i="1"/>
  <c r="CS37" i="1"/>
  <c r="R37" i="1" s="1"/>
  <c r="GK37" i="1" s="1"/>
  <c r="AD36" i="1"/>
  <c r="CR36" i="1"/>
  <c r="Q36" i="1" s="1"/>
  <c r="A116" i="5"/>
  <c r="D33" i="6"/>
  <c r="G453" i="1"/>
  <c r="A379" i="5"/>
  <c r="CP466" i="1"/>
  <c r="O466" i="1" s="1"/>
  <c r="E369" i="5"/>
  <c r="D75" i="6"/>
  <c r="CT373" i="1"/>
  <c r="P371" i="1"/>
  <c r="J346" i="5" s="1"/>
  <c r="BZ375" i="1"/>
  <c r="R334" i="1"/>
  <c r="V319" i="5"/>
  <c r="J326" i="5" s="1"/>
  <c r="U319" i="5"/>
  <c r="P332" i="1"/>
  <c r="J313" i="5" s="1"/>
  <c r="R296" i="1"/>
  <c r="GK296" i="1" s="1"/>
  <c r="CC298" i="1"/>
  <c r="CC287" i="1" s="1"/>
  <c r="D59" i="6"/>
  <c r="E286" i="5"/>
  <c r="P252" i="1"/>
  <c r="J274" i="5" s="1"/>
  <c r="CC216" i="1"/>
  <c r="CC207" i="1" s="1"/>
  <c r="V211" i="1"/>
  <c r="E206" i="5"/>
  <c r="D45" i="6"/>
  <c r="S121" i="1"/>
  <c r="AB118" i="1"/>
  <c r="V111" i="1"/>
  <c r="Q102" i="1"/>
  <c r="CP102" i="1" s="1"/>
  <c r="O102" i="1" s="1"/>
  <c r="W62" i="1"/>
  <c r="W56" i="1"/>
  <c r="W51" i="1"/>
  <c r="V44" i="1"/>
  <c r="U39" i="1"/>
  <c r="V37" i="1"/>
  <c r="W35" i="1"/>
  <c r="V33" i="1"/>
  <c r="GX32" i="1"/>
  <c r="U31" i="1"/>
  <c r="A330" i="5"/>
  <c r="G207" i="1"/>
  <c r="A266" i="5"/>
  <c r="V214" i="1"/>
  <c r="CX44" i="3"/>
  <c r="E255" i="5"/>
  <c r="Q212" i="1"/>
  <c r="T209" i="1"/>
  <c r="S209" i="1"/>
  <c r="G160" i="1"/>
  <c r="A251" i="5"/>
  <c r="AB172" i="1"/>
  <c r="CT171" i="1"/>
  <c r="GX167" i="1"/>
  <c r="Q167" i="1"/>
  <c r="J220" i="5" s="1"/>
  <c r="GX166" i="1"/>
  <c r="E212" i="5"/>
  <c r="D47" i="6"/>
  <c r="CT165" i="1"/>
  <c r="CS117" i="1"/>
  <c r="R114" i="1"/>
  <c r="GK114" i="1" s="1"/>
  <c r="T111" i="1"/>
  <c r="S111" i="1"/>
  <c r="V110" i="1"/>
  <c r="S104" i="1"/>
  <c r="U101" i="1"/>
  <c r="K136" i="5" s="1"/>
  <c r="S101" i="1"/>
  <c r="J130" i="5" s="1"/>
  <c r="T63" i="1"/>
  <c r="V62" i="1"/>
  <c r="AD61" i="1"/>
  <c r="CR61" i="1"/>
  <c r="CT60" i="1"/>
  <c r="CX1" i="3"/>
  <c r="E74" i="5"/>
  <c r="D23" i="6"/>
  <c r="V54" i="1"/>
  <c r="CP53" i="1"/>
  <c r="O53" i="1" s="1"/>
  <c r="E41" i="5"/>
  <c r="D19" i="6"/>
  <c r="T39" i="1"/>
  <c r="Q39" i="1"/>
  <c r="CP39" i="1" s="1"/>
  <c r="O39" i="1" s="1"/>
  <c r="GX35" i="1"/>
  <c r="V35" i="1"/>
  <c r="T31" i="1"/>
  <c r="S41" i="5"/>
  <c r="D54" i="6"/>
  <c r="G22" i="1"/>
  <c r="A357" i="5"/>
  <c r="AF357" i="5"/>
  <c r="CT372" i="1"/>
  <c r="S372" i="1" s="1"/>
  <c r="P334" i="1"/>
  <c r="J323" i="5" s="1"/>
  <c r="BZ336" i="1"/>
  <c r="BZ330" i="1" s="1"/>
  <c r="S291" i="5"/>
  <c r="U289" i="1"/>
  <c r="R253" i="1"/>
  <c r="V275" i="5"/>
  <c r="U275" i="5"/>
  <c r="E270" i="5"/>
  <c r="D56" i="6"/>
  <c r="V213" i="1"/>
  <c r="AI216" i="1" s="1"/>
  <c r="T211" i="1"/>
  <c r="CR169" i="1"/>
  <c r="AD169" i="1"/>
  <c r="AB169" i="1" s="1"/>
  <c r="P167" i="1"/>
  <c r="R163" i="1"/>
  <c r="V196" i="5"/>
  <c r="J203" i="5" s="1"/>
  <c r="CR126" i="1"/>
  <c r="Q126" i="1" s="1"/>
  <c r="CP126" i="1" s="1"/>
  <c r="O126" i="1" s="1"/>
  <c r="CT116" i="1"/>
  <c r="CR114" i="1"/>
  <c r="Q114" i="1" s="1"/>
  <c r="CP114" i="1" s="1"/>
  <c r="O114" i="1" s="1"/>
  <c r="T113" i="1"/>
  <c r="R111" i="1"/>
  <c r="GK111" i="1" s="1"/>
  <c r="U110" i="1"/>
  <c r="CP107" i="1"/>
  <c r="O107" i="1" s="1"/>
  <c r="GX104" i="1"/>
  <c r="CS104" i="1"/>
  <c r="R104" i="1" s="1"/>
  <c r="GK104" i="1" s="1"/>
  <c r="AB104" i="1"/>
  <c r="GX102" i="1"/>
  <c r="W102" i="1"/>
  <c r="T101" i="1"/>
  <c r="R101" i="1"/>
  <c r="V129" i="5"/>
  <c r="J135" i="5" s="1"/>
  <c r="S113" i="5"/>
  <c r="Q113" i="5"/>
  <c r="CT63" i="1"/>
  <c r="S63" i="1" s="1"/>
  <c r="U62" i="1"/>
  <c r="CS61" i="1"/>
  <c r="CT55" i="1"/>
  <c r="Q65" i="5"/>
  <c r="CS48" i="1"/>
  <c r="R48" i="1" s="1"/>
  <c r="GK48" i="1" s="1"/>
  <c r="AD45" i="1"/>
  <c r="AB45" i="1" s="1"/>
  <c r="CR45" i="1"/>
  <c r="Q45" i="1" s="1"/>
  <c r="CS45" i="1"/>
  <c r="R45" i="1" s="1"/>
  <c r="GK45" i="1" s="1"/>
  <c r="CR42" i="1"/>
  <c r="Q42" i="1" s="1"/>
  <c r="V41" i="1"/>
  <c r="S39" i="1"/>
  <c r="U35" i="1"/>
  <c r="CR34" i="1"/>
  <c r="Q34" i="1" s="1"/>
  <c r="AD34" i="1"/>
  <c r="AB34" i="1" s="1"/>
  <c r="W31" i="1"/>
  <c r="V74" i="5"/>
  <c r="J80" i="5" s="1"/>
  <c r="Q129" i="5"/>
  <c r="Q196" i="5"/>
  <c r="GX53" i="1"/>
  <c r="AB40" i="1"/>
  <c r="V39" i="1"/>
  <c r="CP34" i="1"/>
  <c r="O34" i="1" s="1"/>
  <c r="S30" i="1"/>
  <c r="U51" i="1"/>
  <c r="K48" i="5" s="1"/>
  <c r="P46" i="1"/>
  <c r="CP46" i="1" s="1"/>
  <c r="O46" i="1" s="1"/>
  <c r="AB46" i="1"/>
  <c r="W43" i="1"/>
  <c r="U42" i="1"/>
  <c r="CS40" i="1"/>
  <c r="R40" i="1" s="1"/>
  <c r="GK40" i="1" s="1"/>
  <c r="S35" i="1"/>
  <c r="CY35" i="1" s="1"/>
  <c r="X35" i="1" s="1"/>
  <c r="AB30" i="1"/>
  <c r="S114" i="1"/>
  <c r="CY114" i="1" s="1"/>
  <c r="X114" i="1" s="1"/>
  <c r="V113" i="1"/>
  <c r="GX112" i="1"/>
  <c r="W103" i="1"/>
  <c r="R102" i="1"/>
  <c r="GK102" i="1" s="1"/>
  <c r="CX9" i="3"/>
  <c r="D32" i="6"/>
  <c r="E120" i="5"/>
  <c r="S99" i="1"/>
  <c r="CZ99" i="1" s="1"/>
  <c r="Y99" i="1" s="1"/>
  <c r="Q83" i="5"/>
  <c r="R56" i="1"/>
  <c r="T54" i="1"/>
  <c r="W53" i="1"/>
  <c r="S51" i="1"/>
  <c r="J42" i="5" s="1"/>
  <c r="V50" i="1"/>
  <c r="U49" i="1"/>
  <c r="V43" i="1"/>
  <c r="GX42" i="1"/>
  <c r="T41" i="1"/>
  <c r="CR40" i="1"/>
  <c r="T37" i="1"/>
  <c r="S33" i="1"/>
  <c r="CZ33" i="1" s="1"/>
  <c r="Y33" i="1" s="1"/>
  <c r="CS30" i="1"/>
  <c r="R30" i="1" s="1"/>
  <c r="GK30" i="1" s="1"/>
  <c r="P30" i="1"/>
  <c r="Q41" i="5"/>
  <c r="K112" i="5"/>
  <c r="P112" i="5"/>
  <c r="K180" i="5"/>
  <c r="P180" i="5"/>
  <c r="I64" i="5"/>
  <c r="P89" i="5"/>
  <c r="K388" i="5"/>
  <c r="P388" i="5"/>
  <c r="I137" i="5"/>
  <c r="BY671" i="1"/>
  <c r="AP678" i="1"/>
  <c r="AT678" i="1"/>
  <c r="CC671" i="1"/>
  <c r="CY553" i="1"/>
  <c r="X553" i="1" s="1"/>
  <c r="CZ553" i="1"/>
  <c r="Y553" i="1" s="1"/>
  <c r="AO671" i="1"/>
  <c r="F682" i="1"/>
  <c r="AQ678" i="1"/>
  <c r="CP673" i="1"/>
  <c r="O673" i="1" s="1"/>
  <c r="AC678" i="1"/>
  <c r="CZ564" i="1"/>
  <c r="Y564" i="1" s="1"/>
  <c r="CY564" i="1"/>
  <c r="X564" i="1" s="1"/>
  <c r="CY563" i="1"/>
  <c r="X563" i="1" s="1"/>
  <c r="CZ563" i="1"/>
  <c r="Y563" i="1" s="1"/>
  <c r="CY547" i="1"/>
  <c r="X547" i="1" s="1"/>
  <c r="CZ547" i="1"/>
  <c r="Y547" i="1" s="1"/>
  <c r="CY535" i="1"/>
  <c r="X535" i="1" s="1"/>
  <c r="CZ535" i="1"/>
  <c r="Y535" i="1" s="1"/>
  <c r="CY521" i="1"/>
  <c r="X521" i="1" s="1"/>
  <c r="CZ521" i="1"/>
  <c r="Y521" i="1" s="1"/>
  <c r="CP563" i="1"/>
  <c r="O563" i="1" s="1"/>
  <c r="CP562" i="1"/>
  <c r="O562" i="1" s="1"/>
  <c r="AS678" i="1"/>
  <c r="CB671" i="1"/>
  <c r="F691" i="1"/>
  <c r="BB671" i="1"/>
  <c r="CZ673" i="1"/>
  <c r="Y673" i="1" s="1"/>
  <c r="T436" i="5" s="1"/>
  <c r="J442" i="5" s="1"/>
  <c r="CY673" i="1"/>
  <c r="X673" i="1" s="1"/>
  <c r="R436" i="5" s="1"/>
  <c r="J441" i="5" s="1"/>
  <c r="AF678" i="1"/>
  <c r="BZ632" i="1"/>
  <c r="AQ639" i="1"/>
  <c r="CZ636" i="1"/>
  <c r="Y636" i="1" s="1"/>
  <c r="T420" i="5" s="1"/>
  <c r="CY636" i="1"/>
  <c r="X636" i="1" s="1"/>
  <c r="R420" i="5" s="1"/>
  <c r="CP634" i="1"/>
  <c r="O634" i="1" s="1"/>
  <c r="CY544" i="1"/>
  <c r="X544" i="1" s="1"/>
  <c r="CZ544" i="1"/>
  <c r="Y544" i="1" s="1"/>
  <c r="CY538" i="1"/>
  <c r="X538" i="1" s="1"/>
  <c r="CZ538" i="1"/>
  <c r="Y538" i="1" s="1"/>
  <c r="AI500" i="1"/>
  <c r="V566" i="1"/>
  <c r="GX637" i="1"/>
  <c r="CJ639" i="1" s="1"/>
  <c r="T637" i="1"/>
  <c r="AG639" i="1" s="1"/>
  <c r="P637" i="1"/>
  <c r="BC671" i="1"/>
  <c r="F694" i="1"/>
  <c r="CY674" i="1"/>
  <c r="X674" i="1" s="1"/>
  <c r="R446" i="5" s="1"/>
  <c r="J449" i="5" s="1"/>
  <c r="CZ674" i="1"/>
  <c r="Y674" i="1" s="1"/>
  <c r="T446" i="5" s="1"/>
  <c r="J450" i="5" s="1"/>
  <c r="CZ675" i="1"/>
  <c r="Y675" i="1" s="1"/>
  <c r="T453" i="5" s="1"/>
  <c r="J457" i="5" s="1"/>
  <c r="CC632" i="1"/>
  <c r="AT639" i="1"/>
  <c r="CZ634" i="1"/>
  <c r="Y634" i="1" s="1"/>
  <c r="CY634" i="1"/>
  <c r="X634" i="1" s="1"/>
  <c r="CY562" i="1"/>
  <c r="X562" i="1" s="1"/>
  <c r="GP552" i="1"/>
  <c r="CY530" i="1"/>
  <c r="X530" i="1" s="1"/>
  <c r="CZ530" i="1"/>
  <c r="Y530" i="1" s="1"/>
  <c r="CY513" i="1"/>
  <c r="X513" i="1" s="1"/>
  <c r="CZ513" i="1"/>
  <c r="Y513" i="1" s="1"/>
  <c r="CP674" i="1"/>
  <c r="O674" i="1" s="1"/>
  <c r="CG639" i="1"/>
  <c r="W637" i="1"/>
  <c r="V637" i="1"/>
  <c r="AI639" i="1" s="1"/>
  <c r="CP636" i="1"/>
  <c r="O636" i="1" s="1"/>
  <c r="CQ561" i="1"/>
  <c r="P561" i="1" s="1"/>
  <c r="CP561" i="1" s="1"/>
  <c r="O561" i="1" s="1"/>
  <c r="AB561" i="1"/>
  <c r="CQ553" i="1"/>
  <c r="P553" i="1" s="1"/>
  <c r="CP553" i="1" s="1"/>
  <c r="O553" i="1" s="1"/>
  <c r="AB553" i="1"/>
  <c r="CS551" i="1"/>
  <c r="R551" i="1" s="1"/>
  <c r="GK551" i="1" s="1"/>
  <c r="AD551" i="1"/>
  <c r="AB551" i="1" s="1"/>
  <c r="CS545" i="1"/>
  <c r="R545" i="1" s="1"/>
  <c r="GK545" i="1" s="1"/>
  <c r="AD545" i="1"/>
  <c r="CQ535" i="1"/>
  <c r="P535" i="1" s="1"/>
  <c r="AB535" i="1"/>
  <c r="CS527" i="1"/>
  <c r="R527" i="1" s="1"/>
  <c r="GK527" i="1" s="1"/>
  <c r="AD527" i="1"/>
  <c r="CZ526" i="1"/>
  <c r="Y526" i="1" s="1"/>
  <c r="CY526" i="1"/>
  <c r="X526" i="1" s="1"/>
  <c r="CS519" i="1"/>
  <c r="R519" i="1" s="1"/>
  <c r="GK519" i="1" s="1"/>
  <c r="AD519" i="1"/>
  <c r="AB519" i="1" s="1"/>
  <c r="CZ518" i="1"/>
  <c r="Y518" i="1" s="1"/>
  <c r="CY518" i="1"/>
  <c r="X518" i="1" s="1"/>
  <c r="CS511" i="1"/>
  <c r="R511" i="1" s="1"/>
  <c r="GK511" i="1" s="1"/>
  <c r="AD511" i="1"/>
  <c r="AB511" i="1" s="1"/>
  <c r="CZ510" i="1"/>
  <c r="Y510" i="1" s="1"/>
  <c r="CY510" i="1"/>
  <c r="X510" i="1" s="1"/>
  <c r="CZ508" i="1"/>
  <c r="Y508" i="1" s="1"/>
  <c r="T391" i="5" s="1"/>
  <c r="CY508" i="1"/>
  <c r="X508" i="1" s="1"/>
  <c r="R391" i="5" s="1"/>
  <c r="F493" i="1"/>
  <c r="BD453" i="1"/>
  <c r="CZ457" i="1"/>
  <c r="Y457" i="1" s="1"/>
  <c r="CY457" i="1"/>
  <c r="X457" i="1" s="1"/>
  <c r="CX66" i="3"/>
  <c r="CX67" i="3"/>
  <c r="CX64" i="3"/>
  <c r="CX68" i="3"/>
  <c r="CX69" i="3"/>
  <c r="CX65" i="3"/>
  <c r="I372" i="1"/>
  <c r="S347" i="5" s="1"/>
  <c r="I373" i="1"/>
  <c r="I370" i="1"/>
  <c r="V334" i="5" s="1"/>
  <c r="J341" i="5" s="1"/>
  <c r="GX371" i="1"/>
  <c r="AQ375" i="1"/>
  <c r="BZ368" i="1"/>
  <c r="CG375" i="1"/>
  <c r="CS333" i="1"/>
  <c r="R333" i="1" s="1"/>
  <c r="GK333" i="1" s="1"/>
  <c r="AD333" i="1"/>
  <c r="CR333" i="1"/>
  <c r="Q333" i="1" s="1"/>
  <c r="AS207" i="1"/>
  <c r="F233" i="1"/>
  <c r="BD678" i="1"/>
  <c r="AB676" i="1"/>
  <c r="BB639" i="1"/>
  <c r="AP639" i="1"/>
  <c r="CS635" i="1"/>
  <c r="CG678" i="1"/>
  <c r="AD675" i="1"/>
  <c r="AB675" i="1" s="1"/>
  <c r="BX671" i="1"/>
  <c r="CI639" i="1"/>
  <c r="BD639" i="1"/>
  <c r="AB637" i="1"/>
  <c r="AD636" i="1"/>
  <c r="AB636" i="1" s="1"/>
  <c r="AD634" i="1"/>
  <c r="AB634" i="1" s="1"/>
  <c r="BA566" i="1"/>
  <c r="AS566" i="1"/>
  <c r="AO566" i="1"/>
  <c r="U566" i="1"/>
  <c r="Q566" i="1"/>
  <c r="CZ561" i="1"/>
  <c r="Y561" i="1" s="1"/>
  <c r="I558" i="1"/>
  <c r="P558" i="1" s="1"/>
  <c r="S557" i="1"/>
  <c r="Q556" i="1"/>
  <c r="T556" i="1"/>
  <c r="CP549" i="1"/>
  <c r="O549" i="1" s="1"/>
  <c r="AB548" i="1"/>
  <c r="I543" i="1"/>
  <c r="P543" i="1" s="1"/>
  <c r="S542" i="1"/>
  <c r="U538" i="1"/>
  <c r="T538" i="1"/>
  <c r="T537" i="1"/>
  <c r="W537" i="1"/>
  <c r="S537" i="1"/>
  <c r="CP536" i="1"/>
  <c r="O536" i="1" s="1"/>
  <c r="Q534" i="1"/>
  <c r="I534" i="1"/>
  <c r="R534" i="1" s="1"/>
  <c r="GK534" i="1" s="1"/>
  <c r="S533" i="1"/>
  <c r="CP529" i="1"/>
  <c r="O529" i="1" s="1"/>
  <c r="AB528" i="1"/>
  <c r="AB526" i="1"/>
  <c r="CZ523" i="1"/>
  <c r="Y523" i="1" s="1"/>
  <c r="AB518" i="1"/>
  <c r="CZ516" i="1"/>
  <c r="Y516" i="1" s="1"/>
  <c r="CZ515" i="1"/>
  <c r="Y515" i="1" s="1"/>
  <c r="AB510" i="1"/>
  <c r="AB457" i="1"/>
  <c r="T372" i="1"/>
  <c r="BD336" i="1"/>
  <c r="AJ298" i="1"/>
  <c r="CJ207" i="1"/>
  <c r="CQ550" i="1"/>
  <c r="P550" i="1" s="1"/>
  <c r="CP550" i="1" s="1"/>
  <c r="O550" i="1" s="1"/>
  <c r="AB550" i="1"/>
  <c r="CZ541" i="1"/>
  <c r="Y541" i="1" s="1"/>
  <c r="CY541" i="1"/>
  <c r="X541" i="1" s="1"/>
  <c r="CS540" i="1"/>
  <c r="R540" i="1" s="1"/>
  <c r="GK540" i="1" s="1"/>
  <c r="AD540" i="1"/>
  <c r="AB540" i="1" s="1"/>
  <c r="CQ538" i="1"/>
  <c r="P538" i="1" s="1"/>
  <c r="AB538" i="1"/>
  <c r="CZ532" i="1"/>
  <c r="Y532" i="1" s="1"/>
  <c r="CY532" i="1"/>
  <c r="X532" i="1" s="1"/>
  <c r="CQ530" i="1"/>
  <c r="P530" i="1" s="1"/>
  <c r="AB530" i="1"/>
  <c r="CY525" i="1"/>
  <c r="X525" i="1" s="1"/>
  <c r="CZ525" i="1"/>
  <c r="Y525" i="1" s="1"/>
  <c r="CQ521" i="1"/>
  <c r="P521" i="1" s="1"/>
  <c r="CP521" i="1" s="1"/>
  <c r="O521" i="1" s="1"/>
  <c r="CY517" i="1"/>
  <c r="X517" i="1" s="1"/>
  <c r="CZ517" i="1"/>
  <c r="Y517" i="1" s="1"/>
  <c r="CQ513" i="1"/>
  <c r="P513" i="1" s="1"/>
  <c r="CP513" i="1" s="1"/>
  <c r="O513" i="1" s="1"/>
  <c r="AB513" i="1"/>
  <c r="CY509" i="1"/>
  <c r="X509" i="1" s="1"/>
  <c r="CZ509" i="1"/>
  <c r="Y509" i="1" s="1"/>
  <c r="CQ507" i="1"/>
  <c r="P507" i="1" s="1"/>
  <c r="CQ503" i="1"/>
  <c r="P503" i="1" s="1"/>
  <c r="J385" i="5" s="1"/>
  <c r="I386" i="5" s="1"/>
  <c r="AB503" i="1"/>
  <c r="BC453" i="1"/>
  <c r="F484" i="1"/>
  <c r="CY461" i="1"/>
  <c r="X461" i="1" s="1"/>
  <c r="R376" i="5" s="1"/>
  <c r="CZ461" i="1"/>
  <c r="Y461" i="1" s="1"/>
  <c r="T376" i="5" s="1"/>
  <c r="CZ456" i="1"/>
  <c r="Y456" i="1" s="1"/>
  <c r="T363" i="5" s="1"/>
  <c r="AC336" i="1"/>
  <c r="CG287" i="1"/>
  <c r="CS293" i="1"/>
  <c r="R293" i="1" s="1"/>
  <c r="GK293" i="1" s="1"/>
  <c r="AD293" i="1"/>
  <c r="AB293" i="1" s="1"/>
  <c r="CR293" i="1"/>
  <c r="Q293" i="1" s="1"/>
  <c r="BA207" i="1"/>
  <c r="F236" i="1"/>
  <c r="AS639" i="1"/>
  <c r="AO639" i="1"/>
  <c r="BX632" i="1"/>
  <c r="BB566" i="1"/>
  <c r="AT566" i="1"/>
  <c r="AP566" i="1"/>
  <c r="AD564" i="1"/>
  <c r="AB564" i="1" s="1"/>
  <c r="AD562" i="1"/>
  <c r="AB562" i="1" s="1"/>
  <c r="CZ560" i="1"/>
  <c r="Y560" i="1" s="1"/>
  <c r="AB559" i="1"/>
  <c r="Q558" i="1"/>
  <c r="AB557" i="1"/>
  <c r="CZ555" i="1"/>
  <c r="Y555" i="1" s="1"/>
  <c r="AB542" i="1"/>
  <c r="GX538" i="1"/>
  <c r="V538" i="1"/>
  <c r="Q538" i="1"/>
  <c r="U537" i="1"/>
  <c r="P537" i="1"/>
  <c r="CP537" i="1" s="1"/>
  <c r="O537" i="1" s="1"/>
  <c r="CP531" i="1"/>
  <c r="O531" i="1" s="1"/>
  <c r="CP526" i="1"/>
  <c r="O526" i="1" s="1"/>
  <c r="CP520" i="1"/>
  <c r="O520" i="1" s="1"/>
  <c r="CP518" i="1"/>
  <c r="O518" i="1" s="1"/>
  <c r="AB515" i="1"/>
  <c r="CP512" i="1"/>
  <c r="O512" i="1" s="1"/>
  <c r="CP510" i="1"/>
  <c r="O510" i="1" s="1"/>
  <c r="CP506" i="1"/>
  <c r="O506" i="1" s="1"/>
  <c r="CP371" i="1"/>
  <c r="O371" i="1" s="1"/>
  <c r="CX90" i="3"/>
  <c r="CX88" i="3"/>
  <c r="CX89" i="3"/>
  <c r="CX86" i="3"/>
  <c r="CX83" i="3"/>
  <c r="CX87" i="3"/>
  <c r="CX84" i="3"/>
  <c r="CX85" i="3"/>
  <c r="CZ554" i="1"/>
  <c r="Y554" i="1" s="1"/>
  <c r="CY554" i="1"/>
  <c r="X554" i="1" s="1"/>
  <c r="CS549" i="1"/>
  <c r="R549" i="1" s="1"/>
  <c r="GK549" i="1" s="1"/>
  <c r="AD549" i="1"/>
  <c r="AB549" i="1" s="1"/>
  <c r="CQ547" i="1"/>
  <c r="P547" i="1" s="1"/>
  <c r="AB547" i="1"/>
  <c r="CZ546" i="1"/>
  <c r="Y546" i="1" s="1"/>
  <c r="CY546" i="1"/>
  <c r="X546" i="1" s="1"/>
  <c r="CQ544" i="1"/>
  <c r="P544" i="1" s="1"/>
  <c r="AB544" i="1"/>
  <c r="GP541" i="1"/>
  <c r="CS536" i="1"/>
  <c r="R536" i="1" s="1"/>
  <c r="GK536" i="1" s="1"/>
  <c r="AD536" i="1"/>
  <c r="AB536" i="1" s="1"/>
  <c r="CS529" i="1"/>
  <c r="R529" i="1" s="1"/>
  <c r="GK529" i="1" s="1"/>
  <c r="AD529" i="1"/>
  <c r="AB529" i="1" s="1"/>
  <c r="CS523" i="1"/>
  <c r="R523" i="1" s="1"/>
  <c r="GK523" i="1" s="1"/>
  <c r="AD523" i="1"/>
  <c r="AB523" i="1" s="1"/>
  <c r="CZ522" i="1"/>
  <c r="Y522" i="1" s="1"/>
  <c r="CY522" i="1"/>
  <c r="X522" i="1" s="1"/>
  <c r="CS516" i="1"/>
  <c r="R516" i="1" s="1"/>
  <c r="GK516" i="1" s="1"/>
  <c r="AD516" i="1"/>
  <c r="AB516" i="1" s="1"/>
  <c r="CS515" i="1"/>
  <c r="R515" i="1" s="1"/>
  <c r="GK515" i="1" s="1"/>
  <c r="AD515" i="1"/>
  <c r="CZ514" i="1"/>
  <c r="Y514" i="1" s="1"/>
  <c r="CY514" i="1"/>
  <c r="X514" i="1" s="1"/>
  <c r="AQ468" i="1"/>
  <c r="BZ453" i="1"/>
  <c r="CG468" i="1"/>
  <c r="CI468" i="1"/>
  <c r="CY458" i="1"/>
  <c r="X458" i="1" s="1"/>
  <c r="R365" i="5" s="1"/>
  <c r="CZ458" i="1"/>
  <c r="Y458" i="1" s="1"/>
  <c r="T365" i="5" s="1"/>
  <c r="AI453" i="1"/>
  <c r="V468" i="1"/>
  <c r="BY287" i="1"/>
  <c r="CI298" i="1"/>
  <c r="AP298" i="1"/>
  <c r="CZ296" i="1"/>
  <c r="Y296" i="1" s="1"/>
  <c r="CY296" i="1"/>
  <c r="X296" i="1" s="1"/>
  <c r="CS292" i="1"/>
  <c r="AD292" i="1"/>
  <c r="AB292" i="1" s="1"/>
  <c r="CR292" i="1"/>
  <c r="Q292" i="1" s="1"/>
  <c r="AD298" i="1" s="1"/>
  <c r="CQ291" i="1"/>
  <c r="P291" i="1" s="1"/>
  <c r="J290" i="5" s="1"/>
  <c r="GK253" i="1"/>
  <c r="AE255" i="1"/>
  <c r="CZ109" i="1"/>
  <c r="Y109" i="1" s="1"/>
  <c r="CY109" i="1"/>
  <c r="X109" i="1" s="1"/>
  <c r="CP100" i="1"/>
  <c r="O100" i="1" s="1"/>
  <c r="CZ52" i="1"/>
  <c r="Y52" i="1" s="1"/>
  <c r="T50" i="5" s="1"/>
  <c r="J55" i="5" s="1"/>
  <c r="CY52" i="1"/>
  <c r="X52" i="1" s="1"/>
  <c r="R50" i="5" s="1"/>
  <c r="J54" i="5" s="1"/>
  <c r="CZ31" i="1"/>
  <c r="Y31" i="1" s="1"/>
  <c r="CY31" i="1"/>
  <c r="X31" i="1" s="1"/>
  <c r="BC566" i="1"/>
  <c r="AQ566" i="1"/>
  <c r="W566" i="1"/>
  <c r="CP551" i="1"/>
  <c r="O551" i="1" s="1"/>
  <c r="CP545" i="1"/>
  <c r="O545" i="1" s="1"/>
  <c r="CP542" i="1"/>
  <c r="O542" i="1" s="1"/>
  <c r="T534" i="1"/>
  <c r="W534" i="1"/>
  <c r="S534" i="1"/>
  <c r="AB522" i="1"/>
  <c r="AB514" i="1"/>
  <c r="Q372" i="1"/>
  <c r="U372" i="1"/>
  <c r="AB164" i="1"/>
  <c r="CX94" i="3"/>
  <c r="CX91" i="3"/>
  <c r="CX92" i="3"/>
  <c r="CX93" i="3"/>
  <c r="CS560" i="1"/>
  <c r="R560" i="1" s="1"/>
  <c r="GK560" i="1" s="1"/>
  <c r="AD560" i="1"/>
  <c r="AB560" i="1" s="1"/>
  <c r="CS555" i="1"/>
  <c r="R555" i="1" s="1"/>
  <c r="GK555" i="1" s="1"/>
  <c r="AD555" i="1"/>
  <c r="AB555" i="1" s="1"/>
  <c r="CY550" i="1"/>
  <c r="X550" i="1" s="1"/>
  <c r="CZ550" i="1"/>
  <c r="Y550" i="1" s="1"/>
  <c r="CS531" i="1"/>
  <c r="R531" i="1" s="1"/>
  <c r="GK531" i="1" s="1"/>
  <c r="AD531" i="1"/>
  <c r="AB531" i="1" s="1"/>
  <c r="CQ525" i="1"/>
  <c r="P525" i="1" s="1"/>
  <c r="CP525" i="1" s="1"/>
  <c r="O525" i="1" s="1"/>
  <c r="AB525" i="1"/>
  <c r="CQ517" i="1"/>
  <c r="P517" i="1" s="1"/>
  <c r="CP517" i="1" s="1"/>
  <c r="O517" i="1" s="1"/>
  <c r="AB517" i="1"/>
  <c r="CQ509" i="1"/>
  <c r="P509" i="1" s="1"/>
  <c r="CP509" i="1" s="1"/>
  <c r="O509" i="1" s="1"/>
  <c r="AB509" i="1"/>
  <c r="AS453" i="1"/>
  <c r="F485" i="1"/>
  <c r="CQ465" i="1"/>
  <c r="P465" i="1" s="1"/>
  <c r="CP465" i="1" s="1"/>
  <c r="O465" i="1" s="1"/>
  <c r="AB465" i="1"/>
  <c r="CY459" i="1"/>
  <c r="X459" i="1" s="1"/>
  <c r="R367" i="5" s="1"/>
  <c r="BC368" i="1"/>
  <c r="F391" i="1"/>
  <c r="CQ294" i="1"/>
  <c r="AB294" i="1"/>
  <c r="BC639" i="1"/>
  <c r="CI566" i="1"/>
  <c r="BD566" i="1"/>
  <c r="T566" i="1"/>
  <c r="T558" i="1"/>
  <c r="W558" i="1"/>
  <c r="S558" i="1"/>
  <c r="AB558" i="1"/>
  <c r="W557" i="1"/>
  <c r="R557" i="1"/>
  <c r="GK557" i="1" s="1"/>
  <c r="W556" i="1"/>
  <c r="S556" i="1"/>
  <c r="CP556" i="1" s="1"/>
  <c r="O556" i="1" s="1"/>
  <c r="CP554" i="1"/>
  <c r="O554" i="1" s="1"/>
  <c r="AB545" i="1"/>
  <c r="CR540" i="1"/>
  <c r="Q540" i="1" s="1"/>
  <c r="U534" i="1"/>
  <c r="P534" i="1"/>
  <c r="AB527" i="1"/>
  <c r="CY524" i="1"/>
  <c r="X524" i="1" s="1"/>
  <c r="GM524" i="1" s="1"/>
  <c r="CP522" i="1"/>
  <c r="O522" i="1" s="1"/>
  <c r="CP514" i="1"/>
  <c r="O514" i="1" s="1"/>
  <c r="AH468" i="1"/>
  <c r="AJ468" i="1"/>
  <c r="AT298" i="1"/>
  <c r="CS505" i="1"/>
  <c r="R505" i="1" s="1"/>
  <c r="GK505" i="1" s="1"/>
  <c r="AD505" i="1"/>
  <c r="AB505" i="1" s="1"/>
  <c r="CY503" i="1"/>
  <c r="X503" i="1" s="1"/>
  <c r="R385" i="5" s="1"/>
  <c r="CZ503" i="1"/>
  <c r="Y503" i="1" s="1"/>
  <c r="T385" i="5" s="1"/>
  <c r="CY465" i="1"/>
  <c r="X465" i="1" s="1"/>
  <c r="CZ465" i="1"/>
  <c r="Y465" i="1" s="1"/>
  <c r="CX73" i="3"/>
  <c r="I464" i="1"/>
  <c r="CQ461" i="1"/>
  <c r="P461" i="1" s="1"/>
  <c r="AB461" i="1"/>
  <c r="F314" i="1"/>
  <c r="BC287" i="1"/>
  <c r="AS287" i="1"/>
  <c r="F315" i="1"/>
  <c r="BB287" i="1"/>
  <c r="F311" i="1"/>
  <c r="CY291" i="1"/>
  <c r="X291" i="1" s="1"/>
  <c r="CZ291" i="1"/>
  <c r="Y291" i="1" s="1"/>
  <c r="T286" i="5" s="1"/>
  <c r="J293" i="5" s="1"/>
  <c r="BZ97" i="1"/>
  <c r="AQ128" i="1"/>
  <c r="CP504" i="1"/>
  <c r="O504" i="1" s="1"/>
  <c r="AG468" i="1"/>
  <c r="W373" i="1"/>
  <c r="S373" i="1"/>
  <c r="GX372" i="1"/>
  <c r="W372" i="1"/>
  <c r="CZ333" i="1"/>
  <c r="Y333" i="1" s="1"/>
  <c r="V332" i="1"/>
  <c r="AI336" i="1" s="1"/>
  <c r="CP296" i="1"/>
  <c r="O296" i="1" s="1"/>
  <c r="CZ293" i="1"/>
  <c r="Y293" i="1" s="1"/>
  <c r="CZ292" i="1"/>
  <c r="Y292" i="1" s="1"/>
  <c r="T291" i="5" s="1"/>
  <c r="CJ298" i="1"/>
  <c r="AH298" i="1"/>
  <c r="T289" i="1"/>
  <c r="W289" i="1"/>
  <c r="S289" i="1"/>
  <c r="AB289" i="1"/>
  <c r="CZ462" i="1"/>
  <c r="Y462" i="1" s="1"/>
  <c r="CY462" i="1"/>
  <c r="X462" i="1" s="1"/>
  <c r="CQ456" i="1"/>
  <c r="P456" i="1" s="1"/>
  <c r="J363" i="5" s="1"/>
  <c r="I364" i="5" s="1"/>
  <c r="P364" i="5" s="1"/>
  <c r="AB456" i="1"/>
  <c r="BC330" i="1"/>
  <c r="F352" i="1"/>
  <c r="AO287" i="1"/>
  <c r="F302" i="1"/>
  <c r="CY295" i="1"/>
  <c r="X295" i="1" s="1"/>
  <c r="R297" i="5" s="1"/>
  <c r="J300" i="5" s="1"/>
  <c r="CZ295" i="1"/>
  <c r="Y295" i="1" s="1"/>
  <c r="T297" i="5" s="1"/>
  <c r="J301" i="5" s="1"/>
  <c r="CQ290" i="1"/>
  <c r="P290" i="1" s="1"/>
  <c r="AB290" i="1"/>
  <c r="CY212" i="1"/>
  <c r="X212" i="1" s="1"/>
  <c r="CZ212" i="1"/>
  <c r="Y212" i="1" s="1"/>
  <c r="CQ210" i="1"/>
  <c r="AB210" i="1"/>
  <c r="CZ209" i="1"/>
  <c r="Y209" i="1" s="1"/>
  <c r="CY209" i="1"/>
  <c r="X209" i="1" s="1"/>
  <c r="CZ167" i="1"/>
  <c r="Y167" i="1" s="1"/>
  <c r="T218" i="5" s="1"/>
  <c r="CY167" i="1"/>
  <c r="X167" i="1" s="1"/>
  <c r="R218" i="5" s="1"/>
  <c r="CZ123" i="1"/>
  <c r="Y123" i="1" s="1"/>
  <c r="CY123" i="1"/>
  <c r="X123" i="1" s="1"/>
  <c r="CQ560" i="1"/>
  <c r="P560" i="1" s="1"/>
  <c r="CP560" i="1" s="1"/>
  <c r="O560" i="1" s="1"/>
  <c r="CQ555" i="1"/>
  <c r="P555" i="1" s="1"/>
  <c r="CP555" i="1" s="1"/>
  <c r="O555" i="1" s="1"/>
  <c r="CQ540" i="1"/>
  <c r="P540" i="1" s="1"/>
  <c r="CP540" i="1" s="1"/>
  <c r="O540" i="1" s="1"/>
  <c r="CQ527" i="1"/>
  <c r="P527" i="1" s="1"/>
  <c r="CP527" i="1" s="1"/>
  <c r="O527" i="1" s="1"/>
  <c r="CS525" i="1"/>
  <c r="R525" i="1" s="1"/>
  <c r="GK525" i="1" s="1"/>
  <c r="CQ523" i="1"/>
  <c r="P523" i="1" s="1"/>
  <c r="CP523" i="1" s="1"/>
  <c r="O523" i="1" s="1"/>
  <c r="CS521" i="1"/>
  <c r="R521" i="1" s="1"/>
  <c r="GK521" i="1" s="1"/>
  <c r="CQ519" i="1"/>
  <c r="P519" i="1" s="1"/>
  <c r="CP519" i="1" s="1"/>
  <c r="O519" i="1" s="1"/>
  <c r="CS517" i="1"/>
  <c r="R517" i="1" s="1"/>
  <c r="GK517" i="1" s="1"/>
  <c r="CQ516" i="1"/>
  <c r="P516" i="1" s="1"/>
  <c r="CP516" i="1" s="1"/>
  <c r="O516" i="1" s="1"/>
  <c r="CQ515" i="1"/>
  <c r="P515" i="1" s="1"/>
  <c r="CP515" i="1" s="1"/>
  <c r="O515" i="1" s="1"/>
  <c r="CS513" i="1"/>
  <c r="R513" i="1" s="1"/>
  <c r="GK513" i="1" s="1"/>
  <c r="CQ511" i="1"/>
  <c r="P511" i="1" s="1"/>
  <c r="CP511" i="1" s="1"/>
  <c r="O511" i="1" s="1"/>
  <c r="CS509" i="1"/>
  <c r="R509" i="1" s="1"/>
  <c r="GK509" i="1" s="1"/>
  <c r="U463" i="1"/>
  <c r="CC468" i="1"/>
  <c r="P373" i="1"/>
  <c r="V372" i="1"/>
  <c r="T371" i="1"/>
  <c r="W371" i="1"/>
  <c r="S371" i="1"/>
  <c r="J345" i="5" s="1"/>
  <c r="AB371" i="1"/>
  <c r="BY375" i="1"/>
  <c r="Q370" i="1"/>
  <c r="U370" i="1"/>
  <c r="K342" i="5" s="1"/>
  <c r="AB333" i="1"/>
  <c r="W253" i="1"/>
  <c r="AJ255" i="1" s="1"/>
  <c r="V250" i="1"/>
  <c r="AB209" i="1"/>
  <c r="AB167" i="1"/>
  <c r="R166" i="1"/>
  <c r="GK166" i="1" s="1"/>
  <c r="CX74" i="3"/>
  <c r="CX78" i="3"/>
  <c r="CX82" i="3"/>
  <c r="CX75" i="3"/>
  <c r="CX79" i="3"/>
  <c r="CX76" i="3"/>
  <c r="CX80" i="3"/>
  <c r="CX77" i="3"/>
  <c r="CX81" i="3"/>
  <c r="CZ504" i="1"/>
  <c r="Y504" i="1" s="1"/>
  <c r="CY504" i="1"/>
  <c r="X504" i="1" s="1"/>
  <c r="AO453" i="1"/>
  <c r="F472" i="1"/>
  <c r="CZ466" i="1"/>
  <c r="Y466" i="1" s="1"/>
  <c r="CY466" i="1"/>
  <c r="X466" i="1" s="1"/>
  <c r="CS458" i="1"/>
  <c r="AD458" i="1"/>
  <c r="AB458" i="1" s="1"/>
  <c r="AO330" i="1"/>
  <c r="F340" i="1"/>
  <c r="AS336" i="1"/>
  <c r="CB330" i="1"/>
  <c r="AQ336" i="1"/>
  <c r="CG336" i="1"/>
  <c r="AQ287" i="1"/>
  <c r="F308" i="1"/>
  <c r="CQ295" i="1"/>
  <c r="P295" i="1" s="1"/>
  <c r="AB295" i="1"/>
  <c r="BZ248" i="1"/>
  <c r="AQ255" i="1"/>
  <c r="CG255" i="1"/>
  <c r="CY211" i="1"/>
  <c r="X211" i="1" s="1"/>
  <c r="CZ211" i="1"/>
  <c r="Y211" i="1" s="1"/>
  <c r="AD507" i="1"/>
  <c r="AB507" i="1" s="1"/>
  <c r="AB466" i="1"/>
  <c r="T463" i="1"/>
  <c r="W463" i="1"/>
  <c r="S463" i="1"/>
  <c r="AB463" i="1"/>
  <c r="CP457" i="1"/>
  <c r="O457" i="1" s="1"/>
  <c r="CJ468" i="1"/>
  <c r="CY455" i="1"/>
  <c r="X455" i="1" s="1"/>
  <c r="BD375" i="1"/>
  <c r="R372" i="1"/>
  <c r="GK372" i="1" s="1"/>
  <c r="Q371" i="1"/>
  <c r="U371" i="1"/>
  <c r="K351" i="5" s="1"/>
  <c r="CB375" i="1"/>
  <c r="W370" i="1"/>
  <c r="S370" i="1"/>
  <c r="J335" i="5" s="1"/>
  <c r="AB370" i="1"/>
  <c r="T334" i="1"/>
  <c r="W334" i="1"/>
  <c r="AB334" i="1"/>
  <c r="GX332" i="1"/>
  <c r="CJ336" i="1" s="1"/>
  <c r="W332" i="1"/>
  <c r="AJ336" i="1" s="1"/>
  <c r="AF298" i="1"/>
  <c r="AI298" i="1"/>
  <c r="GX253" i="1"/>
  <c r="CJ255" i="1" s="1"/>
  <c r="S253" i="1"/>
  <c r="AB253" i="1"/>
  <c r="AI255" i="1"/>
  <c r="V166" i="1"/>
  <c r="P166" i="1"/>
  <c r="Q165" i="1"/>
  <c r="CX70" i="3"/>
  <c r="CX71" i="3"/>
  <c r="CX72" i="3"/>
  <c r="V216" i="1"/>
  <c r="AI207" i="1"/>
  <c r="CQ214" i="1"/>
  <c r="P214" i="1" s="1"/>
  <c r="AB214" i="1"/>
  <c r="CS162" i="1"/>
  <c r="AD162" i="1"/>
  <c r="AB162" i="1" s="1"/>
  <c r="CZ124" i="1"/>
  <c r="Y124" i="1" s="1"/>
  <c r="CY124" i="1"/>
  <c r="X124" i="1" s="1"/>
  <c r="CR121" i="1"/>
  <c r="Q121" i="1" s="1"/>
  <c r="CP121" i="1" s="1"/>
  <c r="O121" i="1" s="1"/>
  <c r="AB121" i="1"/>
  <c r="BB468" i="1"/>
  <c r="AP468" i="1"/>
  <c r="CL453" i="1"/>
  <c r="BB375" i="1"/>
  <c r="AT375" i="1"/>
  <c r="CL368" i="1"/>
  <c r="BB336" i="1"/>
  <c r="AT336" i="1"/>
  <c r="BX330" i="1"/>
  <c r="BD298" i="1"/>
  <c r="CL287" i="1"/>
  <c r="BZ287" i="1"/>
  <c r="BB255" i="1"/>
  <c r="AT255" i="1"/>
  <c r="T253" i="1"/>
  <c r="AG255" i="1" s="1"/>
  <c r="P253" i="1"/>
  <c r="AC255" i="1" s="1"/>
  <c r="U253" i="1"/>
  <c r="AH255" i="1" s="1"/>
  <c r="AJ216" i="1"/>
  <c r="AH216" i="1"/>
  <c r="AB171" i="1"/>
  <c r="BZ175" i="1"/>
  <c r="W165" i="1"/>
  <c r="BC128" i="1"/>
  <c r="AB125" i="1"/>
  <c r="AB124" i="1"/>
  <c r="CP123" i="1"/>
  <c r="O123" i="1" s="1"/>
  <c r="CX62" i="3"/>
  <c r="CX63" i="3"/>
  <c r="CX60" i="3"/>
  <c r="CX61" i="3"/>
  <c r="CX54" i="3"/>
  <c r="CX58" i="3"/>
  <c r="CX55" i="3"/>
  <c r="CX52" i="3"/>
  <c r="CX56" i="3"/>
  <c r="CX53" i="3"/>
  <c r="CX57" i="3"/>
  <c r="CQ250" i="1"/>
  <c r="AB250" i="1"/>
  <c r="CG207" i="1"/>
  <c r="AX216" i="1"/>
  <c r="CS125" i="1"/>
  <c r="R125" i="1" s="1"/>
  <c r="AD125" i="1"/>
  <c r="AD120" i="1"/>
  <c r="AB120" i="1" s="1"/>
  <c r="CS120" i="1"/>
  <c r="CQ505" i="1"/>
  <c r="P505" i="1" s="1"/>
  <c r="CP505" i="1" s="1"/>
  <c r="O505" i="1" s="1"/>
  <c r="CS503" i="1"/>
  <c r="CS465" i="1"/>
  <c r="R465" i="1" s="1"/>
  <c r="GK465" i="1" s="1"/>
  <c r="CS461" i="1"/>
  <c r="CQ458" i="1"/>
  <c r="P458" i="1" s="1"/>
  <c r="CS456" i="1"/>
  <c r="CQ333" i="1"/>
  <c r="P333" i="1" s="1"/>
  <c r="CS295" i="1"/>
  <c r="CS294" i="1"/>
  <c r="R294" i="1" s="1"/>
  <c r="GK294" i="1" s="1"/>
  <c r="I294" i="1"/>
  <c r="S294" i="1" s="1"/>
  <c r="CQ293" i="1"/>
  <c r="P293" i="1" s="1"/>
  <c r="CP293" i="1" s="1"/>
  <c r="O293" i="1" s="1"/>
  <c r="CQ292" i="1"/>
  <c r="P292" i="1" s="1"/>
  <c r="CP292" i="1" s="1"/>
  <c r="O292" i="1" s="1"/>
  <c r="J291" i="5" s="1"/>
  <c r="CS291" i="1"/>
  <c r="CS290" i="1"/>
  <c r="I290" i="1"/>
  <c r="Q290" i="1" s="1"/>
  <c r="BC255" i="1"/>
  <c r="Q253" i="1"/>
  <c r="AD255" i="1" s="1"/>
  <c r="AO216" i="1"/>
  <c r="AG216" i="1"/>
  <c r="BD175" i="1"/>
  <c r="R169" i="1"/>
  <c r="T166" i="1"/>
  <c r="W166" i="1"/>
  <c r="S166" i="1"/>
  <c r="AB166" i="1"/>
  <c r="CB175" i="1"/>
  <c r="T163" i="1"/>
  <c r="W163" i="1"/>
  <c r="S163" i="1"/>
  <c r="J197" i="5" s="1"/>
  <c r="AB163" i="1"/>
  <c r="CP124" i="1"/>
  <c r="O124" i="1" s="1"/>
  <c r="CS213" i="1"/>
  <c r="AD213" i="1"/>
  <c r="AB213" i="1" s="1"/>
  <c r="CS212" i="1"/>
  <c r="R212" i="1" s="1"/>
  <c r="GK212" i="1" s="1"/>
  <c r="AD212" i="1"/>
  <c r="AB212" i="1" s="1"/>
  <c r="CQ211" i="1"/>
  <c r="P211" i="1" s="1"/>
  <c r="AB211" i="1"/>
  <c r="CX33" i="3"/>
  <c r="I168" i="1"/>
  <c r="I169" i="1"/>
  <c r="W169" i="1" s="1"/>
  <c r="CX31" i="3"/>
  <c r="CX32" i="3"/>
  <c r="I162" i="1"/>
  <c r="I165" i="1"/>
  <c r="S211" i="5" s="1"/>
  <c r="CZ122" i="1"/>
  <c r="Y122" i="1" s="1"/>
  <c r="CY122" i="1"/>
  <c r="X122" i="1" s="1"/>
  <c r="AS255" i="1"/>
  <c r="AO255" i="1"/>
  <c r="CP209" i="1"/>
  <c r="O209" i="1" s="1"/>
  <c r="BX207" i="1"/>
  <c r="AB173" i="1"/>
  <c r="AB170" i="1"/>
  <c r="V169" i="1"/>
  <c r="R168" i="1"/>
  <c r="GK168" i="1" s="1"/>
  <c r="Q166" i="1"/>
  <c r="U166" i="1"/>
  <c r="R165" i="1"/>
  <c r="GK165" i="1" s="1"/>
  <c r="BY175" i="1"/>
  <c r="Q163" i="1"/>
  <c r="U163" i="1"/>
  <c r="K204" i="5" s="1"/>
  <c r="CZ125" i="1"/>
  <c r="Y125" i="1" s="1"/>
  <c r="CR125" i="1"/>
  <c r="Q125" i="1" s="1"/>
  <c r="AB122" i="1"/>
  <c r="CX46" i="3"/>
  <c r="CX50" i="3"/>
  <c r="CX47" i="3"/>
  <c r="CX51" i="3"/>
  <c r="CX48" i="3"/>
  <c r="CX45" i="3"/>
  <c r="CX49" i="3"/>
  <c r="I117" i="1"/>
  <c r="CZ112" i="1"/>
  <c r="Y112" i="1" s="1"/>
  <c r="CY112" i="1"/>
  <c r="X112" i="1" s="1"/>
  <c r="CZ107" i="1"/>
  <c r="Y107" i="1" s="1"/>
  <c r="CY107" i="1"/>
  <c r="X107" i="1" s="1"/>
  <c r="CZ106" i="1"/>
  <c r="Y106" i="1" s="1"/>
  <c r="CY106" i="1"/>
  <c r="X106" i="1" s="1"/>
  <c r="GM102" i="1"/>
  <c r="CZ101" i="1"/>
  <c r="Y101" i="1" s="1"/>
  <c r="T129" i="5" s="1"/>
  <c r="J134" i="5" s="1"/>
  <c r="CY101" i="1"/>
  <c r="X101" i="1" s="1"/>
  <c r="R129" i="5" s="1"/>
  <c r="J133" i="5" s="1"/>
  <c r="CY57" i="1"/>
  <c r="X57" i="1" s="1"/>
  <c r="R83" i="5" s="1"/>
  <c r="J86" i="5" s="1"/>
  <c r="I89" i="5" s="1"/>
  <c r="K89" i="5" s="1"/>
  <c r="CZ57" i="1"/>
  <c r="Y57" i="1" s="1"/>
  <c r="T83" i="5" s="1"/>
  <c r="J87" i="5" s="1"/>
  <c r="CZ41" i="1"/>
  <c r="Y41" i="1" s="1"/>
  <c r="CY41" i="1"/>
  <c r="X41" i="1" s="1"/>
  <c r="CZ37" i="1"/>
  <c r="Y37" i="1" s="1"/>
  <c r="CY37" i="1"/>
  <c r="X37" i="1" s="1"/>
  <c r="I251" i="1"/>
  <c r="T251" i="1" s="1"/>
  <c r="BC216" i="1"/>
  <c r="AQ216" i="1"/>
  <c r="BB175" i="1"/>
  <c r="AT175" i="1"/>
  <c r="AO128" i="1"/>
  <c r="CP57" i="1"/>
  <c r="O57" i="1" s="1"/>
  <c r="CX38" i="3"/>
  <c r="CX42" i="3"/>
  <c r="CX39" i="3"/>
  <c r="CX43" i="3"/>
  <c r="CX40" i="3"/>
  <c r="CX37" i="3"/>
  <c r="CX41" i="3"/>
  <c r="CY115" i="1"/>
  <c r="X115" i="1" s="1"/>
  <c r="R147" i="5" s="1"/>
  <c r="J151" i="5" s="1"/>
  <c r="CZ115" i="1"/>
  <c r="Y115" i="1" s="1"/>
  <c r="T147" i="5" s="1"/>
  <c r="J152" i="5" s="1"/>
  <c r="CZ113" i="1"/>
  <c r="Y113" i="1" s="1"/>
  <c r="CY113" i="1"/>
  <c r="X113" i="1" s="1"/>
  <c r="CY110" i="1"/>
  <c r="X110" i="1" s="1"/>
  <c r="CZ110" i="1"/>
  <c r="Y110" i="1" s="1"/>
  <c r="CZ108" i="1"/>
  <c r="Y108" i="1" s="1"/>
  <c r="CY108" i="1"/>
  <c r="X108" i="1" s="1"/>
  <c r="CZ105" i="1"/>
  <c r="Y105" i="1" s="1"/>
  <c r="CY105" i="1"/>
  <c r="X105" i="1" s="1"/>
  <c r="CZ104" i="1"/>
  <c r="Y104" i="1" s="1"/>
  <c r="CY104" i="1"/>
  <c r="X104" i="1" s="1"/>
  <c r="CZ100" i="1"/>
  <c r="Y100" i="1" s="1"/>
  <c r="T120" i="5" s="1"/>
  <c r="J125" i="5" s="1"/>
  <c r="CY100" i="1"/>
  <c r="X100" i="1" s="1"/>
  <c r="R120" i="5" s="1"/>
  <c r="J124" i="5" s="1"/>
  <c r="CZ45" i="1"/>
  <c r="Y45" i="1" s="1"/>
  <c r="CY45" i="1"/>
  <c r="X45" i="1" s="1"/>
  <c r="CZ28" i="1"/>
  <c r="Y28" i="1" s="1"/>
  <c r="CY28" i="1"/>
  <c r="X28" i="1" s="1"/>
  <c r="CS250" i="1"/>
  <c r="I250" i="1"/>
  <c r="CI216" i="1"/>
  <c r="BD216" i="1"/>
  <c r="CS214" i="1"/>
  <c r="R214" i="1" s="1"/>
  <c r="GK214" i="1" s="1"/>
  <c r="CQ213" i="1"/>
  <c r="P213" i="1" s="1"/>
  <c r="J259" i="5" s="1"/>
  <c r="CQ212" i="1"/>
  <c r="P212" i="1" s="1"/>
  <c r="CP212" i="1" s="1"/>
  <c r="O212" i="1" s="1"/>
  <c r="CS211" i="1"/>
  <c r="R211" i="1" s="1"/>
  <c r="GK211" i="1" s="1"/>
  <c r="CS210" i="1"/>
  <c r="I210" i="1"/>
  <c r="BC175" i="1"/>
  <c r="CQ162" i="1"/>
  <c r="P162" i="1" s="1"/>
  <c r="J190" i="5" s="1"/>
  <c r="BB128" i="1"/>
  <c r="AP128" i="1"/>
  <c r="CQ125" i="1"/>
  <c r="P125" i="1" s="1"/>
  <c r="P120" i="1"/>
  <c r="T117" i="1"/>
  <c r="CP115" i="1"/>
  <c r="O115" i="1" s="1"/>
  <c r="CP112" i="1"/>
  <c r="O112" i="1" s="1"/>
  <c r="CP110" i="1"/>
  <c r="O110" i="1" s="1"/>
  <c r="CP101" i="1"/>
  <c r="O101" i="1" s="1"/>
  <c r="CZ111" i="1"/>
  <c r="Y111" i="1" s="1"/>
  <c r="CY111" i="1"/>
  <c r="X111" i="1" s="1"/>
  <c r="CZ102" i="1"/>
  <c r="Y102" i="1" s="1"/>
  <c r="CY102" i="1"/>
  <c r="X102" i="1" s="1"/>
  <c r="GP53" i="1"/>
  <c r="CZ48" i="1"/>
  <c r="Y48" i="1" s="1"/>
  <c r="CY48" i="1"/>
  <c r="X48" i="1" s="1"/>
  <c r="BB216" i="1"/>
  <c r="AP216" i="1"/>
  <c r="AO175" i="1"/>
  <c r="CI128" i="1"/>
  <c r="BD128" i="1"/>
  <c r="R117" i="1"/>
  <c r="GK117" i="1" s="1"/>
  <c r="CP109" i="1"/>
  <c r="O109" i="1" s="1"/>
  <c r="AB107" i="1"/>
  <c r="AB106" i="1"/>
  <c r="CP103" i="1"/>
  <c r="O103" i="1" s="1"/>
  <c r="CP99" i="1"/>
  <c r="O99" i="1" s="1"/>
  <c r="CX30" i="3"/>
  <c r="CX27" i="3"/>
  <c r="CX28" i="3"/>
  <c r="CZ51" i="1"/>
  <c r="Y51" i="1" s="1"/>
  <c r="T41" i="5" s="1"/>
  <c r="J46" i="5" s="1"/>
  <c r="AD47" i="1"/>
  <c r="CS47" i="1"/>
  <c r="R47" i="1" s="1"/>
  <c r="GK47" i="1" s="1"/>
  <c r="CQ45" i="1"/>
  <c r="P45" i="1" s="1"/>
  <c r="CP45" i="1" s="1"/>
  <c r="O45" i="1" s="1"/>
  <c r="AB41" i="1"/>
  <c r="CQ41" i="1"/>
  <c r="P41" i="1" s="1"/>
  <c r="CP41" i="1" s="1"/>
  <c r="O41" i="1" s="1"/>
  <c r="CZ40" i="1"/>
  <c r="Y40" i="1" s="1"/>
  <c r="CY40" i="1"/>
  <c r="X40" i="1" s="1"/>
  <c r="AD29" i="1"/>
  <c r="AB29" i="1" s="1"/>
  <c r="CS29" i="1"/>
  <c r="R29" i="1" s="1"/>
  <c r="GK29" i="1" s="1"/>
  <c r="CS107" i="1"/>
  <c r="R107" i="1" s="1"/>
  <c r="GK107" i="1" s="1"/>
  <c r="CQ106" i="1"/>
  <c r="P106" i="1" s="1"/>
  <c r="CS105" i="1"/>
  <c r="R105" i="1" s="1"/>
  <c r="GK105" i="1" s="1"/>
  <c r="CQ104" i="1"/>
  <c r="P104" i="1" s="1"/>
  <c r="CP104" i="1" s="1"/>
  <c r="O104" i="1" s="1"/>
  <c r="AO65" i="1"/>
  <c r="AB61" i="1"/>
  <c r="AB58" i="1"/>
  <c r="I58" i="1"/>
  <c r="AB51" i="1"/>
  <c r="CP49" i="1"/>
  <c r="O49" i="1" s="1"/>
  <c r="CP43" i="1"/>
  <c r="O43" i="1" s="1"/>
  <c r="CX6" i="3"/>
  <c r="CX7" i="3"/>
  <c r="CX8" i="3"/>
  <c r="CX2" i="3"/>
  <c r="CX3" i="3"/>
  <c r="CX4" i="3"/>
  <c r="AB48" i="1"/>
  <c r="CQ48" i="1"/>
  <c r="P48" i="1" s="1"/>
  <c r="CP48" i="1" s="1"/>
  <c r="O48" i="1" s="1"/>
  <c r="CQ117" i="1"/>
  <c r="P117" i="1" s="1"/>
  <c r="AD117" i="1"/>
  <c r="AB117" i="1" s="1"/>
  <c r="CS115" i="1"/>
  <c r="AB115" i="1"/>
  <c r="CQ113" i="1"/>
  <c r="P113" i="1" s="1"/>
  <c r="AD113" i="1"/>
  <c r="AB113" i="1" s="1"/>
  <c r="CS110" i="1"/>
  <c r="R110" i="1" s="1"/>
  <c r="GK110" i="1" s="1"/>
  <c r="AB110" i="1"/>
  <c r="AD102" i="1"/>
  <c r="AB102" i="1" s="1"/>
  <c r="AD101" i="1"/>
  <c r="AB101" i="1" s="1"/>
  <c r="AD100" i="1"/>
  <c r="AB100" i="1" s="1"/>
  <c r="AD99" i="1"/>
  <c r="AB99" i="1" s="1"/>
  <c r="BB65" i="1"/>
  <c r="AT65" i="1"/>
  <c r="AP65" i="1"/>
  <c r="CQ63" i="1"/>
  <c r="P63" i="1" s="1"/>
  <c r="CQ59" i="1"/>
  <c r="AD59" i="1"/>
  <c r="AB59" i="1" s="1"/>
  <c r="CS57" i="1"/>
  <c r="AB57" i="1"/>
  <c r="CP54" i="1"/>
  <c r="O54" i="1" s="1"/>
  <c r="CY53" i="1"/>
  <c r="X53" i="1" s="1"/>
  <c r="GM53" i="1" s="1"/>
  <c r="Q40" i="1"/>
  <c r="CP40" i="1" s="1"/>
  <c r="O40" i="1" s="1"/>
  <c r="T40" i="1"/>
  <c r="AB38" i="1"/>
  <c r="CP36" i="1"/>
  <c r="O36" i="1" s="1"/>
  <c r="CZ35" i="1"/>
  <c r="Y35" i="1" s="1"/>
  <c r="CY34" i="1"/>
  <c r="X34" i="1" s="1"/>
  <c r="T33" i="1"/>
  <c r="R31" i="1"/>
  <c r="GK31" i="1" s="1"/>
  <c r="Q30" i="1"/>
  <c r="T30" i="1"/>
  <c r="CX29" i="3"/>
  <c r="CX13" i="3"/>
  <c r="AD54" i="1"/>
  <c r="AB54" i="1" s="1"/>
  <c r="CS54" i="1"/>
  <c r="AB52" i="1"/>
  <c r="CQ52" i="1"/>
  <c r="P52" i="1" s="1"/>
  <c r="AD43" i="1"/>
  <c r="AB43" i="1" s="1"/>
  <c r="CS43" i="1"/>
  <c r="R43" i="1" s="1"/>
  <c r="GK43" i="1" s="1"/>
  <c r="AD39" i="1"/>
  <c r="AB39" i="1" s="1"/>
  <c r="CS39" i="1"/>
  <c r="R39" i="1" s="1"/>
  <c r="GK39" i="1" s="1"/>
  <c r="AB28" i="1"/>
  <c r="CQ28" i="1"/>
  <c r="P28" i="1" s="1"/>
  <c r="CP28" i="1" s="1"/>
  <c r="O28" i="1" s="1"/>
  <c r="AB114" i="1"/>
  <c r="BC65" i="1"/>
  <c r="AQ65" i="1"/>
  <c r="T55" i="1"/>
  <c r="W55" i="1"/>
  <c r="S55" i="1"/>
  <c r="J66" i="5" s="1"/>
  <c r="CR47" i="1"/>
  <c r="Q47" i="1" s="1"/>
  <c r="CP47" i="1" s="1"/>
  <c r="O47" i="1" s="1"/>
  <c r="T44" i="1"/>
  <c r="W44" i="1"/>
  <c r="S44" i="1"/>
  <c r="CP38" i="1"/>
  <c r="O38" i="1" s="1"/>
  <c r="CP32" i="1"/>
  <c r="O32" i="1" s="1"/>
  <c r="CX26" i="3"/>
  <c r="CX24" i="3"/>
  <c r="CX22" i="3"/>
  <c r="CX19" i="3"/>
  <c r="CX23" i="3"/>
  <c r="CX20" i="3"/>
  <c r="CX14" i="3"/>
  <c r="CX18" i="3"/>
  <c r="CX15" i="3"/>
  <c r="CX16" i="3"/>
  <c r="CX10" i="3"/>
  <c r="CX11" i="3"/>
  <c r="CX12" i="3"/>
  <c r="AD50" i="1"/>
  <c r="AB50" i="1" s="1"/>
  <c r="CS50" i="1"/>
  <c r="AB37" i="1"/>
  <c r="CQ37" i="1"/>
  <c r="P37" i="1" s="1"/>
  <c r="CP37" i="1" s="1"/>
  <c r="O37" i="1" s="1"/>
  <c r="CZ36" i="1"/>
  <c r="Y36" i="1" s="1"/>
  <c r="CY36" i="1"/>
  <c r="X36" i="1" s="1"/>
  <c r="AD35" i="1"/>
  <c r="AB35" i="1" s="1"/>
  <c r="CS35" i="1"/>
  <c r="R35" i="1" s="1"/>
  <c r="GK35" i="1" s="1"/>
  <c r="AB31" i="1"/>
  <c r="CQ31" i="1"/>
  <c r="P31" i="1" s="1"/>
  <c r="CP31" i="1" s="1"/>
  <c r="O31" i="1" s="1"/>
  <c r="CI65" i="1"/>
  <c r="BD65" i="1"/>
  <c r="U55" i="1"/>
  <c r="K72" i="5" s="1"/>
  <c r="P55" i="1"/>
  <c r="AB55" i="1"/>
  <c r="U44" i="1"/>
  <c r="P44" i="1"/>
  <c r="AB44" i="1"/>
  <c r="U40" i="1"/>
  <c r="CR29" i="1"/>
  <c r="Q29" i="1" s="1"/>
  <c r="CP29" i="1" s="1"/>
  <c r="O29" i="1" s="1"/>
  <c r="CX21" i="3"/>
  <c r="CX5" i="3"/>
  <c r="AB47" i="1"/>
  <c r="CI248" i="1" l="1"/>
  <c r="AZ255" i="1"/>
  <c r="J222" i="5"/>
  <c r="CP167" i="1"/>
  <c r="O167" i="1" s="1"/>
  <c r="J207" i="5"/>
  <c r="CP164" i="1"/>
  <c r="O164" i="1" s="1"/>
  <c r="GM164" i="1" s="1"/>
  <c r="CZ164" i="1"/>
  <c r="Y164" i="1" s="1"/>
  <c r="T206" i="5" s="1"/>
  <c r="CY164" i="1"/>
  <c r="X164" i="1" s="1"/>
  <c r="R206" i="5" s="1"/>
  <c r="I119" i="1"/>
  <c r="D37" i="6"/>
  <c r="S161" i="5"/>
  <c r="E161" i="5"/>
  <c r="Q161" i="5"/>
  <c r="U161" i="5"/>
  <c r="W117" i="1"/>
  <c r="GX117" i="1"/>
  <c r="V117" i="1"/>
  <c r="U117" i="1"/>
  <c r="K165" i="5" s="1"/>
  <c r="GM455" i="1"/>
  <c r="CP373" i="1"/>
  <c r="O373" i="1" s="1"/>
  <c r="J348" i="5" s="1"/>
  <c r="CZ114" i="1"/>
  <c r="Y114" i="1" s="1"/>
  <c r="GM114" i="1" s="1"/>
  <c r="BD248" i="1"/>
  <c r="F280" i="1"/>
  <c r="K58" i="5"/>
  <c r="P58" i="5"/>
  <c r="V425" i="5"/>
  <c r="R637" i="1"/>
  <c r="GK637" i="1" s="1"/>
  <c r="R363" i="5"/>
  <c r="AX65" i="1"/>
  <c r="CG26" i="1"/>
  <c r="P386" i="5"/>
  <c r="K386" i="5"/>
  <c r="GP524" i="1"/>
  <c r="R50" i="1"/>
  <c r="V35" i="5"/>
  <c r="CP461" i="1"/>
  <c r="O461" i="1" s="1"/>
  <c r="GP461" i="1" s="1"/>
  <c r="J376" i="5"/>
  <c r="I377" i="5" s="1"/>
  <c r="CY99" i="1"/>
  <c r="X99" i="1" s="1"/>
  <c r="GM99" i="1" s="1"/>
  <c r="CP507" i="1"/>
  <c r="O507" i="1" s="1"/>
  <c r="GM507" i="1" s="1"/>
  <c r="J389" i="5"/>
  <c r="I390" i="5" s="1"/>
  <c r="D66" i="6"/>
  <c r="E334" i="5"/>
  <c r="R370" i="1"/>
  <c r="J337" i="5" s="1"/>
  <c r="S334" i="5"/>
  <c r="P370" i="1"/>
  <c r="J338" i="5" s="1"/>
  <c r="I343" i="5" s="1"/>
  <c r="Q334" i="5"/>
  <c r="T370" i="1"/>
  <c r="AG375" i="1" s="1"/>
  <c r="AG368" i="1" s="1"/>
  <c r="CP30" i="1"/>
  <c r="O30" i="1" s="1"/>
  <c r="CZ30" i="1"/>
  <c r="Y30" i="1" s="1"/>
  <c r="CY30" i="1"/>
  <c r="X30" i="1" s="1"/>
  <c r="GP126" i="1"/>
  <c r="GM126" i="1"/>
  <c r="AD375" i="1"/>
  <c r="Q375" i="1" s="1"/>
  <c r="J336" i="5"/>
  <c r="GM46" i="1"/>
  <c r="GP46" i="1"/>
  <c r="AF566" i="1"/>
  <c r="CZ502" i="1"/>
  <c r="Y502" i="1" s="1"/>
  <c r="T383" i="5" s="1"/>
  <c r="CP502" i="1"/>
  <c r="O502" i="1" s="1"/>
  <c r="GM502" i="1" s="1"/>
  <c r="CY502" i="1"/>
  <c r="X502" i="1" s="1"/>
  <c r="R383" i="5" s="1"/>
  <c r="CY50" i="1"/>
  <c r="X50" i="1" s="1"/>
  <c r="R35" i="5" s="1"/>
  <c r="J37" i="5" s="1"/>
  <c r="J36" i="5"/>
  <c r="CP50" i="1"/>
  <c r="O50" i="1" s="1"/>
  <c r="CZ50" i="1"/>
  <c r="Y50" i="1" s="1"/>
  <c r="T35" i="5" s="1"/>
  <c r="J38" i="5" s="1"/>
  <c r="Q117" i="1"/>
  <c r="S210" i="1"/>
  <c r="Q210" i="1"/>
  <c r="T210" i="1"/>
  <c r="GX250" i="1"/>
  <c r="Q250" i="1"/>
  <c r="W250" i="1"/>
  <c r="R461" i="1"/>
  <c r="GK461" i="1" s="1"/>
  <c r="V376" i="5"/>
  <c r="P464" i="1"/>
  <c r="Q464" i="1"/>
  <c r="CP464" i="1" s="1"/>
  <c r="O464" i="1" s="1"/>
  <c r="R464" i="1"/>
  <c r="GK464" i="1" s="1"/>
  <c r="V464" i="1"/>
  <c r="E348" i="5"/>
  <c r="D69" i="6"/>
  <c r="Q373" i="1"/>
  <c r="V373" i="1"/>
  <c r="U373" i="1"/>
  <c r="AH375" i="1" s="1"/>
  <c r="T373" i="1"/>
  <c r="S348" i="5"/>
  <c r="Q348" i="5"/>
  <c r="I60" i="1"/>
  <c r="S60" i="1" s="1"/>
  <c r="D25" i="6"/>
  <c r="E90" i="5"/>
  <c r="Q90" i="5"/>
  <c r="V90" i="5"/>
  <c r="J93" i="5" s="1"/>
  <c r="U90" i="5"/>
  <c r="S90" i="5"/>
  <c r="AP336" i="1"/>
  <c r="F345" i="1" s="1"/>
  <c r="CI336" i="1"/>
  <c r="BY330" i="1"/>
  <c r="D40" i="6"/>
  <c r="E175" i="5"/>
  <c r="GX120" i="1"/>
  <c r="U175" i="5"/>
  <c r="T120" i="1"/>
  <c r="S175" i="5"/>
  <c r="U120" i="1"/>
  <c r="Q175" i="5"/>
  <c r="Q120" i="1"/>
  <c r="J176" i="5" s="1"/>
  <c r="I178" i="5" s="1"/>
  <c r="P178" i="5" s="1"/>
  <c r="W120" i="1"/>
  <c r="I116" i="1"/>
  <c r="V120" i="1"/>
  <c r="J256" i="5"/>
  <c r="AF216" i="1"/>
  <c r="CY213" i="1"/>
  <c r="X213" i="1" s="1"/>
  <c r="R255" i="5" s="1"/>
  <c r="J260" i="5" s="1"/>
  <c r="CZ213" i="1"/>
  <c r="Y213" i="1" s="1"/>
  <c r="T255" i="5" s="1"/>
  <c r="J261" i="5" s="1"/>
  <c r="AO368" i="1"/>
  <c r="F379" i="1"/>
  <c r="AJ639" i="1"/>
  <c r="AP248" i="1"/>
  <c r="F264" i="1"/>
  <c r="R57" i="1"/>
  <c r="GK57" i="1" s="1"/>
  <c r="GP57" i="1" s="1"/>
  <c r="V83" i="5"/>
  <c r="R115" i="1"/>
  <c r="J150" i="5" s="1"/>
  <c r="V147" i="5"/>
  <c r="J153" i="5" s="1"/>
  <c r="I155" i="5" s="1"/>
  <c r="V210" i="1"/>
  <c r="U334" i="5"/>
  <c r="K444" i="5"/>
  <c r="AH678" i="1"/>
  <c r="AH671" i="1" s="1"/>
  <c r="Q119" i="1"/>
  <c r="J172" i="5" s="1"/>
  <c r="I174" i="5" s="1"/>
  <c r="P174" i="5" s="1"/>
  <c r="CZ252" i="1"/>
  <c r="Y252" i="1" s="1"/>
  <c r="T270" i="5" s="1"/>
  <c r="J271" i="5"/>
  <c r="CY252" i="1"/>
  <c r="X252" i="1" s="1"/>
  <c r="R270" i="5" s="1"/>
  <c r="CP252" i="1"/>
  <c r="O252" i="1" s="1"/>
  <c r="CY56" i="1"/>
  <c r="X56" i="1" s="1"/>
  <c r="R74" i="5" s="1"/>
  <c r="J78" i="5" s="1"/>
  <c r="CZ56" i="1"/>
  <c r="Y56" i="1" s="1"/>
  <c r="T74" i="5" s="1"/>
  <c r="J79" i="5" s="1"/>
  <c r="J75" i="5"/>
  <c r="I82" i="5" s="1"/>
  <c r="P82" i="5" s="1"/>
  <c r="CP56" i="1"/>
  <c r="O56" i="1" s="1"/>
  <c r="D63" i="6"/>
  <c r="E309" i="5"/>
  <c r="T332" i="1"/>
  <c r="AG336" i="1" s="1"/>
  <c r="Q309" i="5"/>
  <c r="R332" i="1"/>
  <c r="Q332" i="1"/>
  <c r="V309" i="5"/>
  <c r="J316" i="5" s="1"/>
  <c r="U332" i="1"/>
  <c r="U309" i="5"/>
  <c r="S309" i="5"/>
  <c r="GM508" i="1"/>
  <c r="GP508" i="1"/>
  <c r="V95" i="5"/>
  <c r="R59" i="1"/>
  <c r="GK59" i="1" s="1"/>
  <c r="R54" i="1"/>
  <c r="GK54" i="1" s="1"/>
  <c r="GP54" i="1" s="1"/>
  <c r="V59" i="5"/>
  <c r="U168" i="1"/>
  <c r="D49" i="6"/>
  <c r="E223" i="5"/>
  <c r="S223" i="5"/>
  <c r="Q223" i="5"/>
  <c r="CP55" i="1"/>
  <c r="O55" i="1" s="1"/>
  <c r="CP113" i="1"/>
  <c r="O113" i="1" s="1"/>
  <c r="GM113" i="1" s="1"/>
  <c r="CP106" i="1"/>
  <c r="O106" i="1" s="1"/>
  <c r="CY51" i="1"/>
  <c r="X51" i="1" s="1"/>
  <c r="R41" i="5" s="1"/>
  <c r="J45" i="5" s="1"/>
  <c r="I49" i="5" s="1"/>
  <c r="GM108" i="1"/>
  <c r="S162" i="1"/>
  <c r="J187" i="5" s="1"/>
  <c r="D43" i="6"/>
  <c r="E186" i="5"/>
  <c r="R291" i="1"/>
  <c r="J289" i="5" s="1"/>
  <c r="V286" i="5"/>
  <c r="J294" i="5" s="1"/>
  <c r="CP458" i="1"/>
  <c r="O458" i="1" s="1"/>
  <c r="J365" i="5"/>
  <c r="I366" i="5" s="1"/>
  <c r="CY214" i="1"/>
  <c r="X214" i="1" s="1"/>
  <c r="CP530" i="1"/>
  <c r="O530" i="1" s="1"/>
  <c r="GP530" i="1" s="1"/>
  <c r="GM541" i="1"/>
  <c r="T403" i="5"/>
  <c r="J409" i="5" s="1"/>
  <c r="CZ635" i="1"/>
  <c r="Y635" i="1" s="1"/>
  <c r="T413" i="5" s="1"/>
  <c r="J417" i="5" s="1"/>
  <c r="GK163" i="1"/>
  <c r="J199" i="5"/>
  <c r="AD468" i="1"/>
  <c r="GK103" i="1"/>
  <c r="J141" i="5"/>
  <c r="R675" i="1"/>
  <c r="GK675" i="1" s="1"/>
  <c r="GP675" i="1" s="1"/>
  <c r="V453" i="5"/>
  <c r="CY506" i="1"/>
  <c r="X506" i="1" s="1"/>
  <c r="R387" i="5" s="1"/>
  <c r="CZ506" i="1"/>
  <c r="Y506" i="1" s="1"/>
  <c r="T387" i="5" s="1"/>
  <c r="E425" i="5"/>
  <c r="D88" i="6"/>
  <c r="CP42" i="1"/>
  <c r="O42" i="1" s="1"/>
  <c r="GK51" i="1"/>
  <c r="GM51" i="1" s="1"/>
  <c r="J44" i="5"/>
  <c r="GP102" i="1"/>
  <c r="R210" i="1"/>
  <c r="GK210" i="1" s="1"/>
  <c r="R250" i="1"/>
  <c r="GK250" i="1" s="1"/>
  <c r="T169" i="1"/>
  <c r="D50" i="6"/>
  <c r="S229" i="5"/>
  <c r="Q229" i="5"/>
  <c r="E229" i="5"/>
  <c r="R213" i="1"/>
  <c r="J258" i="5" s="1"/>
  <c r="V255" i="5"/>
  <c r="J262" i="5" s="1"/>
  <c r="R503" i="1"/>
  <c r="V385" i="5"/>
  <c r="V186" i="5"/>
  <c r="J193" i="5" s="1"/>
  <c r="R292" i="1"/>
  <c r="GK292" i="1" s="1"/>
  <c r="V291" i="5"/>
  <c r="CP544" i="1"/>
  <c r="O544" i="1" s="1"/>
  <c r="GP544" i="1" s="1"/>
  <c r="AF468" i="1"/>
  <c r="CP558" i="1"/>
  <c r="O558" i="1" s="1"/>
  <c r="R635" i="1"/>
  <c r="GK635" i="1" s="1"/>
  <c r="V413" i="5"/>
  <c r="P372" i="1"/>
  <c r="AC375" i="1" s="1"/>
  <c r="D68" i="6"/>
  <c r="E347" i="5"/>
  <c r="Q347" i="5"/>
  <c r="CY675" i="1"/>
  <c r="X675" i="1" s="1"/>
  <c r="R453" i="5" s="1"/>
  <c r="J456" i="5" s="1"/>
  <c r="I452" i="5"/>
  <c r="Q637" i="1"/>
  <c r="AD639" i="1" s="1"/>
  <c r="BZ671" i="1"/>
  <c r="K364" i="5"/>
  <c r="V223" i="5"/>
  <c r="J226" i="5" s="1"/>
  <c r="R674" i="1"/>
  <c r="GK674" i="1" s="1"/>
  <c r="GP674" i="1" s="1"/>
  <c r="V446" i="5"/>
  <c r="S62" i="1"/>
  <c r="V171" i="5"/>
  <c r="CZ460" i="1"/>
  <c r="Y460" i="1" s="1"/>
  <c r="T369" i="5" s="1"/>
  <c r="J373" i="5" s="1"/>
  <c r="J370" i="5"/>
  <c r="CY460" i="1"/>
  <c r="X460" i="1" s="1"/>
  <c r="R369" i="5" s="1"/>
  <c r="J372" i="5" s="1"/>
  <c r="R507" i="1"/>
  <c r="GK507" i="1" s="1"/>
  <c r="V389" i="5"/>
  <c r="S637" i="1"/>
  <c r="AF639" i="1" s="1"/>
  <c r="Q289" i="1"/>
  <c r="AD216" i="1"/>
  <c r="J257" i="5"/>
  <c r="U211" i="5"/>
  <c r="I459" i="5"/>
  <c r="V161" i="5"/>
  <c r="R636" i="1"/>
  <c r="V420" i="5"/>
  <c r="J428" i="5" s="1"/>
  <c r="CP111" i="1"/>
  <c r="O111" i="1" s="1"/>
  <c r="S120" i="1"/>
  <c r="R371" i="1"/>
  <c r="GK371" i="1" s="1"/>
  <c r="V344" i="5"/>
  <c r="CP63" i="1"/>
  <c r="O63" i="1" s="1"/>
  <c r="GN63" i="1" s="1"/>
  <c r="CB65" i="1" s="1"/>
  <c r="J113" i="5"/>
  <c r="I114" i="5" s="1"/>
  <c r="GP111" i="1"/>
  <c r="AT128" i="1"/>
  <c r="AT405" i="1" s="1"/>
  <c r="GP107" i="1"/>
  <c r="CP163" i="1"/>
  <c r="O163" i="1" s="1"/>
  <c r="J198" i="5"/>
  <c r="GM122" i="1"/>
  <c r="R295" i="1"/>
  <c r="GK295" i="1" s="1"/>
  <c r="GP295" i="1" s="1"/>
  <c r="V297" i="5"/>
  <c r="R120" i="1"/>
  <c r="J177" i="5" s="1"/>
  <c r="V175" i="5"/>
  <c r="CP214" i="1"/>
  <c r="O214" i="1" s="1"/>
  <c r="GX290" i="1"/>
  <c r="GP462" i="1"/>
  <c r="CP459" i="1"/>
  <c r="O459" i="1" s="1"/>
  <c r="CY103" i="1"/>
  <c r="X103" i="1" s="1"/>
  <c r="R138" i="5" s="1"/>
  <c r="J142" i="5" s="1"/>
  <c r="I146" i="5" s="1"/>
  <c r="GP532" i="1"/>
  <c r="CP535" i="1"/>
  <c r="O535" i="1" s="1"/>
  <c r="GP535" i="1" s="1"/>
  <c r="CZ676" i="1"/>
  <c r="Y676" i="1" s="1"/>
  <c r="T460" i="5" s="1"/>
  <c r="J464" i="5" s="1"/>
  <c r="GK334" i="1"/>
  <c r="J322" i="5"/>
  <c r="CZ539" i="1"/>
  <c r="Y539" i="1" s="1"/>
  <c r="CY539" i="1"/>
  <c r="X539" i="1" s="1"/>
  <c r="CY531" i="1"/>
  <c r="X531" i="1" s="1"/>
  <c r="CZ531" i="1"/>
  <c r="Y531" i="1" s="1"/>
  <c r="Q425" i="5"/>
  <c r="CY551" i="1"/>
  <c r="X551" i="1" s="1"/>
  <c r="GP551" i="1" s="1"/>
  <c r="CZ551" i="1"/>
  <c r="Y551" i="1" s="1"/>
  <c r="R63" i="1"/>
  <c r="GK63" i="1" s="1"/>
  <c r="V113" i="5"/>
  <c r="GK52" i="1"/>
  <c r="J53" i="5"/>
  <c r="CG566" i="1"/>
  <c r="U637" i="1"/>
  <c r="AH639" i="1" s="1"/>
  <c r="U639" i="1" s="1"/>
  <c r="GM107" i="1"/>
  <c r="CP44" i="1"/>
  <c r="O44" i="1" s="1"/>
  <c r="GK169" i="1"/>
  <c r="J232" i="5"/>
  <c r="CP333" i="1"/>
  <c r="O333" i="1" s="1"/>
  <c r="AT216" i="1"/>
  <c r="AT207" i="1" s="1"/>
  <c r="R458" i="1"/>
  <c r="GK458" i="1" s="1"/>
  <c r="GP458" i="1" s="1"/>
  <c r="V365" i="5"/>
  <c r="CZ103" i="1"/>
  <c r="Y103" i="1" s="1"/>
  <c r="T138" i="5" s="1"/>
  <c r="J143" i="5" s="1"/>
  <c r="CP675" i="1"/>
  <c r="O675" i="1" s="1"/>
  <c r="CY676" i="1"/>
  <c r="X676" i="1" s="1"/>
  <c r="R460" i="5" s="1"/>
  <c r="J463" i="5" s="1"/>
  <c r="U229" i="5"/>
  <c r="I128" i="5"/>
  <c r="J278" i="5"/>
  <c r="V348" i="5"/>
  <c r="I59" i="1"/>
  <c r="D29" i="6"/>
  <c r="E109" i="5"/>
  <c r="U347" i="5"/>
  <c r="P62" i="1"/>
  <c r="CP62" i="1" s="1"/>
  <c r="O62" i="1" s="1"/>
  <c r="Q186" i="5"/>
  <c r="R634" i="1"/>
  <c r="V403" i="5"/>
  <c r="J410" i="5" s="1"/>
  <c r="S425" i="5"/>
  <c r="E113" i="5"/>
  <c r="D30" i="6"/>
  <c r="CY540" i="1"/>
  <c r="X540" i="1" s="1"/>
  <c r="GP540" i="1" s="1"/>
  <c r="CZ540" i="1"/>
  <c r="Y540" i="1" s="1"/>
  <c r="W63" i="1"/>
  <c r="R289" i="1"/>
  <c r="GK289" i="1" s="1"/>
  <c r="CP295" i="1"/>
  <c r="O295" i="1" s="1"/>
  <c r="J299" i="5"/>
  <c r="I303" i="5"/>
  <c r="R55" i="1"/>
  <c r="V65" i="5"/>
  <c r="J71" i="5" s="1"/>
  <c r="GK164" i="1"/>
  <c r="J209" i="5"/>
  <c r="GP34" i="1"/>
  <c r="CP51" i="1"/>
  <c r="O51" i="1" s="1"/>
  <c r="CY33" i="1"/>
  <c r="X33" i="1" s="1"/>
  <c r="GM33" i="1" s="1"/>
  <c r="D46" i="6"/>
  <c r="E211" i="5"/>
  <c r="V211" i="5"/>
  <c r="J215" i="5" s="1"/>
  <c r="CP211" i="1"/>
  <c r="O211" i="1" s="1"/>
  <c r="R456" i="1"/>
  <c r="V363" i="5"/>
  <c r="U169" i="1"/>
  <c r="K238" i="5" s="1"/>
  <c r="GP122" i="1"/>
  <c r="GM466" i="1"/>
  <c r="AK298" i="1"/>
  <c r="AK287" i="1" s="1"/>
  <c r="R286" i="5"/>
  <c r="J292" i="5" s="1"/>
  <c r="W543" i="1"/>
  <c r="CP547" i="1"/>
  <c r="O547" i="1" s="1"/>
  <c r="Q543" i="1"/>
  <c r="R403" i="5"/>
  <c r="J408" i="5" s="1"/>
  <c r="CP676" i="1"/>
  <c r="O676" i="1" s="1"/>
  <c r="GM676" i="1" s="1"/>
  <c r="CY635" i="1"/>
  <c r="X635" i="1" s="1"/>
  <c r="GK56" i="1"/>
  <c r="GP56" i="1" s="1"/>
  <c r="J77" i="5"/>
  <c r="CY39" i="1"/>
  <c r="X39" i="1" s="1"/>
  <c r="CZ39" i="1"/>
  <c r="Y39" i="1" s="1"/>
  <c r="GK101" i="1"/>
  <c r="J132" i="5"/>
  <c r="Q211" i="5"/>
  <c r="V229" i="5"/>
  <c r="GK252" i="1"/>
  <c r="GP252" i="1" s="1"/>
  <c r="J273" i="5"/>
  <c r="V347" i="5"/>
  <c r="GX62" i="1"/>
  <c r="S186" i="5"/>
  <c r="CP635" i="1"/>
  <c r="O635" i="1" s="1"/>
  <c r="J415" i="5"/>
  <c r="I296" i="5"/>
  <c r="P289" i="1"/>
  <c r="CP289" i="1" s="1"/>
  <c r="O289" i="1" s="1"/>
  <c r="GX63" i="1"/>
  <c r="CP539" i="1"/>
  <c r="O539" i="1" s="1"/>
  <c r="Q109" i="5"/>
  <c r="K392" i="5"/>
  <c r="P392" i="5"/>
  <c r="R673" i="1"/>
  <c r="V436" i="5"/>
  <c r="J443" i="5" s="1"/>
  <c r="I445" i="5" s="1"/>
  <c r="P445" i="5" s="1"/>
  <c r="P64" i="5"/>
  <c r="K64" i="5"/>
  <c r="P146" i="5"/>
  <c r="K146" i="5"/>
  <c r="P137" i="5"/>
  <c r="K137" i="5"/>
  <c r="Q298" i="1"/>
  <c r="AD287" i="1"/>
  <c r="AI632" i="1"/>
  <c r="V639" i="1"/>
  <c r="GP47" i="1"/>
  <c r="GM47" i="1"/>
  <c r="CY162" i="1"/>
  <c r="X162" i="1" s="1"/>
  <c r="R186" i="5" s="1"/>
  <c r="J191" i="5" s="1"/>
  <c r="I195" i="5" s="1"/>
  <c r="CZ162" i="1"/>
  <c r="Y162" i="1" s="1"/>
  <c r="T186" i="5" s="1"/>
  <c r="J192" i="5" s="1"/>
  <c r="CJ632" i="1"/>
  <c r="BA639" i="1"/>
  <c r="AG632" i="1"/>
  <c r="T639" i="1"/>
  <c r="GP39" i="1"/>
  <c r="GM39" i="1"/>
  <c r="AP97" i="1"/>
  <c r="F137" i="1"/>
  <c r="AH207" i="1"/>
  <c r="U216" i="1"/>
  <c r="CZ334" i="1"/>
  <c r="Y334" i="1" s="1"/>
  <c r="T319" i="5" s="1"/>
  <c r="J325" i="5" s="1"/>
  <c r="CY334" i="1"/>
  <c r="X334" i="1" s="1"/>
  <c r="R319" i="5" s="1"/>
  <c r="J324" i="5" s="1"/>
  <c r="I328" i="5" s="1"/>
  <c r="CC453" i="1"/>
  <c r="AT468" i="1"/>
  <c r="AG453" i="1"/>
  <c r="T468" i="1"/>
  <c r="W468" i="1"/>
  <c r="AJ453" i="1"/>
  <c r="GM554" i="1"/>
  <c r="GP554" i="1"/>
  <c r="CZ534" i="1"/>
  <c r="Y534" i="1" s="1"/>
  <c r="CY534" i="1"/>
  <c r="X534" i="1" s="1"/>
  <c r="GM559" i="1"/>
  <c r="GP559" i="1"/>
  <c r="V453" i="1"/>
  <c r="F491" i="1"/>
  <c r="V596" i="1"/>
  <c r="CF336" i="1"/>
  <c r="AC330" i="1"/>
  <c r="CH336" i="1"/>
  <c r="P336" i="1"/>
  <c r="CE336" i="1"/>
  <c r="CP503" i="1"/>
  <c r="O503" i="1" s="1"/>
  <c r="AC566" i="1"/>
  <c r="GP521" i="1"/>
  <c r="GM521" i="1"/>
  <c r="AG330" i="1"/>
  <c r="T336" i="1"/>
  <c r="CG632" i="1"/>
  <c r="AX639" i="1"/>
  <c r="AJ671" i="1"/>
  <c r="W678" i="1"/>
  <c r="GP563" i="1"/>
  <c r="GM563" i="1"/>
  <c r="CZ55" i="1"/>
  <c r="Y55" i="1" s="1"/>
  <c r="T65" i="5" s="1"/>
  <c r="J70" i="5" s="1"/>
  <c r="CY55" i="1"/>
  <c r="X55" i="1" s="1"/>
  <c r="R65" i="5" s="1"/>
  <c r="J69" i="5" s="1"/>
  <c r="I73" i="5" s="1"/>
  <c r="GP32" i="1"/>
  <c r="GM32" i="1"/>
  <c r="CZ44" i="1"/>
  <c r="Y44" i="1" s="1"/>
  <c r="CY44" i="1"/>
  <c r="X44" i="1" s="1"/>
  <c r="GM44" i="1" s="1"/>
  <c r="AQ26" i="1"/>
  <c r="F75" i="1"/>
  <c r="GM36" i="1"/>
  <c r="GP36" i="1"/>
  <c r="BB26" i="1"/>
  <c r="F78" i="1"/>
  <c r="BB405" i="1"/>
  <c r="GM49" i="1"/>
  <c r="GP49" i="1"/>
  <c r="GM106" i="1"/>
  <c r="GP106" i="1"/>
  <c r="GM45" i="1"/>
  <c r="GP45" i="1"/>
  <c r="F225" i="1"/>
  <c r="AP207" i="1"/>
  <c r="GM101" i="1"/>
  <c r="GP101" i="1"/>
  <c r="BB97" i="1"/>
  <c r="F141" i="1"/>
  <c r="CY210" i="1"/>
  <c r="X210" i="1" s="1"/>
  <c r="CZ210" i="1"/>
  <c r="Y210" i="1" s="1"/>
  <c r="CP213" i="1"/>
  <c r="O213" i="1" s="1"/>
  <c r="AC216" i="1"/>
  <c r="AQ207" i="1"/>
  <c r="F226" i="1"/>
  <c r="BY160" i="1"/>
  <c r="AP175" i="1"/>
  <c r="CI175" i="1"/>
  <c r="CB160" i="1"/>
  <c r="AS175" i="1"/>
  <c r="AG207" i="1"/>
  <c r="T216" i="1"/>
  <c r="CY294" i="1"/>
  <c r="X294" i="1" s="1"/>
  <c r="CZ294" i="1"/>
  <c r="Y294" i="1" s="1"/>
  <c r="GK456" i="1"/>
  <c r="GK503" i="1"/>
  <c r="AE566" i="1"/>
  <c r="F354" i="1"/>
  <c r="AT330" i="1"/>
  <c r="BB368" i="1"/>
  <c r="F388" i="1"/>
  <c r="CJ248" i="1"/>
  <c r="BA255" i="1"/>
  <c r="BA336" i="1"/>
  <c r="CJ330" i="1"/>
  <c r="BA468" i="1"/>
  <c r="CJ453" i="1"/>
  <c r="AQ248" i="1"/>
  <c r="F265" i="1"/>
  <c r="GP511" i="1"/>
  <c r="GM511" i="1"/>
  <c r="GP560" i="1"/>
  <c r="GM560" i="1"/>
  <c r="AC468" i="1"/>
  <c r="CP456" i="1"/>
  <c r="O456" i="1" s="1"/>
  <c r="CZ289" i="1"/>
  <c r="Y289" i="1" s="1"/>
  <c r="GM289" i="1" s="1"/>
  <c r="CY289" i="1"/>
  <c r="X289" i="1" s="1"/>
  <c r="U298" i="1"/>
  <c r="AH287" i="1"/>
  <c r="GM504" i="1"/>
  <c r="GP504" i="1"/>
  <c r="GM514" i="1"/>
  <c r="GP514" i="1"/>
  <c r="CZ558" i="1"/>
  <c r="Y558" i="1" s="1"/>
  <c r="CY558" i="1"/>
  <c r="X558" i="1" s="1"/>
  <c r="BD500" i="1"/>
  <c r="F591" i="1"/>
  <c r="BD596" i="1"/>
  <c r="GP517" i="1"/>
  <c r="GM517" i="1"/>
  <c r="W500" i="1"/>
  <c r="F590" i="1"/>
  <c r="AE248" i="1"/>
  <c r="R255" i="1"/>
  <c r="GM512" i="1"/>
  <c r="GP512" i="1"/>
  <c r="GM520" i="1"/>
  <c r="GP520" i="1"/>
  <c r="AS632" i="1"/>
  <c r="AS708" i="1"/>
  <c r="F656" i="1"/>
  <c r="AX287" i="1"/>
  <c r="F305" i="1"/>
  <c r="S468" i="1"/>
  <c r="AF453" i="1"/>
  <c r="GP550" i="1"/>
  <c r="GM550" i="1"/>
  <c r="GK370" i="1"/>
  <c r="V534" i="1"/>
  <c r="GX534" i="1"/>
  <c r="U500" i="1"/>
  <c r="F588" i="1"/>
  <c r="CI632" i="1"/>
  <c r="AZ639" i="1"/>
  <c r="CG671" i="1"/>
  <c r="AX678" i="1"/>
  <c r="GX373" i="1"/>
  <c r="R373" i="1"/>
  <c r="GK373" i="1" s="1"/>
  <c r="AI671" i="1"/>
  <c r="V678" i="1"/>
  <c r="AT632" i="1"/>
  <c r="AT708" i="1"/>
  <c r="F657" i="1"/>
  <c r="GM564" i="1"/>
  <c r="GP564" i="1"/>
  <c r="GP676" i="1"/>
  <c r="GM562" i="1"/>
  <c r="GP562" i="1"/>
  <c r="Q678" i="1"/>
  <c r="AD671" i="1"/>
  <c r="CE678" i="1"/>
  <c r="AC671" i="1"/>
  <c r="P678" i="1"/>
  <c r="CH678" i="1"/>
  <c r="CF678" i="1"/>
  <c r="W58" i="1"/>
  <c r="V168" i="1"/>
  <c r="U60" i="1"/>
  <c r="GX116" i="1"/>
  <c r="GM34" i="1"/>
  <c r="GM111" i="1"/>
  <c r="U250" i="1"/>
  <c r="GX251" i="1"/>
  <c r="Q251" i="1"/>
  <c r="R290" i="1"/>
  <c r="GK290" i="1" s="1"/>
  <c r="GX162" i="1"/>
  <c r="S168" i="1"/>
  <c r="U210" i="1"/>
  <c r="T250" i="1"/>
  <c r="CP253" i="1"/>
  <c r="O253" i="1" s="1"/>
  <c r="J275" i="5" s="1"/>
  <c r="W210" i="1"/>
  <c r="V294" i="1"/>
  <c r="AJ375" i="1"/>
  <c r="P210" i="1"/>
  <c r="Q162" i="1"/>
  <c r="J188" i="5" s="1"/>
  <c r="P251" i="1"/>
  <c r="U294" i="1"/>
  <c r="U162" i="1"/>
  <c r="K194" i="5" s="1"/>
  <c r="S464" i="1"/>
  <c r="P294" i="1"/>
  <c r="GM462" i="1"/>
  <c r="U58" i="1"/>
  <c r="W116" i="1"/>
  <c r="Q294" i="1"/>
  <c r="GP108" i="1"/>
  <c r="GP455" i="1"/>
  <c r="GX464" i="1"/>
  <c r="AL566" i="1"/>
  <c r="S290" i="1"/>
  <c r="U543" i="1"/>
  <c r="R543" i="1"/>
  <c r="GK543" i="1" s="1"/>
  <c r="GP635" i="1"/>
  <c r="AK678" i="1"/>
  <c r="GM38" i="1"/>
  <c r="GP38" i="1"/>
  <c r="GP35" i="1"/>
  <c r="GM35" i="1"/>
  <c r="GM104" i="1"/>
  <c r="GP104" i="1"/>
  <c r="GM109" i="1"/>
  <c r="GP109" i="1"/>
  <c r="F241" i="1"/>
  <c r="BD207" i="1"/>
  <c r="AS248" i="1"/>
  <c r="F272" i="1"/>
  <c r="GX168" i="1"/>
  <c r="P168" i="1"/>
  <c r="BD160" i="1"/>
  <c r="F200" i="1"/>
  <c r="BC248" i="1"/>
  <c r="F271" i="1"/>
  <c r="GM121" i="1"/>
  <c r="GN121" i="1"/>
  <c r="CB128" i="1" s="1"/>
  <c r="AT248" i="1"/>
  <c r="F273" i="1"/>
  <c r="AS375" i="1"/>
  <c r="CB368" i="1"/>
  <c r="CG330" i="1"/>
  <c r="AX336" i="1"/>
  <c r="AG287" i="1"/>
  <c r="T298" i="1"/>
  <c r="GP515" i="1"/>
  <c r="GM515" i="1"/>
  <c r="GM296" i="1"/>
  <c r="GP296" i="1"/>
  <c r="F655" i="1"/>
  <c r="BC632" i="1"/>
  <c r="BC708" i="1"/>
  <c r="GP465" i="1"/>
  <c r="GM465" i="1"/>
  <c r="GP525" i="1"/>
  <c r="GM525" i="1"/>
  <c r="GP545" i="1"/>
  <c r="GM545" i="1"/>
  <c r="BC500" i="1"/>
  <c r="F582" i="1"/>
  <c r="BC596" i="1"/>
  <c r="GM526" i="1"/>
  <c r="GP526" i="1"/>
  <c r="GP529" i="1"/>
  <c r="GM529" i="1"/>
  <c r="GM31" i="1"/>
  <c r="GP31" i="1"/>
  <c r="GK50" i="1"/>
  <c r="GM50" i="1" s="1"/>
  <c r="GM30" i="1"/>
  <c r="GP30" i="1"/>
  <c r="GM40" i="1"/>
  <c r="GP40" i="1"/>
  <c r="GM28" i="1"/>
  <c r="GP28" i="1"/>
  <c r="AT26" i="1"/>
  <c r="F83" i="1"/>
  <c r="GP43" i="1"/>
  <c r="GM43" i="1"/>
  <c r="GM105" i="1"/>
  <c r="GP105" i="1"/>
  <c r="GP114" i="1"/>
  <c r="F179" i="1"/>
  <c r="AO160" i="1"/>
  <c r="F191" i="1"/>
  <c r="BC160" i="1"/>
  <c r="GP212" i="1"/>
  <c r="GM212" i="1"/>
  <c r="CI207" i="1"/>
  <c r="AZ216" i="1"/>
  <c r="BB160" i="1"/>
  <c r="F188" i="1"/>
  <c r="CZ166" i="1"/>
  <c r="Y166" i="1" s="1"/>
  <c r="T212" i="5" s="1"/>
  <c r="CY166" i="1"/>
  <c r="X166" i="1" s="1"/>
  <c r="R212" i="5" s="1"/>
  <c r="GP293" i="1"/>
  <c r="GM293" i="1"/>
  <c r="GP333" i="1"/>
  <c r="GM333" i="1"/>
  <c r="GM123" i="1"/>
  <c r="GP123" i="1"/>
  <c r="BZ160" i="1"/>
  <c r="AQ175" i="1"/>
  <c r="AQ405" i="1" s="1"/>
  <c r="CG175" i="1"/>
  <c r="W216" i="1"/>
  <c r="AJ207" i="1"/>
  <c r="AH248" i="1"/>
  <c r="U255" i="1"/>
  <c r="BB248" i="1"/>
  <c r="F268" i="1"/>
  <c r="F393" i="1"/>
  <c r="AT368" i="1"/>
  <c r="BB453" i="1"/>
  <c r="F481" i="1"/>
  <c r="BB596" i="1"/>
  <c r="CZ253" i="1"/>
  <c r="Y253" i="1" s="1"/>
  <c r="CY253" i="1"/>
  <c r="X253" i="1" s="1"/>
  <c r="AF255" i="1"/>
  <c r="AI287" i="1"/>
  <c r="V298" i="1"/>
  <c r="W336" i="1"/>
  <c r="AJ330" i="1"/>
  <c r="CZ370" i="1"/>
  <c r="Y370" i="1" s="1"/>
  <c r="T334" i="5" s="1"/>
  <c r="J340" i="5" s="1"/>
  <c r="CY370" i="1"/>
  <c r="X370" i="1" s="1"/>
  <c r="R334" i="5" s="1"/>
  <c r="J339" i="5" s="1"/>
  <c r="AF375" i="1"/>
  <c r="CZ463" i="1"/>
  <c r="Y463" i="1" s="1"/>
  <c r="CY463" i="1"/>
  <c r="X463" i="1" s="1"/>
  <c r="GP463" i="1" s="1"/>
  <c r="CG248" i="1"/>
  <c r="AX255" i="1"/>
  <c r="AQ330" i="1"/>
  <c r="F346" i="1"/>
  <c r="AJ248" i="1"/>
  <c r="W255" i="1"/>
  <c r="BY368" i="1"/>
  <c r="AP375" i="1"/>
  <c r="CI375" i="1"/>
  <c r="GP516" i="1"/>
  <c r="GM516" i="1"/>
  <c r="GP523" i="1"/>
  <c r="GM523" i="1"/>
  <c r="GP555" i="1"/>
  <c r="GM555" i="1"/>
  <c r="AP330" i="1"/>
  <c r="AI330" i="1"/>
  <c r="V336" i="1"/>
  <c r="CZ372" i="1"/>
  <c r="Y372" i="1" s="1"/>
  <c r="T347" i="5" s="1"/>
  <c r="J350" i="5" s="1"/>
  <c r="CY372" i="1"/>
  <c r="X372" i="1" s="1"/>
  <c r="R347" i="5" s="1"/>
  <c r="CZ373" i="1"/>
  <c r="Y373" i="1" s="1"/>
  <c r="T348" i="5" s="1"/>
  <c r="CY373" i="1"/>
  <c r="X373" i="1" s="1"/>
  <c r="R348" i="5" s="1"/>
  <c r="GM459" i="1"/>
  <c r="GP459" i="1"/>
  <c r="AB566" i="1"/>
  <c r="U468" i="1"/>
  <c r="AH453" i="1"/>
  <c r="CZ556" i="1"/>
  <c r="Y556" i="1" s="1"/>
  <c r="GP556" i="1" s="1"/>
  <c r="CY556" i="1"/>
  <c r="X556" i="1" s="1"/>
  <c r="T500" i="1"/>
  <c r="F587" i="1"/>
  <c r="AC298" i="1"/>
  <c r="CP291" i="1"/>
  <c r="O291" i="1" s="1"/>
  <c r="CG453" i="1"/>
  <c r="AX468" i="1"/>
  <c r="GM510" i="1"/>
  <c r="GP510" i="1"/>
  <c r="GM518" i="1"/>
  <c r="GP518" i="1"/>
  <c r="GM528" i="1"/>
  <c r="GP528" i="1"/>
  <c r="GM548" i="1"/>
  <c r="GP548" i="1"/>
  <c r="AT500" i="1"/>
  <c r="F584" i="1"/>
  <c r="F643" i="1"/>
  <c r="AO632" i="1"/>
  <c r="AO708" i="1"/>
  <c r="BD330" i="1"/>
  <c r="F361" i="1"/>
  <c r="CZ533" i="1"/>
  <c r="Y533" i="1" s="1"/>
  <c r="GM533" i="1" s="1"/>
  <c r="CY533" i="1"/>
  <c r="X533" i="1" s="1"/>
  <c r="CZ537" i="1"/>
  <c r="Y537" i="1" s="1"/>
  <c r="CY537" i="1"/>
  <c r="X537" i="1" s="1"/>
  <c r="GM537" i="1" s="1"/>
  <c r="GP549" i="1"/>
  <c r="GM549" i="1"/>
  <c r="GX558" i="1"/>
  <c r="V558" i="1"/>
  <c r="Q500" i="1"/>
  <c r="F578" i="1"/>
  <c r="BA500" i="1"/>
  <c r="F586" i="1"/>
  <c r="BD632" i="1"/>
  <c r="F664" i="1"/>
  <c r="BD708" i="1"/>
  <c r="BB632" i="1"/>
  <c r="BB708" i="1"/>
  <c r="F652" i="1"/>
  <c r="CG368" i="1"/>
  <c r="AX375" i="1"/>
  <c r="V370" i="1"/>
  <c r="GX370" i="1"/>
  <c r="GM535" i="1"/>
  <c r="GP561" i="1"/>
  <c r="GM561" i="1"/>
  <c r="V500" i="1"/>
  <c r="F589" i="1"/>
  <c r="AF671" i="1"/>
  <c r="S678" i="1"/>
  <c r="AG671" i="1"/>
  <c r="T678" i="1"/>
  <c r="AQ671" i="1"/>
  <c r="F688" i="1"/>
  <c r="AP671" i="1"/>
  <c r="F687" i="1"/>
  <c r="P58" i="1"/>
  <c r="S251" i="1"/>
  <c r="AL298" i="1"/>
  <c r="GP466" i="1"/>
  <c r="T464" i="1"/>
  <c r="GX58" i="1"/>
  <c r="V58" i="1"/>
  <c r="T58" i="1"/>
  <c r="W251" i="1"/>
  <c r="W162" i="1"/>
  <c r="U251" i="1"/>
  <c r="V162" i="1"/>
  <c r="Q169" i="1"/>
  <c r="J231" i="5" s="1"/>
  <c r="R162" i="1"/>
  <c r="J189" i="5" s="1"/>
  <c r="CP166" i="1"/>
  <c r="O166" i="1" s="1"/>
  <c r="J212" i="5" s="1"/>
  <c r="T162" i="1"/>
  <c r="S250" i="1"/>
  <c r="T290" i="1"/>
  <c r="T543" i="1"/>
  <c r="P60" i="1"/>
  <c r="S116" i="1"/>
  <c r="S117" i="1"/>
  <c r="J162" i="5" s="1"/>
  <c r="W290" i="1"/>
  <c r="V290" i="1"/>
  <c r="CP332" i="1"/>
  <c r="O332" i="1" s="1"/>
  <c r="R251" i="1"/>
  <c r="GK251" i="1" s="1"/>
  <c r="R558" i="1"/>
  <c r="GK558" i="1" s="1"/>
  <c r="CI26" i="1"/>
  <c r="AZ65" i="1"/>
  <c r="GP29" i="1"/>
  <c r="GM29" i="1"/>
  <c r="AP26" i="1"/>
  <c r="F74" i="1"/>
  <c r="AP405" i="1"/>
  <c r="GK115" i="1"/>
  <c r="GM115" i="1" s="1"/>
  <c r="GM41" i="1"/>
  <c r="GP41" i="1"/>
  <c r="GP103" i="1"/>
  <c r="CI97" i="1"/>
  <c r="AZ128" i="1"/>
  <c r="GM112" i="1"/>
  <c r="GP112" i="1"/>
  <c r="F193" i="1"/>
  <c r="AT160" i="1"/>
  <c r="GM209" i="1"/>
  <c r="GP209" i="1"/>
  <c r="GP124" i="1"/>
  <c r="GM124" i="1"/>
  <c r="GP292" i="1"/>
  <c r="GM292" i="1"/>
  <c r="F223" i="1"/>
  <c r="AX207" i="1"/>
  <c r="BC97" i="1"/>
  <c r="F144" i="1"/>
  <c r="AG248" i="1"/>
  <c r="T255" i="1"/>
  <c r="F323" i="1"/>
  <c r="BD287" i="1"/>
  <c r="AP453" i="1"/>
  <c r="F477" i="1"/>
  <c r="AP596" i="1"/>
  <c r="CZ332" i="1"/>
  <c r="Y332" i="1" s="1"/>
  <c r="AF336" i="1"/>
  <c r="CY332" i="1"/>
  <c r="X332" i="1" s="1"/>
  <c r="F400" i="1"/>
  <c r="BD368" i="1"/>
  <c r="AB255" i="1"/>
  <c r="AD368" i="1"/>
  <c r="AZ248" i="1"/>
  <c r="F266" i="1"/>
  <c r="CP370" i="1"/>
  <c r="O370" i="1" s="1"/>
  <c r="GM522" i="1"/>
  <c r="GP522" i="1"/>
  <c r="GP509" i="1"/>
  <c r="GM509" i="1"/>
  <c r="GM100" i="1"/>
  <c r="GP100" i="1"/>
  <c r="CI287" i="1"/>
  <c r="AZ298" i="1"/>
  <c r="CI453" i="1"/>
  <c r="AZ468" i="1"/>
  <c r="GM506" i="1"/>
  <c r="GP506" i="1"/>
  <c r="GM556" i="1"/>
  <c r="AP500" i="1"/>
  <c r="F575" i="1"/>
  <c r="GP513" i="1"/>
  <c r="GM513" i="1"/>
  <c r="GP536" i="1"/>
  <c r="GM536" i="1"/>
  <c r="GX543" i="1"/>
  <c r="V543" i="1"/>
  <c r="CZ557" i="1"/>
  <c r="Y557" i="1" s="1"/>
  <c r="CY557" i="1"/>
  <c r="X557" i="1" s="1"/>
  <c r="AS500" i="1"/>
  <c r="F583" i="1"/>
  <c r="AS596" i="1"/>
  <c r="AP632" i="1"/>
  <c r="F648" i="1"/>
  <c r="AP708" i="1"/>
  <c r="AD632" i="1"/>
  <c r="Q639" i="1"/>
  <c r="CI671" i="1"/>
  <c r="AZ678" i="1"/>
  <c r="BD26" i="1"/>
  <c r="F90" i="1"/>
  <c r="BD405" i="1"/>
  <c r="GM37" i="1"/>
  <c r="GP37" i="1"/>
  <c r="GP33" i="1"/>
  <c r="BC26" i="1"/>
  <c r="F81" i="1"/>
  <c r="BC405" i="1"/>
  <c r="CP52" i="1"/>
  <c r="O52" i="1" s="1"/>
  <c r="GM48" i="1"/>
  <c r="GP48" i="1"/>
  <c r="AO26" i="1"/>
  <c r="F69" i="1"/>
  <c r="AO405" i="1"/>
  <c r="BD97" i="1"/>
  <c r="F153" i="1"/>
  <c r="F229" i="1"/>
  <c r="BB207" i="1"/>
  <c r="GP110" i="1"/>
  <c r="GM110" i="1"/>
  <c r="CG97" i="1"/>
  <c r="AX128" i="1"/>
  <c r="AO97" i="1"/>
  <c r="F132" i="1"/>
  <c r="BC207" i="1"/>
  <c r="F232" i="1"/>
  <c r="GM167" i="1"/>
  <c r="GP167" i="1"/>
  <c r="AO248" i="1"/>
  <c r="F259" i="1"/>
  <c r="GX165" i="1"/>
  <c r="P165" i="1"/>
  <c r="CX34" i="3"/>
  <c r="GX169" i="1"/>
  <c r="I171" i="1"/>
  <c r="P169" i="1"/>
  <c r="I170" i="1"/>
  <c r="GP211" i="1"/>
  <c r="GM211" i="1"/>
  <c r="GK213" i="1"/>
  <c r="AE216" i="1"/>
  <c r="CZ163" i="1"/>
  <c r="Y163" i="1" s="1"/>
  <c r="T196" i="5" s="1"/>
  <c r="J202" i="5" s="1"/>
  <c r="CY163" i="1"/>
  <c r="X163" i="1" s="1"/>
  <c r="AO207" i="1"/>
  <c r="F220" i="1"/>
  <c r="AD248" i="1"/>
  <c r="Q255" i="1"/>
  <c r="GP505" i="1"/>
  <c r="GM505" i="1"/>
  <c r="BB330" i="1"/>
  <c r="F349" i="1"/>
  <c r="GP214" i="1"/>
  <c r="GM214" i="1"/>
  <c r="F239" i="1"/>
  <c r="V207" i="1"/>
  <c r="AI248" i="1"/>
  <c r="V255" i="1"/>
  <c r="S298" i="1"/>
  <c r="AF287" i="1"/>
  <c r="CI330" i="1"/>
  <c r="AZ336" i="1"/>
  <c r="GM457" i="1"/>
  <c r="GP457" i="1"/>
  <c r="CF255" i="1"/>
  <c r="CH255" i="1"/>
  <c r="AC248" i="1"/>
  <c r="CE255" i="1"/>
  <c r="P255" i="1"/>
  <c r="AS330" i="1"/>
  <c r="F353" i="1"/>
  <c r="CZ371" i="1"/>
  <c r="Y371" i="1" s="1"/>
  <c r="T344" i="5" s="1"/>
  <c r="CY371" i="1"/>
  <c r="X371" i="1" s="1"/>
  <c r="GM373" i="1"/>
  <c r="GP519" i="1"/>
  <c r="GM519" i="1"/>
  <c r="GP527" i="1"/>
  <c r="GM527" i="1"/>
  <c r="BA298" i="1"/>
  <c r="CJ287" i="1"/>
  <c r="AQ97" i="1"/>
  <c r="F138" i="1"/>
  <c r="S216" i="1"/>
  <c r="AF207" i="1"/>
  <c r="GM461" i="1"/>
  <c r="F316" i="1"/>
  <c r="AT287" i="1"/>
  <c r="CI500" i="1"/>
  <c r="AZ566" i="1"/>
  <c r="AQ500" i="1"/>
  <c r="F576" i="1"/>
  <c r="AP287" i="1"/>
  <c r="F307" i="1"/>
  <c r="F478" i="1"/>
  <c r="AQ453" i="1"/>
  <c r="AQ596" i="1"/>
  <c r="GP547" i="1"/>
  <c r="GM547" i="1"/>
  <c r="GP531" i="1"/>
  <c r="GM531" i="1"/>
  <c r="BB500" i="1"/>
  <c r="F579" i="1"/>
  <c r="W298" i="1"/>
  <c r="AJ287" i="1"/>
  <c r="CZ542" i="1"/>
  <c r="Y542" i="1" s="1"/>
  <c r="CY542" i="1"/>
  <c r="X542" i="1" s="1"/>
  <c r="GM546" i="1"/>
  <c r="GP546" i="1"/>
  <c r="AO500" i="1"/>
  <c r="AO596" i="1"/>
  <c r="F570" i="1"/>
  <c r="BD671" i="1"/>
  <c r="F703" i="1"/>
  <c r="F385" i="1"/>
  <c r="AQ368" i="1"/>
  <c r="GP553" i="1"/>
  <c r="GM553" i="1"/>
  <c r="W639" i="1"/>
  <c r="AJ632" i="1"/>
  <c r="AH632" i="1"/>
  <c r="AQ708" i="1"/>
  <c r="F649" i="1"/>
  <c r="AQ632" i="1"/>
  <c r="AS671" i="1"/>
  <c r="F695" i="1"/>
  <c r="CJ671" i="1"/>
  <c r="BA678" i="1"/>
  <c r="AB678" i="1"/>
  <c r="F696" i="1"/>
  <c r="AT671" i="1"/>
  <c r="CP290" i="1"/>
  <c r="O290" i="1" s="1"/>
  <c r="T168" i="1"/>
  <c r="CP538" i="1"/>
  <c r="O538" i="1" s="1"/>
  <c r="R58" i="1"/>
  <c r="CP125" i="1"/>
  <c r="O125" i="1" s="1"/>
  <c r="S58" i="1"/>
  <c r="V165" i="1"/>
  <c r="P250" i="1"/>
  <c r="CP250" i="1" s="1"/>
  <c r="O250" i="1" s="1"/>
  <c r="S165" i="1"/>
  <c r="W168" i="1"/>
  <c r="GX210" i="1"/>
  <c r="V251" i="1"/>
  <c r="U165" i="1"/>
  <c r="S169" i="1"/>
  <c r="J230" i="5" s="1"/>
  <c r="U290" i="1"/>
  <c r="T165" i="1"/>
  <c r="T294" i="1"/>
  <c r="GX294" i="1"/>
  <c r="CP334" i="1"/>
  <c r="O334" i="1" s="1"/>
  <c r="U464" i="1"/>
  <c r="W464" i="1"/>
  <c r="CP534" i="1"/>
  <c r="O534" i="1" s="1"/>
  <c r="S543" i="1"/>
  <c r="CP543" i="1" s="1"/>
  <c r="O543" i="1" s="1"/>
  <c r="Q58" i="1"/>
  <c r="T116" i="1"/>
  <c r="Q168" i="1"/>
  <c r="CP557" i="1"/>
  <c r="O557" i="1" s="1"/>
  <c r="W294" i="1"/>
  <c r="AL468" i="1"/>
  <c r="U558" i="1"/>
  <c r="CP372" i="1"/>
  <c r="O372" i="1" s="1"/>
  <c r="J347" i="5" s="1"/>
  <c r="AC639" i="1"/>
  <c r="P49" i="5" l="1"/>
  <c r="K49" i="5"/>
  <c r="K73" i="5"/>
  <c r="P73" i="5"/>
  <c r="P343" i="5"/>
  <c r="K343" i="5"/>
  <c r="P155" i="5"/>
  <c r="K155" i="5"/>
  <c r="K328" i="5"/>
  <c r="P328" i="5"/>
  <c r="GM55" i="1"/>
  <c r="I419" i="5"/>
  <c r="I394" i="5"/>
  <c r="S639" i="1"/>
  <c r="AF632" i="1"/>
  <c r="AH336" i="1"/>
  <c r="K317" i="5"/>
  <c r="J439" i="5"/>
  <c r="AE678" i="1"/>
  <c r="GK673" i="1"/>
  <c r="GM635" i="1"/>
  <c r="R413" i="5"/>
  <c r="J416" i="5" s="1"/>
  <c r="GK636" i="1"/>
  <c r="J423" i="5"/>
  <c r="CP637" i="1"/>
  <c r="O637" i="1" s="1"/>
  <c r="AB639" i="1" s="1"/>
  <c r="I264" i="5"/>
  <c r="D51" i="6"/>
  <c r="E234" i="5"/>
  <c r="Q234" i="5"/>
  <c r="U234" i="5"/>
  <c r="V234" i="5"/>
  <c r="S234" i="5"/>
  <c r="F234" i="1"/>
  <c r="AK566" i="1"/>
  <c r="AL216" i="1"/>
  <c r="AL207" i="1" s="1"/>
  <c r="GM675" i="1"/>
  <c r="AK255" i="1"/>
  <c r="R275" i="5"/>
  <c r="F146" i="1"/>
  <c r="GP55" i="1"/>
  <c r="AK216" i="1"/>
  <c r="AE375" i="1"/>
  <c r="AE368" i="1" s="1"/>
  <c r="GM57" i="1"/>
  <c r="GP51" i="1"/>
  <c r="K82" i="5"/>
  <c r="GK55" i="1"/>
  <c r="J68" i="5"/>
  <c r="CG500" i="1"/>
  <c r="AX566" i="1"/>
  <c r="K114" i="5"/>
  <c r="P114" i="5"/>
  <c r="GP42" i="1"/>
  <c r="GM42" i="1"/>
  <c r="AD336" i="1"/>
  <c r="J311" i="5"/>
  <c r="K377" i="5"/>
  <c r="P377" i="5"/>
  <c r="AT97" i="1"/>
  <c r="GM54" i="1"/>
  <c r="I412" i="5"/>
  <c r="J312" i="5"/>
  <c r="GK332" i="1"/>
  <c r="AE336" i="1"/>
  <c r="S566" i="1"/>
  <c r="AF500" i="1"/>
  <c r="F72" i="1"/>
  <c r="AX26" i="1"/>
  <c r="GM544" i="1"/>
  <c r="T375" i="1"/>
  <c r="GM458" i="1"/>
  <c r="GP163" i="1"/>
  <c r="R196" i="5"/>
  <c r="J201" i="5" s="1"/>
  <c r="I205" i="5" s="1"/>
  <c r="D52" i="6"/>
  <c r="E240" i="5"/>
  <c r="U240" i="5"/>
  <c r="V240" i="5"/>
  <c r="J247" i="5" s="1"/>
  <c r="S240" i="5"/>
  <c r="Q240" i="5"/>
  <c r="GM63" i="1"/>
  <c r="GM252" i="1"/>
  <c r="GM103" i="1"/>
  <c r="AI375" i="1"/>
  <c r="AI368" i="1" s="1"/>
  <c r="GP507" i="1"/>
  <c r="GM295" i="1"/>
  <c r="GP44" i="1"/>
  <c r="GM530" i="1"/>
  <c r="V60" i="1"/>
  <c r="AK639" i="1"/>
  <c r="I375" i="5"/>
  <c r="GX119" i="1"/>
  <c r="D39" i="6"/>
  <c r="S171" i="5"/>
  <c r="Q171" i="5"/>
  <c r="E171" i="5"/>
  <c r="R119" i="1"/>
  <c r="J173" i="5" s="1"/>
  <c r="P119" i="1"/>
  <c r="T119" i="1"/>
  <c r="K174" i="5"/>
  <c r="U119" i="1"/>
  <c r="V119" i="1"/>
  <c r="W119" i="1"/>
  <c r="S119" i="1"/>
  <c r="U171" i="5"/>
  <c r="CP120" i="1"/>
  <c r="O120" i="1" s="1"/>
  <c r="J91" i="5"/>
  <c r="I94" i="5" s="1"/>
  <c r="GM56" i="1"/>
  <c r="GP371" i="1"/>
  <c r="R344" i="5"/>
  <c r="J349" i="5" s="1"/>
  <c r="I352" i="5" s="1"/>
  <c r="AL336" i="1"/>
  <c r="T309" i="5"/>
  <c r="J315" i="5" s="1"/>
  <c r="CJ375" i="1"/>
  <c r="CJ368" i="1" s="1"/>
  <c r="I466" i="5"/>
  <c r="GP533" i="1"/>
  <c r="GP164" i="1"/>
  <c r="GM674" i="1"/>
  <c r="GX60" i="1"/>
  <c r="GM539" i="1"/>
  <c r="GP539" i="1"/>
  <c r="I61" i="1"/>
  <c r="E95" i="5"/>
  <c r="D26" i="6"/>
  <c r="Q59" i="1"/>
  <c r="T59" i="1"/>
  <c r="S59" i="1"/>
  <c r="W59" i="1"/>
  <c r="GX59" i="1"/>
  <c r="S95" i="5"/>
  <c r="U95" i="5"/>
  <c r="V59" i="1"/>
  <c r="Q95" i="5"/>
  <c r="U59" i="1"/>
  <c r="K99" i="5" s="1"/>
  <c r="J276" i="5"/>
  <c r="I118" i="1"/>
  <c r="D36" i="6"/>
  <c r="E156" i="5"/>
  <c r="V156" i="5"/>
  <c r="J159" i="5" s="1"/>
  <c r="U156" i="5"/>
  <c r="S156" i="5"/>
  <c r="R116" i="1"/>
  <c r="P116" i="1"/>
  <c r="Q156" i="5"/>
  <c r="V116" i="1"/>
  <c r="Q116" i="1"/>
  <c r="CP116" i="1" s="1"/>
  <c r="O116" i="1" s="1"/>
  <c r="U116" i="1"/>
  <c r="GM460" i="1"/>
  <c r="GP460" i="1"/>
  <c r="GP542" i="1"/>
  <c r="GP502" i="1"/>
  <c r="AL255" i="1"/>
  <c r="AL248" i="1" s="1"/>
  <c r="T275" i="5"/>
  <c r="J277" i="5" s="1"/>
  <c r="I280" i="5" s="1"/>
  <c r="Q468" i="1"/>
  <c r="AD453" i="1"/>
  <c r="T60" i="1"/>
  <c r="GP99" i="1"/>
  <c r="AL678" i="1"/>
  <c r="Q60" i="1"/>
  <c r="J102" i="5" s="1"/>
  <c r="I104" i="5" s="1"/>
  <c r="P104" i="5" s="1"/>
  <c r="GK291" i="1"/>
  <c r="GP291" i="1" s="1"/>
  <c r="CD298" i="1" s="1"/>
  <c r="U678" i="1"/>
  <c r="GM540" i="1"/>
  <c r="I166" i="5"/>
  <c r="GM551" i="1"/>
  <c r="X298" i="1"/>
  <c r="CP210" i="1"/>
  <c r="O210" i="1" s="1"/>
  <c r="AE468" i="1"/>
  <c r="GP113" i="1"/>
  <c r="K445" i="5"/>
  <c r="J406" i="5"/>
  <c r="AE639" i="1"/>
  <c r="GK634" i="1"/>
  <c r="CY120" i="1"/>
  <c r="X120" i="1" s="1"/>
  <c r="R175" i="5" s="1"/>
  <c r="CZ120" i="1"/>
  <c r="Y120" i="1" s="1"/>
  <c r="T175" i="5" s="1"/>
  <c r="Q216" i="1"/>
  <c r="AD207" i="1"/>
  <c r="K452" i="5"/>
  <c r="P452" i="5"/>
  <c r="K366" i="5"/>
  <c r="P366" i="5"/>
  <c r="I40" i="5"/>
  <c r="AK468" i="1"/>
  <c r="J213" i="5"/>
  <c r="I217" i="5" s="1"/>
  <c r="K296" i="5"/>
  <c r="P296" i="5"/>
  <c r="I305" i="5" s="1"/>
  <c r="K128" i="5"/>
  <c r="P128" i="5"/>
  <c r="CZ637" i="1"/>
  <c r="Y637" i="1" s="1"/>
  <c r="CY637" i="1"/>
  <c r="X637" i="1" s="1"/>
  <c r="R425" i="5" s="1"/>
  <c r="J426" i="5" s="1"/>
  <c r="J237" i="5"/>
  <c r="CP169" i="1"/>
  <c r="O169" i="1" s="1"/>
  <c r="GP169" i="1" s="1"/>
  <c r="J233" i="5"/>
  <c r="P195" i="5"/>
  <c r="K195" i="5"/>
  <c r="P303" i="5"/>
  <c r="K303" i="5"/>
  <c r="P459" i="5"/>
  <c r="K459" i="5"/>
  <c r="R60" i="1"/>
  <c r="J103" i="5" s="1"/>
  <c r="E101" i="5"/>
  <c r="D27" i="6"/>
  <c r="V101" i="5"/>
  <c r="S101" i="5"/>
  <c r="Q101" i="5"/>
  <c r="U101" i="5"/>
  <c r="GK58" i="1"/>
  <c r="J92" i="5"/>
  <c r="GP373" i="1"/>
  <c r="AE298" i="1"/>
  <c r="AK336" i="1"/>
  <c r="R309" i="5"/>
  <c r="J314" i="5" s="1"/>
  <c r="CP294" i="1"/>
  <c r="O294" i="1" s="1"/>
  <c r="GM294" i="1" s="1"/>
  <c r="W60" i="1"/>
  <c r="GP558" i="1"/>
  <c r="GP289" i="1"/>
  <c r="CY62" i="1"/>
  <c r="X62" i="1" s="1"/>
  <c r="CZ62" i="1"/>
  <c r="Y62" i="1" s="1"/>
  <c r="T109" i="5" s="1"/>
  <c r="P59" i="1"/>
  <c r="K178" i="5"/>
  <c r="P390" i="5"/>
  <c r="K390" i="5"/>
  <c r="J214" i="5"/>
  <c r="AQ22" i="1"/>
  <c r="F415" i="1"/>
  <c r="AQ742" i="1"/>
  <c r="GM372" i="1"/>
  <c r="GP372" i="1"/>
  <c r="F322" i="1"/>
  <c r="W287" i="1"/>
  <c r="P248" i="1"/>
  <c r="F258" i="1"/>
  <c r="CF248" i="1"/>
  <c r="AW255" i="1"/>
  <c r="S287" i="1"/>
  <c r="F313" i="1"/>
  <c r="CB26" i="1"/>
  <c r="AS65" i="1"/>
  <c r="AS449" i="1"/>
  <c r="F613" i="1"/>
  <c r="E17" i="2" s="1"/>
  <c r="S336" i="1"/>
  <c r="AF330" i="1"/>
  <c r="AP449" i="1"/>
  <c r="F605" i="1"/>
  <c r="G17" i="2" s="1"/>
  <c r="CZ116" i="1"/>
  <c r="Y116" i="1" s="1"/>
  <c r="T156" i="5" s="1"/>
  <c r="CY116" i="1"/>
  <c r="X116" i="1" s="1"/>
  <c r="R156" i="5" s="1"/>
  <c r="GK162" i="1"/>
  <c r="BD628" i="1"/>
  <c r="F733" i="1"/>
  <c r="AX453" i="1"/>
  <c r="F475" i="1"/>
  <c r="AX596" i="1"/>
  <c r="F324" i="1"/>
  <c r="X287" i="1"/>
  <c r="AX248" i="1"/>
  <c r="F262" i="1"/>
  <c r="S375" i="1"/>
  <c r="AF368" i="1"/>
  <c r="W330" i="1"/>
  <c r="F360" i="1"/>
  <c r="AK248" i="1"/>
  <c r="X255" i="1"/>
  <c r="W207" i="1"/>
  <c r="F240" i="1"/>
  <c r="BC628" i="1"/>
  <c r="F724" i="1"/>
  <c r="GP294" i="1"/>
  <c r="W375" i="1"/>
  <c r="AJ368" i="1"/>
  <c r="AW678" i="1"/>
  <c r="CF671" i="1"/>
  <c r="CE671" i="1"/>
  <c r="AV678" i="1"/>
  <c r="F701" i="1"/>
  <c r="V671" i="1"/>
  <c r="F685" i="1"/>
  <c r="AX671" i="1"/>
  <c r="S453" i="1"/>
  <c r="F483" i="1"/>
  <c r="S596" i="1"/>
  <c r="AS628" i="1"/>
  <c r="F725" i="1"/>
  <c r="E18" i="2" s="1"/>
  <c r="BD449" i="1"/>
  <c r="F621" i="1"/>
  <c r="BA453" i="1"/>
  <c r="F488" i="1"/>
  <c r="BA596" i="1"/>
  <c r="AE453" i="1"/>
  <c r="R468" i="1"/>
  <c r="AP160" i="1"/>
  <c r="F184" i="1"/>
  <c r="BB22" i="1"/>
  <c r="F418" i="1"/>
  <c r="BB742" i="1"/>
  <c r="T330" i="1"/>
  <c r="F357" i="1"/>
  <c r="AC500" i="1"/>
  <c r="P566" i="1"/>
  <c r="CE566" i="1"/>
  <c r="CH566" i="1"/>
  <c r="CF566" i="1"/>
  <c r="AY336" i="1"/>
  <c r="CH330" i="1"/>
  <c r="F486" i="1"/>
  <c r="AT453" i="1"/>
  <c r="AT596" i="1"/>
  <c r="U207" i="1"/>
  <c r="F238" i="1"/>
  <c r="T708" i="1"/>
  <c r="T632" i="1"/>
  <c r="F660" i="1"/>
  <c r="F659" i="1"/>
  <c r="BA632" i="1"/>
  <c r="BA708" i="1"/>
  <c r="Q287" i="1"/>
  <c r="F310" i="1"/>
  <c r="CP58" i="1"/>
  <c r="O58" i="1" s="1"/>
  <c r="GP537" i="1"/>
  <c r="GP50" i="1"/>
  <c r="GM371" i="1"/>
  <c r="GM163" i="1"/>
  <c r="CZ165" i="1"/>
  <c r="Y165" i="1" s="1"/>
  <c r="T211" i="5" s="1"/>
  <c r="CY165" i="1"/>
  <c r="X165" i="1" s="1"/>
  <c r="R211" i="5" s="1"/>
  <c r="U632" i="1"/>
  <c r="F661" i="1"/>
  <c r="U708" i="1"/>
  <c r="CH639" i="1"/>
  <c r="AC632" i="1"/>
  <c r="CF639" i="1"/>
  <c r="P639" i="1"/>
  <c r="CE639" i="1"/>
  <c r="U375" i="1"/>
  <c r="AH368" i="1"/>
  <c r="CZ169" i="1"/>
  <c r="Y169" i="1" s="1"/>
  <c r="CY169" i="1"/>
  <c r="X169" i="1" s="1"/>
  <c r="R229" i="5" s="1"/>
  <c r="CZ58" i="1"/>
  <c r="Y58" i="1" s="1"/>
  <c r="T90" i="5" s="1"/>
  <c r="CY58" i="1"/>
  <c r="X58" i="1" s="1"/>
  <c r="R90" i="5" s="1"/>
  <c r="AB671" i="1"/>
  <c r="O678" i="1"/>
  <c r="F718" i="1"/>
  <c r="AQ628" i="1"/>
  <c r="S708" i="1"/>
  <c r="F654" i="1"/>
  <c r="S632" i="1"/>
  <c r="AQ449" i="1"/>
  <c r="F606" i="1"/>
  <c r="CH248" i="1"/>
  <c r="AY255" i="1"/>
  <c r="T368" i="1"/>
  <c r="F396" i="1"/>
  <c r="Q248" i="1"/>
  <c r="F267" i="1"/>
  <c r="CX35" i="3"/>
  <c r="CX36" i="3"/>
  <c r="I172" i="1"/>
  <c r="V171" i="1"/>
  <c r="I173" i="1"/>
  <c r="R171" i="1"/>
  <c r="Q171" i="1"/>
  <c r="J242" i="5" s="1"/>
  <c r="W171" i="1"/>
  <c r="GX171" i="1"/>
  <c r="S171" i="1"/>
  <c r="J241" i="5" s="1"/>
  <c r="P171" i="1"/>
  <c r="J244" i="5" s="1"/>
  <c r="U171" i="1"/>
  <c r="K248" i="5" s="1"/>
  <c r="T171" i="1"/>
  <c r="BC22" i="1"/>
  <c r="F421" i="1"/>
  <c r="BC742" i="1"/>
  <c r="F651" i="1"/>
  <c r="Q632" i="1"/>
  <c r="Q708" i="1"/>
  <c r="AZ287" i="1"/>
  <c r="F309" i="1"/>
  <c r="GM370" i="1"/>
  <c r="GP370" i="1"/>
  <c r="AB375" i="1"/>
  <c r="AK330" i="1"/>
  <c r="X336" i="1"/>
  <c r="GM332" i="1"/>
  <c r="AB336" i="1"/>
  <c r="GP332" i="1"/>
  <c r="CZ117" i="1"/>
  <c r="Y117" i="1" s="1"/>
  <c r="T161" i="5" s="1"/>
  <c r="J164" i="5" s="1"/>
  <c r="CY117" i="1"/>
  <c r="X117" i="1" s="1"/>
  <c r="R161" i="5" s="1"/>
  <c r="J163" i="5" s="1"/>
  <c r="Y216" i="1"/>
  <c r="GM166" i="1"/>
  <c r="GP166" i="1"/>
  <c r="CZ60" i="1"/>
  <c r="Y60" i="1" s="1"/>
  <c r="T101" i="5" s="1"/>
  <c r="CY60" i="1"/>
  <c r="X60" i="1" s="1"/>
  <c r="R101" i="5" s="1"/>
  <c r="CZ251" i="1"/>
  <c r="Y251" i="1" s="1"/>
  <c r="CY251" i="1"/>
  <c r="X251" i="1" s="1"/>
  <c r="S671" i="1"/>
  <c r="F693" i="1"/>
  <c r="AX368" i="1"/>
  <c r="F382" i="1"/>
  <c r="AO628" i="1"/>
  <c r="F712" i="1"/>
  <c r="AC287" i="1"/>
  <c r="CH298" i="1"/>
  <c r="CF298" i="1"/>
  <c r="P298" i="1"/>
  <c r="CE298" i="1"/>
  <c r="U453" i="1"/>
  <c r="F490" i="1"/>
  <c r="U596" i="1"/>
  <c r="F359" i="1"/>
  <c r="V330" i="1"/>
  <c r="AF248" i="1"/>
  <c r="S255" i="1"/>
  <c r="BC449" i="1"/>
  <c r="F612" i="1"/>
  <c r="F343" i="1"/>
  <c r="AX330" i="1"/>
  <c r="AK207" i="1"/>
  <c r="X216" i="1"/>
  <c r="GP210" i="1"/>
  <c r="GM210" i="1"/>
  <c r="GM253" i="1"/>
  <c r="CA255" i="1" s="1"/>
  <c r="GP253" i="1"/>
  <c r="F275" i="1"/>
  <c r="BA248" i="1"/>
  <c r="F237" i="1"/>
  <c r="T207" i="1"/>
  <c r="AZ175" i="1"/>
  <c r="CI160" i="1"/>
  <c r="AB216" i="1"/>
  <c r="GP213" i="1"/>
  <c r="CD216" i="1" s="1"/>
  <c r="GM213" i="1"/>
  <c r="CA216" i="1" s="1"/>
  <c r="P330" i="1"/>
  <c r="F339" i="1"/>
  <c r="GM542" i="1"/>
  <c r="CD255" i="1"/>
  <c r="CP168" i="1"/>
  <c r="O168" i="1" s="1"/>
  <c r="J223" i="5" s="1"/>
  <c r="GP115" i="1"/>
  <c r="Y468" i="1"/>
  <c r="AL453" i="1"/>
  <c r="GM534" i="1"/>
  <c r="GP534" i="1"/>
  <c r="AZ500" i="1"/>
  <c r="F577" i="1"/>
  <c r="AX97" i="1"/>
  <c r="F135" i="1"/>
  <c r="AO22" i="1"/>
  <c r="F409" i="1"/>
  <c r="AO742" i="1"/>
  <c r="BD22" i="1"/>
  <c r="F430" i="1"/>
  <c r="BD742" i="1"/>
  <c r="AC368" i="1"/>
  <c r="CF375" i="1"/>
  <c r="CH375" i="1"/>
  <c r="CE375" i="1"/>
  <c r="P375" i="1"/>
  <c r="AB248" i="1"/>
  <c r="O255" i="1"/>
  <c r="AZ26" i="1"/>
  <c r="F76" i="1"/>
  <c r="AK500" i="1"/>
  <c r="X566" i="1"/>
  <c r="Y298" i="1"/>
  <c r="AL287" i="1"/>
  <c r="BB628" i="1"/>
  <c r="F721" i="1"/>
  <c r="GM291" i="1"/>
  <c r="CA298" i="1" s="1"/>
  <c r="AB298" i="1"/>
  <c r="AB500" i="1"/>
  <c r="O566" i="1"/>
  <c r="AP368" i="1"/>
  <c r="F384" i="1"/>
  <c r="W248" i="1"/>
  <c r="F279" i="1"/>
  <c r="BB449" i="1"/>
  <c r="F609" i="1"/>
  <c r="F185" i="1"/>
  <c r="AQ160" i="1"/>
  <c r="F227" i="1"/>
  <c r="AZ207" i="1"/>
  <c r="AT22" i="1"/>
  <c r="F423" i="1"/>
  <c r="F16" i="2" s="1"/>
  <c r="AT742" i="1"/>
  <c r="AS368" i="1"/>
  <c r="F392" i="1"/>
  <c r="AL500" i="1"/>
  <c r="Y566" i="1"/>
  <c r="CZ168" i="1"/>
  <c r="Y168" i="1" s="1"/>
  <c r="T223" i="5" s="1"/>
  <c r="J225" i="5" s="1"/>
  <c r="CY168" i="1"/>
  <c r="X168" i="1" s="1"/>
  <c r="R223" i="5" s="1"/>
  <c r="J224" i="5" s="1"/>
  <c r="I228" i="5" s="1"/>
  <c r="F681" i="1"/>
  <c r="P671" i="1"/>
  <c r="Q671" i="1"/>
  <c r="F690" i="1"/>
  <c r="AT628" i="1"/>
  <c r="F726" i="1"/>
  <c r="F18" i="2" s="1"/>
  <c r="F650" i="1"/>
  <c r="AZ632" i="1"/>
  <c r="AZ708" i="1"/>
  <c r="R248" i="1"/>
  <c r="F269" i="1"/>
  <c r="U287" i="1"/>
  <c r="F320" i="1"/>
  <c r="AC453" i="1"/>
  <c r="CF468" i="1"/>
  <c r="CH468" i="1"/>
  <c r="CE468" i="1"/>
  <c r="P468" i="1"/>
  <c r="BA330" i="1"/>
  <c r="F356" i="1"/>
  <c r="AC207" i="1"/>
  <c r="P216" i="1"/>
  <c r="CE216" i="1"/>
  <c r="CH216" i="1"/>
  <c r="CF216" i="1"/>
  <c r="W671" i="1"/>
  <c r="F702" i="1"/>
  <c r="AX632" i="1"/>
  <c r="F646" i="1"/>
  <c r="AX708" i="1"/>
  <c r="CE330" i="1"/>
  <c r="AV336" i="1"/>
  <c r="AW336" i="1"/>
  <c r="CF330" i="1"/>
  <c r="T453" i="1"/>
  <c r="F489" i="1"/>
  <c r="T596" i="1"/>
  <c r="CP165" i="1"/>
  <c r="O165" i="1" s="1"/>
  <c r="J211" i="5" s="1"/>
  <c r="AL375" i="1"/>
  <c r="CP162" i="1"/>
  <c r="O162" i="1" s="1"/>
  <c r="GM558" i="1"/>
  <c r="GM463" i="1"/>
  <c r="Y678" i="1"/>
  <c r="AL671" i="1"/>
  <c r="AE287" i="1"/>
  <c r="R298" i="1"/>
  <c r="GM557" i="1"/>
  <c r="GP557" i="1"/>
  <c r="CZ543" i="1"/>
  <c r="Y543" i="1" s="1"/>
  <c r="CY543" i="1"/>
  <c r="X543" i="1" s="1"/>
  <c r="GM334" i="1"/>
  <c r="GP334" i="1"/>
  <c r="GM125" i="1"/>
  <c r="GP125" i="1"/>
  <c r="GP538" i="1"/>
  <c r="GM538" i="1"/>
  <c r="BA671" i="1"/>
  <c r="F698" i="1"/>
  <c r="F663" i="1"/>
  <c r="W708" i="1"/>
  <c r="W632" i="1"/>
  <c r="AO449" i="1"/>
  <c r="F600" i="1"/>
  <c r="F231" i="1"/>
  <c r="S207" i="1"/>
  <c r="BA287" i="1"/>
  <c r="F318" i="1"/>
  <c r="CE248" i="1"/>
  <c r="AV255" i="1"/>
  <c r="AZ330" i="1"/>
  <c r="F347" i="1"/>
  <c r="V248" i="1"/>
  <c r="F278" i="1"/>
  <c r="R216" i="1"/>
  <c r="AE207" i="1"/>
  <c r="V170" i="1"/>
  <c r="GX170" i="1"/>
  <c r="R170" i="1"/>
  <c r="GK170" i="1" s="1"/>
  <c r="Q170" i="1"/>
  <c r="S170" i="1"/>
  <c r="T170" i="1"/>
  <c r="P170" i="1"/>
  <c r="U170" i="1"/>
  <c r="W170" i="1"/>
  <c r="GM52" i="1"/>
  <c r="GP52" i="1"/>
  <c r="F689" i="1"/>
  <c r="AZ671" i="1"/>
  <c r="U671" i="1"/>
  <c r="F700" i="1"/>
  <c r="AP628" i="1"/>
  <c r="F717" i="1"/>
  <c r="G18" i="2" s="1"/>
  <c r="F479" i="1"/>
  <c r="AZ453" i="1"/>
  <c r="AZ596" i="1"/>
  <c r="Q368" i="1"/>
  <c r="F387" i="1"/>
  <c r="Y336" i="1"/>
  <c r="AL330" i="1"/>
  <c r="T248" i="1"/>
  <c r="F276" i="1"/>
  <c r="AZ97" i="1"/>
  <c r="F139" i="1"/>
  <c r="AP22" i="1"/>
  <c r="F414" i="1"/>
  <c r="G16" i="2" s="1"/>
  <c r="AP742" i="1"/>
  <c r="CY250" i="1"/>
  <c r="X250" i="1" s="1"/>
  <c r="CZ250" i="1"/>
  <c r="Y250" i="1" s="1"/>
  <c r="GM250" i="1" s="1"/>
  <c r="F699" i="1"/>
  <c r="T671" i="1"/>
  <c r="CI368" i="1"/>
  <c r="AZ375" i="1"/>
  <c r="V287" i="1"/>
  <c r="F321" i="1"/>
  <c r="Y255" i="1"/>
  <c r="F277" i="1"/>
  <c r="U248" i="1"/>
  <c r="CG160" i="1"/>
  <c r="AX175" i="1"/>
  <c r="F319" i="1"/>
  <c r="T287" i="1"/>
  <c r="CB97" i="1"/>
  <c r="AS128" i="1"/>
  <c r="X678" i="1"/>
  <c r="AK671" i="1"/>
  <c r="CY290" i="1"/>
  <c r="X290" i="1" s="1"/>
  <c r="GP290" i="1" s="1"/>
  <c r="CZ290" i="1"/>
  <c r="Y290" i="1" s="1"/>
  <c r="CZ464" i="1"/>
  <c r="Y464" i="1" s="1"/>
  <c r="CY464" i="1"/>
  <c r="X464" i="1" s="1"/>
  <c r="GP464" i="1" s="1"/>
  <c r="AY678" i="1"/>
  <c r="CH671" i="1"/>
  <c r="GP456" i="1"/>
  <c r="GM456" i="1"/>
  <c r="AB468" i="1"/>
  <c r="AE500" i="1"/>
  <c r="R566" i="1"/>
  <c r="AS160" i="1"/>
  <c r="F192" i="1"/>
  <c r="GP503" i="1"/>
  <c r="CD566" i="1" s="1"/>
  <c r="GM503" i="1"/>
  <c r="CA566" i="1" s="1"/>
  <c r="V449" i="1"/>
  <c r="F619" i="1"/>
  <c r="W453" i="1"/>
  <c r="F492" i="1"/>
  <c r="W596" i="1"/>
  <c r="V632" i="1"/>
  <c r="F662" i="1"/>
  <c r="V708" i="1"/>
  <c r="AK375" i="1"/>
  <c r="CP251" i="1"/>
  <c r="O251" i="1" s="1"/>
  <c r="CP117" i="1"/>
  <c r="O117" i="1" s="1"/>
  <c r="P280" i="5" l="1"/>
  <c r="I282" i="5" s="1"/>
  <c r="K280" i="5"/>
  <c r="AJ65" i="1"/>
  <c r="P217" i="5"/>
  <c r="K217" i="5"/>
  <c r="CJ65" i="1"/>
  <c r="P205" i="5"/>
  <c r="K205" i="5"/>
  <c r="O639" i="1"/>
  <c r="O708" i="1" s="1"/>
  <c r="AB632" i="1"/>
  <c r="K228" i="5"/>
  <c r="P228" i="5"/>
  <c r="F480" i="1"/>
  <c r="Q453" i="1"/>
  <c r="Q596" i="1"/>
  <c r="GM120" i="1"/>
  <c r="GP120" i="1"/>
  <c r="CP119" i="1"/>
  <c r="O119" i="1" s="1"/>
  <c r="AK632" i="1"/>
  <c r="X639" i="1"/>
  <c r="R678" i="1"/>
  <c r="AE671" i="1"/>
  <c r="CP60" i="1"/>
  <c r="O60" i="1" s="1"/>
  <c r="GM464" i="1"/>
  <c r="BA375" i="1"/>
  <c r="GP543" i="1"/>
  <c r="GM543" i="1"/>
  <c r="AX500" i="1"/>
  <c r="F573" i="1"/>
  <c r="K264" i="5"/>
  <c r="P264" i="5"/>
  <c r="I266" i="5" s="1"/>
  <c r="P419" i="5"/>
  <c r="K419" i="5"/>
  <c r="R639" i="1"/>
  <c r="AE632" i="1"/>
  <c r="GM673" i="1"/>
  <c r="CA678" i="1" s="1"/>
  <c r="GP673" i="1"/>
  <c r="CD678" i="1" s="1"/>
  <c r="GP250" i="1"/>
  <c r="K352" i="5"/>
  <c r="P352" i="5"/>
  <c r="I354" i="5" s="1"/>
  <c r="J425" i="5"/>
  <c r="GM637" i="1"/>
  <c r="GP637" i="1"/>
  <c r="U336" i="1"/>
  <c r="AH330" i="1"/>
  <c r="CA468" i="1"/>
  <c r="CA453" i="1" s="1"/>
  <c r="V375" i="1"/>
  <c r="V368" i="1" s="1"/>
  <c r="GK171" i="1"/>
  <c r="J243" i="5"/>
  <c r="CP59" i="1"/>
  <c r="O59" i="1" s="1"/>
  <c r="P40" i="5"/>
  <c r="K40" i="5"/>
  <c r="Q105" i="5"/>
  <c r="E105" i="5"/>
  <c r="D28" i="6"/>
  <c r="S105" i="5"/>
  <c r="W61" i="1"/>
  <c r="U61" i="1"/>
  <c r="AH65" i="1" s="1"/>
  <c r="V61" i="1"/>
  <c r="AI65" i="1" s="1"/>
  <c r="T61" i="1"/>
  <c r="AG65" i="1" s="1"/>
  <c r="S61" i="1"/>
  <c r="U105" i="5"/>
  <c r="GX61" i="1"/>
  <c r="P61" i="1"/>
  <c r="AC65" i="1" s="1"/>
  <c r="V105" i="5"/>
  <c r="R61" i="1"/>
  <c r="J107" i="5" s="1"/>
  <c r="Q61" i="1"/>
  <c r="Q336" i="1"/>
  <c r="AD330" i="1"/>
  <c r="GP636" i="1"/>
  <c r="GM636" i="1"/>
  <c r="CD375" i="1"/>
  <c r="CD368" i="1" s="1"/>
  <c r="AK453" i="1"/>
  <c r="X468" i="1"/>
  <c r="AE330" i="1"/>
  <c r="R336" i="1"/>
  <c r="I318" i="5"/>
  <c r="GM169" i="1"/>
  <c r="T229" i="5"/>
  <c r="R375" i="1"/>
  <c r="R368" i="1" s="1"/>
  <c r="T425" i="5"/>
  <c r="J427" i="5" s="1"/>
  <c r="I430" i="5" s="1"/>
  <c r="AL639" i="1"/>
  <c r="AC128" i="1"/>
  <c r="U118" i="1"/>
  <c r="AH128" i="1" s="1"/>
  <c r="D38" i="6"/>
  <c r="E167" i="5"/>
  <c r="V167" i="5"/>
  <c r="Q167" i="5"/>
  <c r="U167" i="5"/>
  <c r="V118" i="1"/>
  <c r="AI128" i="1" s="1"/>
  <c r="T118" i="1"/>
  <c r="AG128" i="1" s="1"/>
  <c r="R118" i="1"/>
  <c r="J169" i="5" s="1"/>
  <c r="W118" i="1"/>
  <c r="AJ128" i="1" s="1"/>
  <c r="Q118" i="1"/>
  <c r="J168" i="5" s="1"/>
  <c r="I170" i="5" s="1"/>
  <c r="P170" i="5" s="1"/>
  <c r="S167" i="5"/>
  <c r="K170" i="5"/>
  <c r="GX118" i="1"/>
  <c r="CJ128" i="1" s="1"/>
  <c r="S118" i="1"/>
  <c r="P118" i="1"/>
  <c r="CP118" i="1" s="1"/>
  <c r="O118" i="1" s="1"/>
  <c r="K166" i="5"/>
  <c r="P166" i="5"/>
  <c r="P375" i="5"/>
  <c r="K375" i="5"/>
  <c r="G20" i="2"/>
  <c r="J157" i="5"/>
  <c r="I160" i="5" s="1"/>
  <c r="AD128" i="1"/>
  <c r="CZ119" i="1"/>
  <c r="Y119" i="1" s="1"/>
  <c r="T171" i="5" s="1"/>
  <c r="CY119" i="1"/>
  <c r="X119" i="1" s="1"/>
  <c r="S500" i="1"/>
  <c r="F581" i="1"/>
  <c r="GM290" i="1"/>
  <c r="Q207" i="1"/>
  <c r="F228" i="1"/>
  <c r="CD468" i="1"/>
  <c r="AU468" i="1" s="1"/>
  <c r="GP62" i="1"/>
  <c r="R109" i="5"/>
  <c r="K104" i="5"/>
  <c r="GP634" i="1"/>
  <c r="CD639" i="1" s="1"/>
  <c r="AU639" i="1" s="1"/>
  <c r="GM634" i="1"/>
  <c r="CA639" i="1" s="1"/>
  <c r="GK116" i="1"/>
  <c r="J158" i="5"/>
  <c r="AE128" i="1"/>
  <c r="J96" i="5"/>
  <c r="CY59" i="1"/>
  <c r="X59" i="1" s="1"/>
  <c r="R95" i="5" s="1"/>
  <c r="J97" i="5" s="1"/>
  <c r="CZ59" i="1"/>
  <c r="Y59" i="1" s="1"/>
  <c r="T95" i="5" s="1"/>
  <c r="J98" i="5" s="1"/>
  <c r="K466" i="5"/>
  <c r="P466" i="5"/>
  <c r="I468" i="5" s="1"/>
  <c r="K94" i="5"/>
  <c r="P94" i="5"/>
  <c r="P412" i="5"/>
  <c r="K412" i="5"/>
  <c r="GM62" i="1"/>
  <c r="CD500" i="1"/>
  <c r="AU566" i="1"/>
  <c r="CA500" i="1"/>
  <c r="AR566" i="1"/>
  <c r="Y248" i="1"/>
  <c r="F282" i="1"/>
  <c r="GM165" i="1"/>
  <c r="GP165" i="1"/>
  <c r="CH207" i="1"/>
  <c r="AY216" i="1"/>
  <c r="CE368" i="1"/>
  <c r="AV375" i="1"/>
  <c r="GM168" i="1"/>
  <c r="GP168" i="1"/>
  <c r="AY248" i="1"/>
  <c r="F263" i="1"/>
  <c r="CA248" i="1"/>
  <c r="AR255" i="1"/>
  <c r="CE500" i="1"/>
  <c r="AV566" i="1"/>
  <c r="BB18" i="1"/>
  <c r="F755" i="1"/>
  <c r="F684" i="1"/>
  <c r="AW671" i="1"/>
  <c r="AR468" i="1"/>
  <c r="AP18" i="1"/>
  <c r="F751" i="1"/>
  <c r="I23" i="5" s="1"/>
  <c r="Y330" i="1"/>
  <c r="F363" i="1"/>
  <c r="R207" i="1"/>
  <c r="F230" i="1"/>
  <c r="GP162" i="1"/>
  <c r="GM162" i="1"/>
  <c r="T449" i="1"/>
  <c r="F617" i="1"/>
  <c r="F342" i="1"/>
  <c r="AW330" i="1"/>
  <c r="AW216" i="1"/>
  <c r="CF207" i="1"/>
  <c r="CE453" i="1"/>
  <c r="AV468" i="1"/>
  <c r="AZ628" i="1"/>
  <c r="F719" i="1"/>
  <c r="O500" i="1"/>
  <c r="F568" i="1"/>
  <c r="AU298" i="1"/>
  <c r="CD287" i="1"/>
  <c r="F378" i="1"/>
  <c r="P368" i="1"/>
  <c r="Y453" i="1"/>
  <c r="F495" i="1"/>
  <c r="Y596" i="1"/>
  <c r="O216" i="1"/>
  <c r="AB207" i="1"/>
  <c r="AY298" i="1"/>
  <c r="CH287" i="1"/>
  <c r="GX173" i="1"/>
  <c r="V173" i="1"/>
  <c r="Q173" i="1"/>
  <c r="R173" i="1"/>
  <c r="GK173" i="1" s="1"/>
  <c r="P173" i="1"/>
  <c r="W173" i="1"/>
  <c r="S173" i="1"/>
  <c r="U173" i="1"/>
  <c r="T173" i="1"/>
  <c r="CF632" i="1"/>
  <c r="AW639" i="1"/>
  <c r="BA628" i="1"/>
  <c r="F728" i="1"/>
  <c r="AT449" i="1"/>
  <c r="F614" i="1"/>
  <c r="F17" i="2" s="1"/>
  <c r="F20" i="2" s="1"/>
  <c r="CH500" i="1"/>
  <c r="AY566" i="1"/>
  <c r="BA449" i="1"/>
  <c r="F616" i="1"/>
  <c r="F389" i="1"/>
  <c r="AX449" i="1"/>
  <c r="F603" i="1"/>
  <c r="AQ18" i="1"/>
  <c r="F752" i="1"/>
  <c r="CP170" i="1"/>
  <c r="O170" i="1" s="1"/>
  <c r="J234" i="5" s="1"/>
  <c r="CA336" i="1"/>
  <c r="GP60" i="1"/>
  <c r="GM60" i="1"/>
  <c r="R500" i="1"/>
  <c r="F580" i="1"/>
  <c r="F704" i="1"/>
  <c r="X671" i="1"/>
  <c r="AX160" i="1"/>
  <c r="F182" i="1"/>
  <c r="AV248" i="1"/>
  <c r="F260" i="1"/>
  <c r="Y375" i="1"/>
  <c r="AL368" i="1"/>
  <c r="AV330" i="1"/>
  <c r="F341" i="1"/>
  <c r="AY468" i="1"/>
  <c r="CH453" i="1"/>
  <c r="BC18" i="1"/>
  <c r="F758" i="1"/>
  <c r="AK368" i="1"/>
  <c r="X375" i="1"/>
  <c r="GM251" i="1"/>
  <c r="GP251" i="1"/>
  <c r="F731" i="1"/>
  <c r="V628" i="1"/>
  <c r="O468" i="1"/>
  <c r="AB453" i="1"/>
  <c r="AY671" i="1"/>
  <c r="F686" i="1"/>
  <c r="F386" i="1"/>
  <c r="AZ368" i="1"/>
  <c r="AZ449" i="1"/>
  <c r="F607" i="1"/>
  <c r="Y671" i="1"/>
  <c r="F705" i="1"/>
  <c r="AX628" i="1"/>
  <c r="F715" i="1"/>
  <c r="F219" i="1"/>
  <c r="P207" i="1"/>
  <c r="F471" i="1"/>
  <c r="P453" i="1"/>
  <c r="P596" i="1"/>
  <c r="Y500" i="1"/>
  <c r="F593" i="1"/>
  <c r="AT18" i="1"/>
  <c r="F760" i="1"/>
  <c r="I22" i="5" s="1"/>
  <c r="CA287" i="1"/>
  <c r="AR298" i="1"/>
  <c r="F398" i="1"/>
  <c r="AW375" i="1"/>
  <c r="CF368" i="1"/>
  <c r="BD18" i="1"/>
  <c r="F767" i="1"/>
  <c r="AO18" i="1"/>
  <c r="F746" i="1"/>
  <c r="CD207" i="1"/>
  <c r="AU216" i="1"/>
  <c r="X207" i="1"/>
  <c r="F242" i="1"/>
  <c r="AW298" i="1"/>
  <c r="CF287" i="1"/>
  <c r="O336" i="1"/>
  <c r="AB330" i="1"/>
  <c r="F362" i="1"/>
  <c r="X330" i="1"/>
  <c r="CZ171" i="1"/>
  <c r="Y171" i="1" s="1"/>
  <c r="T240" i="5" s="1"/>
  <c r="J246" i="5" s="1"/>
  <c r="CY171" i="1"/>
  <c r="X171" i="1" s="1"/>
  <c r="R240" i="5" s="1"/>
  <c r="J245" i="5" s="1"/>
  <c r="S628" i="1"/>
  <c r="F723" i="1"/>
  <c r="J18" i="2" s="1"/>
  <c r="U368" i="1"/>
  <c r="F397" i="1"/>
  <c r="F642" i="1"/>
  <c r="P632" i="1"/>
  <c r="P708" i="1"/>
  <c r="U628" i="1"/>
  <c r="F730" i="1"/>
  <c r="CA632" i="1"/>
  <c r="AR639" i="1"/>
  <c r="GM58" i="1"/>
  <c r="GP58" i="1"/>
  <c r="CF500" i="1"/>
  <c r="AW566" i="1"/>
  <c r="S449" i="1"/>
  <c r="F611" i="1"/>
  <c r="J17" i="2" s="1"/>
  <c r="W368" i="1"/>
  <c r="F399" i="1"/>
  <c r="S368" i="1"/>
  <c r="F390" i="1"/>
  <c r="S330" i="1"/>
  <c r="F351" i="1"/>
  <c r="AZ405" i="1"/>
  <c r="CA375" i="1"/>
  <c r="GM116" i="1"/>
  <c r="GP116" i="1"/>
  <c r="X500" i="1"/>
  <c r="F592" i="1"/>
  <c r="CD248" i="1"/>
  <c r="AU255" i="1"/>
  <c r="CE287" i="1"/>
  <c r="AV298" i="1"/>
  <c r="O375" i="1"/>
  <c r="AB368" i="1"/>
  <c r="T628" i="1"/>
  <c r="F729" i="1"/>
  <c r="GM117" i="1"/>
  <c r="GP117" i="1"/>
  <c r="W449" i="1"/>
  <c r="F620" i="1"/>
  <c r="F641" i="1"/>
  <c r="AS97" i="1"/>
  <c r="F145" i="1"/>
  <c r="BA368" i="1"/>
  <c r="F395" i="1"/>
  <c r="CZ170" i="1"/>
  <c r="Y170" i="1" s="1"/>
  <c r="T234" i="5" s="1"/>
  <c r="CY170" i="1"/>
  <c r="X170" i="1" s="1"/>
  <c r="R234" i="5" s="1"/>
  <c r="J235" i="5" s="1"/>
  <c r="W628" i="1"/>
  <c r="F732" i="1"/>
  <c r="F312" i="1"/>
  <c r="R287" i="1"/>
  <c r="CJ97" i="1"/>
  <c r="BA128" i="1"/>
  <c r="CE207" i="1"/>
  <c r="AV216" i="1"/>
  <c r="AW468" i="1"/>
  <c r="CF453" i="1"/>
  <c r="O298" i="1"/>
  <c r="AB287" i="1"/>
  <c r="Y287" i="1"/>
  <c r="F325" i="1"/>
  <c r="O248" i="1"/>
  <c r="F257" i="1"/>
  <c r="AY375" i="1"/>
  <c r="CH368" i="1"/>
  <c r="CD632" i="1"/>
  <c r="CA207" i="1"/>
  <c r="AR216" i="1"/>
  <c r="AZ160" i="1"/>
  <c r="F186" i="1"/>
  <c r="S248" i="1"/>
  <c r="F270" i="1"/>
  <c r="U449" i="1"/>
  <c r="F618" i="1"/>
  <c r="P287" i="1"/>
  <c r="F301" i="1"/>
  <c r="Y207" i="1"/>
  <c r="F243" i="1"/>
  <c r="AU375" i="1"/>
  <c r="Q628" i="1"/>
  <c r="F720" i="1"/>
  <c r="GX172" i="1"/>
  <c r="CJ175" i="1" s="1"/>
  <c r="P172" i="1"/>
  <c r="T172" i="1"/>
  <c r="AG175" i="1" s="1"/>
  <c r="U172" i="1"/>
  <c r="AH175" i="1" s="1"/>
  <c r="S172" i="1"/>
  <c r="R172" i="1"/>
  <c r="GK172" i="1" s="1"/>
  <c r="Q172" i="1"/>
  <c r="AD175" i="1" s="1"/>
  <c r="W172" i="1"/>
  <c r="AJ175" i="1" s="1"/>
  <c r="V172" i="1"/>
  <c r="AI175" i="1" s="1"/>
  <c r="O671" i="1"/>
  <c r="F680" i="1"/>
  <c r="CE632" i="1"/>
  <c r="AV639" i="1"/>
  <c r="CH632" i="1"/>
  <c r="AY639" i="1"/>
  <c r="AY330" i="1"/>
  <c r="F344" i="1"/>
  <c r="P500" i="1"/>
  <c r="F569" i="1"/>
  <c r="F482" i="1"/>
  <c r="R453" i="1"/>
  <c r="R596" i="1"/>
  <c r="F683" i="1"/>
  <c r="AV671" i="1"/>
  <c r="X248" i="1"/>
  <c r="F281" i="1"/>
  <c r="F82" i="1"/>
  <c r="AS26" i="1"/>
  <c r="AS405" i="1"/>
  <c r="F261" i="1"/>
  <c r="AW248" i="1"/>
  <c r="X708" i="1"/>
  <c r="AX405" i="1"/>
  <c r="CD336" i="1"/>
  <c r="CP171" i="1"/>
  <c r="O171" i="1" s="1"/>
  <c r="P65" i="1" l="1"/>
  <c r="CE65" i="1"/>
  <c r="AC26" i="1"/>
  <c r="CH65" i="1"/>
  <c r="CF65" i="1"/>
  <c r="AH97" i="1"/>
  <c r="U128" i="1"/>
  <c r="AG26" i="1"/>
  <c r="T65" i="1"/>
  <c r="AI26" i="1"/>
  <c r="V65" i="1"/>
  <c r="AH26" i="1"/>
  <c r="U65" i="1"/>
  <c r="AB65" i="1"/>
  <c r="O65" i="1" s="1"/>
  <c r="AI97" i="1"/>
  <c r="V128" i="1"/>
  <c r="K430" i="5"/>
  <c r="P430" i="5"/>
  <c r="AD97" i="1"/>
  <c r="Q128" i="1"/>
  <c r="CZ118" i="1"/>
  <c r="Y118" i="1" s="1"/>
  <c r="CY118" i="1"/>
  <c r="X118" i="1" s="1"/>
  <c r="GM118" i="1" s="1"/>
  <c r="CA128" i="1" s="1"/>
  <c r="AF128" i="1"/>
  <c r="Y639" i="1"/>
  <c r="AL632" i="1"/>
  <c r="F494" i="1"/>
  <c r="X453" i="1"/>
  <c r="O632" i="1"/>
  <c r="I249" i="5"/>
  <c r="P160" i="5"/>
  <c r="I182" i="5" s="1"/>
  <c r="K160" i="5"/>
  <c r="X596" i="1"/>
  <c r="GP119" i="1"/>
  <c r="P128" i="1"/>
  <c r="CE128" i="1"/>
  <c r="CH128" i="1"/>
  <c r="CF128" i="1"/>
  <c r="AC97" i="1"/>
  <c r="J236" i="5"/>
  <c r="I239" i="5" s="1"/>
  <c r="CD671" i="1"/>
  <c r="AU678" i="1"/>
  <c r="GP59" i="1"/>
  <c r="GM59" i="1"/>
  <c r="F358" i="1"/>
  <c r="U330" i="1"/>
  <c r="CD453" i="1"/>
  <c r="I379" i="5"/>
  <c r="I397" i="5"/>
  <c r="CA671" i="1"/>
  <c r="AR678" i="1"/>
  <c r="F608" i="1"/>
  <c r="Q449" i="1"/>
  <c r="AG97" i="1"/>
  <c r="T128" i="1"/>
  <c r="J106" i="5"/>
  <c r="I108" i="5" s="1"/>
  <c r="AD65" i="1"/>
  <c r="F665" i="1"/>
  <c r="X632" i="1"/>
  <c r="CP61" i="1"/>
  <c r="O61" i="1" s="1"/>
  <c r="AJ26" i="1"/>
  <c r="W65" i="1"/>
  <c r="I100" i="5"/>
  <c r="AJ97" i="1"/>
  <c r="W128" i="1"/>
  <c r="K318" i="5"/>
  <c r="P318" i="5"/>
  <c r="I330" i="5" s="1"/>
  <c r="CZ61" i="1"/>
  <c r="Y61" i="1" s="1"/>
  <c r="CY61" i="1"/>
  <c r="X61" i="1" s="1"/>
  <c r="AF65" i="1"/>
  <c r="CJ26" i="1"/>
  <c r="BA65" i="1"/>
  <c r="BA405" i="1" s="1"/>
  <c r="AB128" i="1"/>
  <c r="I432" i="5"/>
  <c r="I471" i="5"/>
  <c r="R128" i="1"/>
  <c r="AE97" i="1"/>
  <c r="AE65" i="1"/>
  <c r="GM119" i="1"/>
  <c r="R171" i="5"/>
  <c r="F350" i="1"/>
  <c r="R330" i="1"/>
  <c r="Q330" i="1"/>
  <c r="F348" i="1"/>
  <c r="F653" i="1"/>
  <c r="R632" i="1"/>
  <c r="R708" i="1"/>
  <c r="R671" i="1"/>
  <c r="F692" i="1"/>
  <c r="Q175" i="1"/>
  <c r="AD160" i="1"/>
  <c r="AJ160" i="1"/>
  <c r="W175" i="1"/>
  <c r="U175" i="1"/>
  <c r="AH160" i="1"/>
  <c r="AG160" i="1"/>
  <c r="T175" i="1"/>
  <c r="V175" i="1"/>
  <c r="AI160" i="1"/>
  <c r="CJ160" i="1"/>
  <c r="BA175" i="1"/>
  <c r="AX22" i="1"/>
  <c r="F412" i="1"/>
  <c r="AX742" i="1"/>
  <c r="R449" i="1"/>
  <c r="F610" i="1"/>
  <c r="BA97" i="1"/>
  <c r="F148" i="1"/>
  <c r="AU336" i="1"/>
  <c r="CD330" i="1"/>
  <c r="AS22" i="1"/>
  <c r="F422" i="1"/>
  <c r="E16" i="2" s="1"/>
  <c r="AS742" i="1"/>
  <c r="O287" i="1"/>
  <c r="F300" i="1"/>
  <c r="AW287" i="1"/>
  <c r="F304" i="1"/>
  <c r="AW368" i="1"/>
  <c r="F381" i="1"/>
  <c r="P449" i="1"/>
  <c r="F599" i="1"/>
  <c r="AW632" i="1"/>
  <c r="F645" i="1"/>
  <c r="AW708" i="1"/>
  <c r="O207" i="1"/>
  <c r="F218" i="1"/>
  <c r="F473" i="1"/>
  <c r="AV596" i="1"/>
  <c r="AV453" i="1"/>
  <c r="CP173" i="1"/>
  <c r="O173" i="1" s="1"/>
  <c r="GM171" i="1"/>
  <c r="GP171" i="1"/>
  <c r="AV632" i="1"/>
  <c r="F644" i="1"/>
  <c r="AV708" i="1"/>
  <c r="F401" i="1"/>
  <c r="X368" i="1"/>
  <c r="AW207" i="1"/>
  <c r="F222" i="1"/>
  <c r="AR248" i="1"/>
  <c r="F283" i="1"/>
  <c r="AU500" i="1"/>
  <c r="F585" i="1"/>
  <c r="X628" i="1"/>
  <c r="F734" i="1"/>
  <c r="F244" i="1"/>
  <c r="AR207" i="1"/>
  <c r="AU632" i="1"/>
  <c r="AU708" i="1"/>
  <c r="F658" i="1"/>
  <c r="AY368" i="1"/>
  <c r="F383" i="1"/>
  <c r="AW453" i="1"/>
  <c r="F474" i="1"/>
  <c r="AW596" i="1"/>
  <c r="F377" i="1"/>
  <c r="O368" i="1"/>
  <c r="CA368" i="1"/>
  <c r="AR375" i="1"/>
  <c r="AW500" i="1"/>
  <c r="F572" i="1"/>
  <c r="F667" i="1"/>
  <c r="AR632" i="1"/>
  <c r="AR708" i="1"/>
  <c r="F711" i="1"/>
  <c r="P628" i="1"/>
  <c r="O330" i="1"/>
  <c r="F338" i="1"/>
  <c r="F326" i="1"/>
  <c r="AR287" i="1"/>
  <c r="F470" i="1"/>
  <c r="O453" i="1"/>
  <c r="O596" i="1"/>
  <c r="AY500" i="1"/>
  <c r="F574" i="1"/>
  <c r="CZ173" i="1"/>
  <c r="Y173" i="1" s="1"/>
  <c r="CY173" i="1"/>
  <c r="X173" i="1" s="1"/>
  <c r="F306" i="1"/>
  <c r="AY287" i="1"/>
  <c r="AU453" i="1"/>
  <c r="F487" i="1"/>
  <c r="AU596" i="1"/>
  <c r="CP172" i="1"/>
  <c r="O172" i="1" s="1"/>
  <c r="AC175" i="1"/>
  <c r="CZ172" i="1"/>
  <c r="Y172" i="1" s="1"/>
  <c r="CY172" i="1"/>
  <c r="X172" i="1" s="1"/>
  <c r="AK175" i="1" s="1"/>
  <c r="AF175" i="1"/>
  <c r="AU368" i="1"/>
  <c r="F394" i="1"/>
  <c r="F221" i="1"/>
  <c r="AV207" i="1"/>
  <c r="F303" i="1"/>
  <c r="AV287" i="1"/>
  <c r="AZ22" i="1"/>
  <c r="F416" i="1"/>
  <c r="AZ742" i="1"/>
  <c r="F235" i="1"/>
  <c r="AU207" i="1"/>
  <c r="CA330" i="1"/>
  <c r="AR336" i="1"/>
  <c r="AU287" i="1"/>
  <c r="F317" i="1"/>
  <c r="F496" i="1"/>
  <c r="AR453" i="1"/>
  <c r="AR596" i="1"/>
  <c r="AY207" i="1"/>
  <c r="F224" i="1"/>
  <c r="F594" i="1"/>
  <c r="AR500" i="1"/>
  <c r="F647" i="1"/>
  <c r="AY708" i="1"/>
  <c r="AY632" i="1"/>
  <c r="F710" i="1"/>
  <c r="O628" i="1"/>
  <c r="AU248" i="1"/>
  <c r="F274" i="1"/>
  <c r="AB97" i="1"/>
  <c r="O128" i="1"/>
  <c r="AY453" i="1"/>
  <c r="F476" i="1"/>
  <c r="AY596" i="1"/>
  <c r="Y368" i="1"/>
  <c r="F402" i="1"/>
  <c r="GM170" i="1"/>
  <c r="GP170" i="1"/>
  <c r="Y449" i="1"/>
  <c r="F623" i="1"/>
  <c r="AV500" i="1"/>
  <c r="F571" i="1"/>
  <c r="F380" i="1"/>
  <c r="AV368" i="1"/>
  <c r="AE175" i="1"/>
  <c r="AB175" i="1"/>
  <c r="CA97" i="1" l="1"/>
  <c r="AR128" i="1"/>
  <c r="P239" i="5"/>
  <c r="K239" i="5"/>
  <c r="T167" i="5"/>
  <c r="AL128" i="1"/>
  <c r="R65" i="1"/>
  <c r="AE26" i="1"/>
  <c r="S65" i="1"/>
  <c r="AF26" i="1"/>
  <c r="F149" i="1"/>
  <c r="T97" i="1"/>
  <c r="AU671" i="1"/>
  <c r="F697" i="1"/>
  <c r="Q97" i="1"/>
  <c r="F140" i="1"/>
  <c r="U26" i="1"/>
  <c r="F87" i="1"/>
  <c r="P100" i="5"/>
  <c r="K100" i="5"/>
  <c r="F622" i="1"/>
  <c r="X449" i="1"/>
  <c r="CF26" i="1"/>
  <c r="AW65" i="1"/>
  <c r="AB26" i="1"/>
  <c r="F142" i="1"/>
  <c r="R97" i="1"/>
  <c r="T105" i="5"/>
  <c r="AL65" i="1"/>
  <c r="AY65" i="1"/>
  <c r="CH26" i="1"/>
  <c r="BA26" i="1"/>
  <c r="F85" i="1"/>
  <c r="CE97" i="1"/>
  <c r="AV128" i="1"/>
  <c r="R105" i="5"/>
  <c r="AK65" i="1"/>
  <c r="GM61" i="1"/>
  <c r="CA65" i="1" s="1"/>
  <c r="GP61" i="1"/>
  <c r="CD65" i="1" s="1"/>
  <c r="F88" i="1"/>
  <c r="V26" i="1"/>
  <c r="R167" i="5"/>
  <c r="AK128" i="1"/>
  <c r="P108" i="5"/>
  <c r="K108" i="5"/>
  <c r="F131" i="1"/>
  <c r="P97" i="1"/>
  <c r="U97" i="1"/>
  <c r="F150" i="1"/>
  <c r="F89" i="1"/>
  <c r="W26" i="1"/>
  <c r="AL175" i="1"/>
  <c r="Y175" i="1" s="1"/>
  <c r="F706" i="1"/>
  <c r="AR671" i="1"/>
  <c r="CF97" i="1"/>
  <c r="AW128" i="1"/>
  <c r="P249" i="5"/>
  <c r="K249" i="5"/>
  <c r="Y708" i="1"/>
  <c r="Y632" i="1"/>
  <c r="F666" i="1"/>
  <c r="CE26" i="1"/>
  <c r="AV65" i="1"/>
  <c r="Q65" i="1"/>
  <c r="AD26" i="1"/>
  <c r="GP118" i="1"/>
  <c r="CD128" i="1" s="1"/>
  <c r="F722" i="1"/>
  <c r="R628" i="1"/>
  <c r="W97" i="1"/>
  <c r="F152" i="1"/>
  <c r="AY128" i="1"/>
  <c r="CH97" i="1"/>
  <c r="AF97" i="1"/>
  <c r="S128" i="1"/>
  <c r="F151" i="1"/>
  <c r="V97" i="1"/>
  <c r="T26" i="1"/>
  <c r="F86" i="1"/>
  <c r="F68" i="1"/>
  <c r="P26" i="1"/>
  <c r="AL160" i="1"/>
  <c r="V160" i="1"/>
  <c r="F198" i="1"/>
  <c r="V405" i="1"/>
  <c r="AB160" i="1"/>
  <c r="O175" i="1"/>
  <c r="O405" i="1" s="1"/>
  <c r="AY628" i="1"/>
  <c r="F716" i="1"/>
  <c r="AR449" i="1"/>
  <c r="F624" i="1"/>
  <c r="AF160" i="1"/>
  <c r="S175" i="1"/>
  <c r="CF175" i="1"/>
  <c r="CH175" i="1"/>
  <c r="AC160" i="1"/>
  <c r="CE175" i="1"/>
  <c r="P175" i="1"/>
  <c r="O449" i="1"/>
  <c r="F598" i="1"/>
  <c r="F727" i="1"/>
  <c r="H18" i="2" s="1"/>
  <c r="I18" i="2" s="1"/>
  <c r="AU628" i="1"/>
  <c r="AV628" i="1"/>
  <c r="F713" i="1"/>
  <c r="AV449" i="1"/>
  <c r="F601" i="1"/>
  <c r="AW628" i="1"/>
  <c r="F714" i="1"/>
  <c r="F195" i="1"/>
  <c r="BA160" i="1"/>
  <c r="T160" i="1"/>
  <c r="F196" i="1"/>
  <c r="T405" i="1"/>
  <c r="F197" i="1"/>
  <c r="U160" i="1"/>
  <c r="U405" i="1"/>
  <c r="F187" i="1"/>
  <c r="Q160" i="1"/>
  <c r="AK160" i="1"/>
  <c r="X175" i="1"/>
  <c r="O26" i="1"/>
  <c r="F67" i="1"/>
  <c r="AY449" i="1"/>
  <c r="F604" i="1"/>
  <c r="GM172" i="1"/>
  <c r="CA175" i="1" s="1"/>
  <c r="GP172" i="1"/>
  <c r="F403" i="1"/>
  <c r="AR368" i="1"/>
  <c r="AW449" i="1"/>
  <c r="F602" i="1"/>
  <c r="AR97" i="1"/>
  <c r="F156" i="1"/>
  <c r="GM173" i="1"/>
  <c r="GP173" i="1"/>
  <c r="E20" i="2"/>
  <c r="AX18" i="1"/>
  <c r="F749" i="1"/>
  <c r="AU449" i="1"/>
  <c r="F615" i="1"/>
  <c r="H17" i="2" s="1"/>
  <c r="I17" i="2" s="1"/>
  <c r="BA22" i="1"/>
  <c r="F425" i="1"/>
  <c r="BA742" i="1"/>
  <c r="R175" i="1"/>
  <c r="AE160" i="1"/>
  <c r="O97" i="1"/>
  <c r="F130" i="1"/>
  <c r="F364" i="1"/>
  <c r="AR330" i="1"/>
  <c r="AZ18" i="1"/>
  <c r="F753" i="1"/>
  <c r="CD97" i="1"/>
  <c r="AU128" i="1"/>
  <c r="AR628" i="1"/>
  <c r="F736" i="1"/>
  <c r="AS18" i="1"/>
  <c r="F759" i="1"/>
  <c r="I21" i="5" s="1"/>
  <c r="AU330" i="1"/>
  <c r="F355" i="1"/>
  <c r="F199" i="1"/>
  <c r="W160" i="1"/>
  <c r="W405" i="1"/>
  <c r="AR65" i="1" l="1"/>
  <c r="CA26" i="1"/>
  <c r="F73" i="1"/>
  <c r="AY26" i="1"/>
  <c r="Y128" i="1"/>
  <c r="AL97" i="1"/>
  <c r="AU65" i="1"/>
  <c r="CD26" i="1"/>
  <c r="AL26" i="1"/>
  <c r="Y65" i="1"/>
  <c r="AW26" i="1"/>
  <c r="F71" i="1"/>
  <c r="AY97" i="1"/>
  <c r="F136" i="1"/>
  <c r="Y628" i="1"/>
  <c r="F735" i="1"/>
  <c r="AK97" i="1"/>
  <c r="X128" i="1"/>
  <c r="AV97" i="1"/>
  <c r="F133" i="1"/>
  <c r="I357" i="5"/>
  <c r="I474" i="5"/>
  <c r="I116" i="5"/>
  <c r="I251" i="5"/>
  <c r="F77" i="1"/>
  <c r="Q26" i="1"/>
  <c r="F79" i="1"/>
  <c r="R26" i="1"/>
  <c r="AW97" i="1"/>
  <c r="F134" i="1"/>
  <c r="F70" i="1"/>
  <c r="AV26" i="1"/>
  <c r="AK26" i="1"/>
  <c r="X65" i="1"/>
  <c r="F143" i="1"/>
  <c r="S97" i="1"/>
  <c r="Q405" i="1"/>
  <c r="Q22" i="1" s="1"/>
  <c r="F80" i="1"/>
  <c r="S26" i="1"/>
  <c r="CA160" i="1"/>
  <c r="AR175" i="1"/>
  <c r="X160" i="1"/>
  <c r="F201" i="1"/>
  <c r="T22" i="1"/>
  <c r="F426" i="1"/>
  <c r="T742" i="1"/>
  <c r="CD175" i="1"/>
  <c r="W22" i="1"/>
  <c r="F429" i="1"/>
  <c r="W742" i="1"/>
  <c r="F189" i="1"/>
  <c r="R160" i="1"/>
  <c r="R405" i="1"/>
  <c r="AU97" i="1"/>
  <c r="F147" i="1"/>
  <c r="AV175" i="1"/>
  <c r="CE160" i="1"/>
  <c r="F190" i="1"/>
  <c r="S160" i="1"/>
  <c r="S405" i="1"/>
  <c r="V22" i="1"/>
  <c r="F428" i="1"/>
  <c r="V742" i="1"/>
  <c r="Y160" i="1"/>
  <c r="F202" i="1"/>
  <c r="O22" i="1"/>
  <c r="F407" i="1"/>
  <c r="O742" i="1"/>
  <c r="F417" i="1"/>
  <c r="Q742" i="1"/>
  <c r="P160" i="1"/>
  <c r="F178" i="1"/>
  <c r="P405" i="1"/>
  <c r="CF160" i="1"/>
  <c r="AW175" i="1"/>
  <c r="BA18" i="1"/>
  <c r="F762" i="1"/>
  <c r="U22" i="1"/>
  <c r="F427" i="1"/>
  <c r="U742" i="1"/>
  <c r="CH160" i="1"/>
  <c r="AY175" i="1"/>
  <c r="F177" i="1"/>
  <c r="O160" i="1"/>
  <c r="X405" i="1"/>
  <c r="AU26" i="1" l="1"/>
  <c r="F84" i="1"/>
  <c r="F155" i="1"/>
  <c r="Y97" i="1"/>
  <c r="X26" i="1"/>
  <c r="F91" i="1"/>
  <c r="F154" i="1"/>
  <c r="X97" i="1"/>
  <c r="F92" i="1"/>
  <c r="Y405" i="1"/>
  <c r="Y26" i="1"/>
  <c r="AR26" i="1"/>
  <c r="F93" i="1"/>
  <c r="X22" i="1"/>
  <c r="F431" i="1"/>
  <c r="X742" i="1"/>
  <c r="U18" i="1"/>
  <c r="F764" i="1"/>
  <c r="F181" i="1"/>
  <c r="AW160" i="1"/>
  <c r="AW405" i="1"/>
  <c r="O18" i="1"/>
  <c r="F744" i="1"/>
  <c r="S22" i="1"/>
  <c r="F420" i="1"/>
  <c r="J16" i="2" s="1"/>
  <c r="J20" i="2" s="1"/>
  <c r="S742" i="1"/>
  <c r="AV160" i="1"/>
  <c r="F180" i="1"/>
  <c r="AV405" i="1"/>
  <c r="R22" i="1"/>
  <c r="F419" i="1"/>
  <c r="R742" i="1"/>
  <c r="AR160" i="1"/>
  <c r="F203" i="1"/>
  <c r="AR405" i="1"/>
  <c r="F183" i="1"/>
  <c r="AY160" i="1"/>
  <c r="AY405" i="1"/>
  <c r="P22" i="1"/>
  <c r="F408" i="1"/>
  <c r="P742" i="1"/>
  <c r="W18" i="1"/>
  <c r="F766" i="1"/>
  <c r="T18" i="1"/>
  <c r="F763" i="1"/>
  <c r="Q18" i="1"/>
  <c r="F754" i="1"/>
  <c r="V18" i="1"/>
  <c r="F765" i="1"/>
  <c r="CD160" i="1"/>
  <c r="AU175" i="1"/>
  <c r="Y742" i="1" l="1"/>
  <c r="Y22" i="1"/>
  <c r="F432" i="1"/>
  <c r="F194" i="1"/>
  <c r="AU160" i="1"/>
  <c r="AU405" i="1"/>
  <c r="AY22" i="1"/>
  <c r="F413" i="1"/>
  <c r="AY742" i="1"/>
  <c r="S18" i="1"/>
  <c r="F757" i="1"/>
  <c r="AR22" i="1"/>
  <c r="F433" i="1"/>
  <c r="AR742" i="1"/>
  <c r="R18" i="1"/>
  <c r="F756" i="1"/>
  <c r="X18" i="1"/>
  <c r="F768" i="1"/>
  <c r="P18" i="1"/>
  <c r="F745" i="1"/>
  <c r="AV22" i="1"/>
  <c r="F410" i="1"/>
  <c r="AV742" i="1"/>
  <c r="AW22" i="1"/>
  <c r="AW742" i="1"/>
  <c r="F411" i="1"/>
  <c r="I25" i="5" l="1"/>
  <c r="Y18" i="1"/>
  <c r="F769" i="1"/>
  <c r="AW18" i="1"/>
  <c r="F748" i="1"/>
  <c r="AY18" i="1"/>
  <c r="F750" i="1"/>
  <c r="AR18" i="1"/>
  <c r="F770" i="1"/>
  <c r="I20" i="5" s="1"/>
  <c r="AU22" i="1"/>
  <c r="F424" i="1"/>
  <c r="H16" i="2" s="1"/>
  <c r="AU742" i="1"/>
  <c r="AV18" i="1"/>
  <c r="F747" i="1"/>
  <c r="AU18" i="1" l="1"/>
  <c r="F761" i="1"/>
  <c r="I24" i="5" s="1"/>
  <c r="F771" i="1"/>
  <c r="H20" i="2"/>
  <c r="I16" i="2"/>
  <c r="I20" i="2" s="1"/>
  <c r="F772" i="1" l="1"/>
  <c r="I476" i="5" s="1"/>
  <c r="I475" i="5"/>
</calcChain>
</file>

<file path=xl/sharedStrings.xml><?xml version="1.0" encoding="utf-8"?>
<sst xmlns="http://schemas.openxmlformats.org/spreadsheetml/2006/main" count="12680" uniqueCount="1014">
  <si>
    <t>Smeta.RU  (495) 974-1589</t>
  </si>
  <si>
    <t>_PS_</t>
  </si>
  <si>
    <t>Smeta.RU</t>
  </si>
  <si>
    <t/>
  </si>
  <si>
    <t>2_(Копия)_(Копия)_(Копия)_(Копия)_(Копия)_(Копия)</t>
  </si>
  <si>
    <t>ул. Свободы д. 15/10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</si>
  <si>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</si>
  <si>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</si>
  <si>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</si>
  <si>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</si>
  <si>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</si>
  <si>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</si>
  <si>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</si>
  <si>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ЛС № 02-01-01 Благоустройство (ул. Свободы д. 15/10)</t>
  </si>
  <si>
    <t>Новый раздел</t>
  </si>
  <si>
    <t>Демонтаж покрытий</t>
  </si>
  <si>
    <t>2.1-3104-2-1/1</t>
  </si>
  <si>
    <t>Срезка поверхностного слоя асфальтобетонных дорожных покрытий методом холодного фрезерования, при ширине барабана фрезы 1000 мм и толщине слоя 5 см</t>
  </si>
  <si>
    <t>м2</t>
  </si>
  <si>
    <t>СН-2012-2021.2. База. Сб.1-3104-2-1/1</t>
  </si>
  <si>
    <t>СН-2012</t>
  </si>
  <si>
    <t>Подрядные работы, гл. 1-5,7</t>
  </si>
  <si>
    <t>работа</t>
  </si>
  <si>
    <t>2.1-3104-2-2/1</t>
  </si>
  <si>
    <t>Срезка поверхностного слоя асфальтобетонных дорожных покрытий методом холодного фрезерования, при ширине барабана фрезы 1000 мм и толщине слоя 10 см</t>
  </si>
  <si>
    <t>СН-2012-2021.2. База. Сб.1-3104-2-2/1</t>
  </si>
  <si>
    <t>2.1-3104-2-3/1</t>
  </si>
  <si>
    <t>Срезка поверхностного слоя асфальтобетонных дорожных покрытий методом холодного фрезерования при ширине барабана фрезы 2000 (2100) мм толщиной 6 см, без препятствий</t>
  </si>
  <si>
    <t>100 м2</t>
  </si>
  <si>
    <t>СН-2012-2021.2. База. Сб.1-3104-2-3/1</t>
  </si>
  <si>
    <t>2.1-3104-2-6/1</t>
  </si>
  <si>
    <t>Срезка поверхностного слоя асфальтобетонных дорожных покрытий методом холодного фрезерования при ширине барабана фрезы 2000 (2100) мм, добавляется или исключается на 1 см</t>
  </si>
  <si>
    <t>СН-2012-2021.2. База. Сб.1-3104-2-6/1</t>
  </si>
  <si>
    <t>2.1-3105-1-1/1</t>
  </si>
  <si>
    <t>Перевозка отфрезерованного асфальтобетона автосамосвалами грузоподъемностью до 10 т на расстояние 1 км - при механизированной погрузке (вывоз асфальта производится подрядчиком)</t>
  </si>
  <si>
    <t>т</t>
  </si>
  <si>
    <t>СН-2012-2021.2. База. Сб.1-3105-1-1/1</t>
  </si>
  <si>
    <t>Подрядные работы, гл. 1 перевозка мусора</t>
  </si>
  <si>
    <t>2.1-3105-1-2/1</t>
  </si>
  <si>
    <t>Перевозка отфрезерованного асфальтобетона автосамосвалами грузоподъемностью до 10 т - добавляется на каждый последующий 1 км до 100 км (вывоз асфальта производится подрядчиком) к=32 до 33 км</t>
  </si>
  <si>
    <t>СН-2012-2021.2. База. Сб.1-3105-1-2/1</t>
  </si>
  <si>
    <t>)*32</t>
  </si>
  <si>
    <t>2.1-3104-4-1/1</t>
  </si>
  <si>
    <t>Разборка тротуаров и дорожек из плит с отноской и укладкой в штабель</t>
  </si>
  <si>
    <t>СН-2012-2021.2. База. Сб.1-3104-4-1/1</t>
  </si>
  <si>
    <t>2.1-3104-1-2/1</t>
  </si>
  <si>
    <t>Разборка покрытий и оснований щебеночных</t>
  </si>
  <si>
    <t>100 м3</t>
  </si>
  <si>
    <t>СН-2012-2021.2. База. Сб.1-3104-1-2/1</t>
  </si>
  <si>
    <t>1.2-3103-7-4/1</t>
  </si>
  <si>
    <t>Устройство стен подвалов железобетонных высотой до 3 м толщиной до 1000 мм ( Демонтаж лестниц) к=0,2</t>
  </si>
  <si>
    <t>СН-2012-2021.1. База. Сб.2-3103-7-4/1</t>
  </si>
  <si>
    <t>)*0</t>
  </si>
  <si>
    <t>)*0,2</t>
  </si>
  <si>
    <t>1.2-3103-7-2/1</t>
  </si>
  <si>
    <t>Устройство стен подвалов железобетонных высотой до 3 м толщиной до 300 мм (демонтаж подпорной стенки) к=0,2</t>
  </si>
  <si>
    <t>СН-2012-2021.1. База. Сб.2-3103-7-2/1</t>
  </si>
  <si>
    <t>1.50-3203-37-3/1</t>
  </si>
  <si>
    <t>Монтаж мелких конструкций из стали различного профиля массой до 100 кг</t>
  </si>
  <si>
    <t>СН-2012-2021.1. База. Сб.50-3203-37-3/1</t>
  </si>
  <si>
    <t>1.7-3104-1-1/1</t>
  </si>
  <si>
    <t>Разборка деревянных элементов обрешетки из брусков с прозорами</t>
  </si>
  <si>
    <t>СН-2012-2021.1. База. Сб.7-3104-1-1/1</t>
  </si>
  <si>
    <t>1.9-3304-1-1/1</t>
  </si>
  <si>
    <t>Разборка деревянных лестниц с маршами и площадками</t>
  </si>
  <si>
    <t>СН-2012-2021.1. База. Сб.9-3304-1-1/1</t>
  </si>
  <si>
    <t>1.5-5304-1-4/1</t>
  </si>
  <si>
    <t>Разборка деревянных конструкций стен из брусьев</t>
  </si>
  <si>
    <t>10 м2</t>
  </si>
  <si>
    <t>СН-2012-2021.1. База. Сб.5-5304-1-4/1</t>
  </si>
  <si>
    <t>2.1-3105-10-2/1</t>
  </si>
  <si>
    <t>Устройство водоотводных лотков из сборного бетона на тротуарах при асфальтобетонных покрытиях (демонтаж лотка) к=0,2</t>
  </si>
  <si>
    <t>100 м</t>
  </si>
  <si>
    <t>СН-2012-2021.2. База. Сб.1-3105-10-2/1</t>
  </si>
  <si>
    <t>5.3-3203-16-2/1</t>
  </si>
  <si>
    <t>Установка металлических оград высотой 2-2,5 м на металлических стойках, при количестве стоек 38 шт./100 м (демонтаж ограждения) н=2м</t>
  </si>
  <si>
    <t>СН-2012-2021.5. База. Сб.3-3203-16-2/1</t>
  </si>
  <si>
    <t>1.9-3203-1-4/1</t>
  </si>
  <si>
    <t>Установка металлических ограждений без поручня (демонтаж ограждения и перил) к=0,2</t>
  </si>
  <si>
    <t>СН-2012-2021.1. База. Сб.9-3203-1-4/1</t>
  </si>
  <si>
    <t>5.3-3204-1-3/1</t>
  </si>
  <si>
    <t>Разборка деревянных заборов глухих из строганных досок</t>
  </si>
  <si>
    <t>СН-2012-2021.5. База. Сб.3-3204-1-3/1</t>
  </si>
  <si>
    <t>1.13-3503-3-1/1</t>
  </si>
  <si>
    <t>Гладкая облицовка стен (без карнизных, плинтусных и угловых плиток) на клее из сухих смесей по камню и бетону, плитки 1 сорта (Разборка бетонной кладки)</t>
  </si>
  <si>
    <t>СН-2012-2021.1. База. Сб.13-3503-3-1/1</t>
  </si>
  <si>
    <t>1.50-3203-36-5/1</t>
  </si>
  <si>
    <t>Монтаж опорных конструкций этажерочного типа  (демонтаж Ме) к=0,2</t>
  </si>
  <si>
    <t>СН-2012-2021.1. База. Сб.50-3203-36-5/1</t>
  </si>
  <si>
    <t>2.1-3203-23-1/1</t>
  </si>
  <si>
    <t>Установка дорожных пешеходных ограждений высотой 1 м, шаг стоек 2 м, из оцинкованных трубчатых профилей</t>
  </si>
  <si>
    <t>СН-2012-2021.2. База. Сб.1-3203-23-1/1</t>
  </si>
  <si>
    <t>1.10-3504-1-1/1</t>
  </si>
  <si>
    <t>Разборка покрытий из линолеума и релина (резиновое покрытие)</t>
  </si>
  <si>
    <t>СН-2012-2021.1. База. Сб.10-3504-1-1/1</t>
  </si>
  <si>
    <t>1</t>
  </si>
  <si>
    <t>2</t>
  </si>
  <si>
    <t>2.1-3104-1-4/1</t>
  </si>
  <si>
    <t>Разборка покрытий и оснований асфальтобетонных (118м2*0,05м+13м2*0,1м)</t>
  </si>
  <si>
    <t>СН-2012-2021.2. База. Сб.1-3104-1-4/1</t>
  </si>
  <si>
    <t>3</t>
  </si>
  <si>
    <t>Разборка покрытий и оснований щебеночных (118м2*0,12м+147м2*0,05м+147м2*0,12м+13м2*0,12м)</t>
  </si>
  <si>
    <t>2.1-3104-1-5/1</t>
  </si>
  <si>
    <t>Разборка покрытий и оснований цементобетонных (бетонное покрытие)</t>
  </si>
  <si>
    <t>СН-2012-2021.2. База. Сб.1-3104-1-5/1</t>
  </si>
  <si>
    <t>4</t>
  </si>
  <si>
    <t>2.1-3204-6-1/1</t>
  </si>
  <si>
    <t>Разборка бортовых камней на бетонном основании</t>
  </si>
  <si>
    <t>СН-2012-2021.2. База. Сб.1-3204-6-1/1</t>
  </si>
  <si>
    <t>5</t>
  </si>
  <si>
    <t>Разборка покрытий и оснований цементобетонных (ступень) = 5,3м2*0,15м</t>
  </si>
  <si>
    <t>6</t>
  </si>
  <si>
    <t>1.50-3203-37-1/1</t>
  </si>
  <si>
    <t>Монтаж мелких конструкций из стали различного профиля массой до 20 кг /демонтаж МАФ к=0,2</t>
  </si>
  <si>
    <t>СН-2012-2021.1. База. Сб.50-3203-37-1/1</t>
  </si>
  <si>
    <t>7</t>
  </si>
  <si>
    <t>1.5-3304-1-3/1</t>
  </si>
  <si>
    <t>Разборка каркаса из бревен каркасно-обшивных стен (разборка деревянных элементов МАФ)</t>
  </si>
  <si>
    <t>СН-2012-2021.1. База. Сб.5-3304-1-3/1</t>
  </si>
  <si>
    <t>8</t>
  </si>
  <si>
    <t>1.49-9101-7-1/1</t>
  </si>
  <si>
    <t>Механизированная погрузка строительного мусора в автомобили-самосвалы</t>
  </si>
  <si>
    <t>СН-2012-2021.1. База. Сб.49-9101-7-1/1</t>
  </si>
  <si>
    <t>9</t>
  </si>
  <si>
    <t>1.50-3305-4-1/1</t>
  </si>
  <si>
    <t>Погрузка и выгрузка вручную строительного мусора на транспортные средства</t>
  </si>
  <si>
    <t>СН-2012-2021.1. База. Сб.50-3305-4-1/1</t>
  </si>
  <si>
    <t>10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</si>
  <si>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</si>
  <si>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</si>
  <si>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База. Сб.49-9201-1-2/1</t>
  </si>
  <si>
    <t>11</t>
  </si>
  <si>
    <t>1.49-9201-1-1/1</t>
  </si>
  <si>
    <t>Перевозка строительного мусора автосамосвалами грузоподъемностью до 10 т на расстояние 1 км - при погрузке вручную</t>
  </si>
  <si>
    <t>СН-2012-2021.1. База. Сб.49-9201-1-1/1</t>
  </si>
  <si>
    <t>12</t>
  </si>
  <si>
    <t>1.49-9201-1-3/1</t>
  </si>
  <si>
    <t>СН-2012-2021.1. База. Сб.49-9201-1-3/1</t>
  </si>
  <si>
    <t>)*42</t>
  </si>
  <si>
    <t>13</t>
  </si>
  <si>
    <t>Цена поставщика</t>
  </si>
  <si>
    <t>[120,36 / 1,2]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</si>
  <si>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</si>
  <si>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</si>
  <si>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</si>
  <si>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</si>
  <si>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</si>
  <si>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</si>
  <si>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</si>
  <si>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</si>
  <si>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</si>
  <si>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</si>
  <si>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</si>
  <si>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</si>
  <si>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</si>
  <si>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</si>
  <si>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</si>
  <si>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</si>
  <si>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</si>
  <si>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</si>
  <si>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</si>
  <si>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</si>
  <si>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</si>
  <si>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</si>
  <si>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</si>
  <si>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</si>
  <si>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</si>
  <si>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</si>
  <si>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</si>
  <si>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</si>
  <si>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</si>
  <si>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</si>
  <si>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</si>
  <si>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</si>
  <si>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</si>
  <si>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</si>
  <si>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</si>
  <si>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</si>
  <si>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</si>
  <si>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</si>
  <si>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</si>
  <si>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</si>
  <si>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</si>
  <si>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</si>
  <si>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</si>
  <si>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</si>
  <si>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</si>
  <si>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</si>
  <si>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</si>
  <si>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</si>
  <si>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</si>
  <si>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</si>
  <si>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</si>
  <si>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</si>
  <si>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</si>
  <si>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</si>
  <si>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Демонтаж МАФ</t>
  </si>
  <si>
    <t>Монтаж опорных конструкций этажерочного типа (демонтаж МАФ) к=0,2</t>
  </si>
  <si>
    <t>14</t>
  </si>
  <si>
    <t>Монтаж мелких конструкций из стали различного профиля массой до 20 кг /демонтаж МАФ к=0,2   =(48+114+40+30)/1000</t>
  </si>
  <si>
    <t>15</t>
  </si>
  <si>
    <t>1.50-3203-37-2/1</t>
  </si>
  <si>
    <t>Монтаж мелких конструкций из стали различного профиля массой до 50 кг =(50+50+50)/1000</t>
  </si>
  <si>
    <t>СН-2012-2021.1. База. Сб.50-3203-37-2/1</t>
  </si>
  <si>
    <t>Монтаж мелких конструкций из стали различного профиля массой до 100 кг /демонтаж МАФ к=0,2</t>
  </si>
  <si>
    <t>16</t>
  </si>
  <si>
    <t>Разборка каркаса из бревен каркасно-обшивных стен (разборка деревянных элементов МАФ) =(6*1+4*1+8)/100</t>
  </si>
  <si>
    <t>1.50-3203-10-3/1</t>
  </si>
  <si>
    <t>Установка монтажных изделий массой до 20 кг</t>
  </si>
  <si>
    <t>СН-2012-2021.1. База. Сб.50-3203-10-3/1</t>
  </si>
  <si>
    <t>1.9-3203-5-1/1</t>
  </si>
  <si>
    <t>Монтаж площадок с настилом и ограждением из листовой, рифленой, просечной и круглой стали</t>
  </si>
  <si>
    <t>СН-2012-2021.1. База. Сб.9-3203-5-1/1</t>
  </si>
  <si>
    <t>Монтаж мелких конструкций из стали различного профиля массой до 20 кг</t>
  </si>
  <si>
    <t>1.50-3203-38-1/1</t>
  </si>
  <si>
    <t>Монтаж решеток, затворов из полосовой и тонколистовой стали</t>
  </si>
  <si>
    <t>СН-2012-2021.1. База. Сб.50-3203-38-1/1</t>
  </si>
  <si>
    <t>1.13-3404-1-3/1</t>
  </si>
  <si>
    <t>Разборка облицовки стен из известняковых плит</t>
  </si>
  <si>
    <t>СН-2012-2021.1. База. Сб.13-3404-1-3/1</t>
  </si>
  <si>
    <t>1.5-3203-28-1/1</t>
  </si>
  <si>
    <t>Установка блоков наружных стен массой до 1 т</t>
  </si>
  <si>
    <t>100 шт.</t>
  </si>
  <si>
    <t>СН-2012-2021.1. База. Сб.5-3203-28-1/1</t>
  </si>
  <si>
    <t>5.3-3203-7-8/1</t>
  </si>
  <si>
    <t>Установка дополнительных бетонных столбов (демонтаж полусфер) к=0,2</t>
  </si>
  <si>
    <t>СН-2012-2021.5. База. Сб.3-3203-7-8/1</t>
  </si>
  <si>
    <t>1.7-5104-1-3/1</t>
  </si>
  <si>
    <t>Разборка конструктивных элементов крыши, стропил из бревен, брусьев или пластин</t>
  </si>
  <si>
    <t>СН-2012-2021.1. База. Сб.7-5104-1-3/1</t>
  </si>
  <si>
    <t>1.29-3103-4-12/1</t>
  </si>
  <si>
    <t>Установка гипсовых штучных деталей - ваз гладких высотой до 1350 мм (без стоимости ваз) Демонтаж к=0,2</t>
  </si>
  <si>
    <t>шт.</t>
  </si>
  <si>
    <t>СН-2012-2021.1. База. Сб.29-3103-4-12/1</t>
  </si>
  <si>
    <t>1.50-5105-8-1/1</t>
  </si>
  <si>
    <t>Устройство поддерживающих лесов и опалубки при реставрации кладки, сводов, арок, глав, закомар и перемычек</t>
  </si>
  <si>
    <t>м3</t>
  </si>
  <si>
    <t>СН-2012-2021.1. База. Сб.50-5105-8-1/1</t>
  </si>
  <si>
    <t>)*0,8</t>
  </si>
  <si>
    <t>17</t>
  </si>
  <si>
    <t>Разборка покрытий и оснований цементобетонных</t>
  </si>
  <si>
    <t>18</t>
  </si>
  <si>
    <t>19</t>
  </si>
  <si>
    <t>20</t>
  </si>
  <si>
    <t>21</t>
  </si>
  <si>
    <t>22</t>
  </si>
  <si>
    <t>Перевозка строительного мусора автосамосвалами грузоподъемностью до 10 т - добавляется на каждый последующий 1 км до 100 км к=42 до 43 км =МЕ(0,232т+0,15т)+дерево(0,3м3*0,8+(50кг+150кг)/1000)+бетон(0,024м3*100*2,4)</t>
  </si>
  <si>
    <t>23</t>
  </si>
  <si>
    <t>Стоимость приема строительного мусора =дерево(0,3м3*0,8+(50кг+150кг)/1000)+бетон(0,024м3*100*2,4)</t>
  </si>
  <si>
    <t>Перевозка строительного мусора автосамосвалами грузоподъемностью до 10 т - добавляется на каждый последующий 1 км до 100 км к=32 до 33 км</t>
  </si>
  <si>
    <t>Устройство покрытия из резиновой крошки  на детских площадках(ТИП I)</t>
  </si>
  <si>
    <t>24</t>
  </si>
  <si>
    <t>2.1-3303-1-1/1</t>
  </si>
  <si>
    <t>Устройство подстилающих и выравнивающих слоев оснований из песка (290м2*0,2м)</t>
  </si>
  <si>
    <t>СН-2012-2021.2. База. Сб.1-3303-1-1/1</t>
  </si>
  <si>
    <t>25</t>
  </si>
  <si>
    <t>2.1-3303-1-2/1</t>
  </si>
  <si>
    <t>Устройство подстилающих и выравнивающих слоев оснований из щебня (290м2*0,12м)</t>
  </si>
  <si>
    <t>СН-2012-2021.2. База. Сб.1-3303-1-2/1</t>
  </si>
  <si>
    <t>26</t>
  </si>
  <si>
    <t>2.1-3103-19-4/1</t>
  </si>
  <si>
    <t>Устройство асфальтобетонных покрытий дорожек и тротуаров двухслойных, верхний слой из песчаной асфальтобетонной смеси толщиной 3 см до 5 см</t>
  </si>
  <si>
    <t>СН-2012-2021.2. База. Сб.1-3103-19-4/1</t>
  </si>
  <si>
    <t>26,1</t>
  </si>
  <si>
    <t>21.3-3-34</t>
  </si>
  <si>
    <t>Смеси асфальтобетонные дорожные горячие песчаные, тип Д, марка III</t>
  </si>
  <si>
    <t>СН-2012-2021.21. База. Р.3, о.3, поз.34</t>
  </si>
  <si>
    <t>26,2</t>
  </si>
  <si>
    <t>Смеси асфальтобетонные дорожные горячие песчаные, тип Д, марка III (норма расхода 7,14/3*5=11,9)</t>
  </si>
  <si>
    <t>27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</si>
  <si>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</si>
  <si>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</si>
  <si>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СН-2012-2021.5. База. Сб.3-3103-11-1/1</t>
  </si>
  <si>
    <t>27,1</t>
  </si>
  <si>
    <t>21.1-6-101</t>
  </si>
  <si>
    <t>Пигменты сухие для красок, кислотный желтый</t>
  </si>
  <si>
    <t>СН-2012-2021.21. База. Р.1, о.6, поз.101</t>
  </si>
  <si>
    <t>28</t>
  </si>
  <si>
    <t>5.3-3103-11-2/1</t>
  </si>
  <si>
    <t>Устройство наливного полиуретанового покрытия спортивных площадок и беговых дорожек, добавляется на 2 мм толщины покрытия к=5 до 20 см</t>
  </si>
  <si>
    <t>СН-2012-2021.5. База. Сб.3-3103-11-2/1</t>
  </si>
  <si>
    <t>)*5</t>
  </si>
  <si>
    <t>28,1</t>
  </si>
  <si>
    <t>29</t>
  </si>
  <si>
    <t>Устройство наливного полиуретанового покрытия спортивных площадок и беговых дорожек, добавляется на 2 мм толщины покрытия к=5 до 10 см цветной</t>
  </si>
  <si>
    <t>29,1</t>
  </si>
  <si>
    <t>21.1-25-769</t>
  </si>
  <si>
    <t>Крошка резиновая гранулированная, фракция 2-3 мм</t>
  </si>
  <si>
    <t>кг</t>
  </si>
  <si>
    <t>СН-2012-2021.21. База. Р.1, о.25, поз.769</t>
  </si>
  <si>
    <t>29,2</t>
  </si>
  <si>
    <t>21.1-25-770</t>
  </si>
  <si>
    <t>Крошка каучуковая гранулированная, окрашенная в массе, фракция 2-3 мм, цвет черный</t>
  </si>
  <si>
    <t>СН-2012-2021.21. База. Р.1, о.25, поз.770</t>
  </si>
  <si>
    <t>Ремонт плиточного покрытия (ТИП II)</t>
  </si>
  <si>
    <t>Устройство подстилающих и выравнивающих слоев оснований из песка (Sм2*0,2м)</t>
  </si>
  <si>
    <t>Устройство подстилающих и выравнивающих слоев оснований из щебня (Sм2*0,12м)</t>
  </si>
  <si>
    <t>2.1-3103-17-1/1</t>
  </si>
  <si>
    <t>Устройство покрытий тротуаров из бетонной плитки типа "Брусчатка" рядовым или паркетным мощением</t>
  </si>
  <si>
    <t>СН-2012-2021.2. База. Сб.1-3103-17-1/1</t>
  </si>
  <si>
    <t>21.5-3-6</t>
  </si>
  <si>
    <t>Брусчатка бетонная прямая, марка 1ПБ 20.10.7, цвет светло-серый  (плитка бетонная серая 200х100х80)</t>
  </si>
  <si>
    <t>СН-2012-2021.21. База. Р.5, о.3, поз.6</t>
  </si>
  <si>
    <t>30</t>
  </si>
  <si>
    <t>2.1-3103-14-1/2</t>
  </si>
  <si>
    <t>Устройство плитных тротуаров из гладких бетонных плит с заполнением швов цементным раствором, толщина плит 70 мм, цвет плит разный</t>
  </si>
  <si>
    <t>СН-2012-2021.2. База. Сб.1-3103-14-1/2</t>
  </si>
  <si>
    <t>30,1</t>
  </si>
  <si>
    <t>21.3-2-53</t>
  </si>
  <si>
    <t>Смеси сухие монтажно-кладочные цементно-песчаные: В15 (М200), F100, крупность заполнителя не более 3,5 мм</t>
  </si>
  <si>
    <t>СН-2012-2021.21. База. Р.3, о.2, поз.53</t>
  </si>
  <si>
    <t>Устройство плиточного покрытия (ТИП  III)</t>
  </si>
  <si>
    <t>Устройство подстилающих и выравнивающих слоев оснований из песка (20,2м2*0,2м)</t>
  </si>
  <si>
    <t>Устройство подстилающих и выравнивающих слоев оснований из щебня (20,2м2*0,12м)</t>
  </si>
  <si>
    <t>31</t>
  </si>
  <si>
    <t>31,1</t>
  </si>
  <si>
    <t>Ремонт лестницы</t>
  </si>
  <si>
    <t>Устройство подстилающих и выравнивающих слоев оснований из песка (5,3м2*0,2м)</t>
  </si>
  <si>
    <t>Устройство подстилающих и выравнивающих слоев оснований из щебня (5,3м2*0,12м)</t>
  </si>
  <si>
    <t>32</t>
  </si>
  <si>
    <t>32,1</t>
  </si>
  <si>
    <t>33</t>
  </si>
  <si>
    <t>2.1-3203-1-2/1</t>
  </si>
  <si>
    <t>Установка бортовых камней бетонных марки БР 100.30.15 при других видах покрытий</t>
  </si>
  <si>
    <t>СН-2012-2021.2. База. Сб.1-3203-1-2/1</t>
  </si>
  <si>
    <t>2.1-3203-1-6/2</t>
  </si>
  <si>
    <t>Установка бортовых камней бетонных газонных и садовых марка БР60.20.8, при других видах покрытий</t>
  </si>
  <si>
    <t>СН-2012-2021.2. База. Сб.1-3203-1-6/2</t>
  </si>
  <si>
    <t>Установка садового бортового камня БР 100.20.8 на бетонное основание</t>
  </si>
  <si>
    <t>34</t>
  </si>
  <si>
    <t>Устройство подстилающих и выравнивающих слоев оснований из песка</t>
  </si>
  <si>
    <t>2.1-3203-1-5/2</t>
  </si>
  <si>
    <t>Установка бортовых камней бетонных газонных и садовых при цементобетонных покрытиях</t>
  </si>
  <si>
    <t>СН-2012-2021.2. База. Сб.1-3203-1-5/2</t>
  </si>
  <si>
    <t>35</t>
  </si>
  <si>
    <t>Установка магистрального бортового камня  на бетонное основание БР 100.60.20</t>
  </si>
  <si>
    <t>36</t>
  </si>
  <si>
    <t>37</t>
  </si>
  <si>
    <t>37,1</t>
  </si>
  <si>
    <t>21.5-3-13</t>
  </si>
  <si>
    <t>Камни бетонные бортовые, марка БР 100.30.15</t>
  </si>
  <si>
    <t>СН-2012-2021.21. База. Р.5, о.3, поз.13</t>
  </si>
  <si>
    <t>37,2</t>
  </si>
  <si>
    <t>21.5-3-14</t>
  </si>
  <si>
    <t>Камни бетонные бортовые, марка БР 100.30.18 (эквивалент проекта) Магистральный бортовой камень на бетонное основание БР 100.60.20</t>
  </si>
  <si>
    <t>СН-2012-2021.21. База. Р.5, о.3, поз.14</t>
  </si>
  <si>
    <t>срезка пр</t>
  </si>
  <si>
    <t>срезка тр</t>
  </si>
  <si>
    <t>кор дор</t>
  </si>
  <si>
    <t>кор газ</t>
  </si>
  <si>
    <t>устр асф</t>
  </si>
  <si>
    <t>устро асф трот</t>
  </si>
  <si>
    <t>лестн</t>
  </si>
  <si>
    <t>тип 5</t>
  </si>
  <si>
    <t>тип 7</t>
  </si>
  <si>
    <t>тип 9</t>
  </si>
  <si>
    <t>ЛС № 02-01-02 Установка МАФ (ул. Свободы д. 15/10)</t>
  </si>
  <si>
    <t>Общие МАФ</t>
  </si>
  <si>
    <t>21.7-7-175</t>
  </si>
  <si>
    <t>Скамья на опорах из металлических труб, с сиденьем из влагостойкой фанеры, 500х2000х500 мм  (эквивалент проекта) Скамья Скамейка.ру</t>
  </si>
  <si>
    <t>СН-2012-2021.21. База. Р.7, о.7, поз.175</t>
  </si>
  <si>
    <t>21.7-7-168</t>
  </si>
  <si>
    <t>Скамья - диван парковый - 2 из влагостойкой фанеры, на каркасе из полосовой стали, 600х2000х789 мм (эквивалент проекта) Скамья Скамейка.ру</t>
  </si>
  <si>
    <t>СН-2012-2021.21. База. Р.7, о.7, поз.168</t>
  </si>
  <si>
    <t>21.7-7-169</t>
  </si>
  <si>
    <t>СН-2012-2021.21. База. Р.7, о.7, поз.169</t>
  </si>
  <si>
    <t>21.7-7-58</t>
  </si>
  <si>
    <t>комплекс</t>
  </si>
  <si>
    <t>СН-2012-2021.21. База. Р.7, о.7, поз.58</t>
  </si>
  <si>
    <t>21.7-7-55</t>
  </si>
  <si>
    <t>СН-2012-2021.21. База. Р.7, о.7, поз.55</t>
  </si>
  <si>
    <t>Установка металлических ограждений без поручня (перила)</t>
  </si>
  <si>
    <t>21.7-7-200</t>
  </si>
  <si>
    <t>Урна У-32 Б переворачивающаяся из стального листа, на ножках из стальной трубы, окрашена цветными эмалями, размеры 1100х485х235 мм (эквивалент проекта) Урна арт. 12167</t>
  </si>
  <si>
    <t>СН-2012-2021.21. База. Р.7, о.7, поз.200</t>
  </si>
  <si>
    <t>21.7-7-184</t>
  </si>
  <si>
    <t>Стойки волейбольные из металлических труб, окрашены цветной эмалью, размеры 2480 мм (эквивалент проекта) Стойки для сушки белья</t>
  </si>
  <si>
    <t>компл.</t>
  </si>
  <si>
    <t>СН-2012-2021.21. База. Р.7, о.7, поз.184</t>
  </si>
  <si>
    <t>5.3-3203-4-2/1</t>
  </si>
  <si>
    <t>Установка стоек металлического ограждения газонов из трубы, масса стоек до 5 кг</t>
  </si>
  <si>
    <t>10 шт.</t>
  </si>
  <si>
    <t>СН-2012-2021.5. База. Сб.3-3203-4-2/1</t>
  </si>
  <si>
    <t>21.7-9-6</t>
  </si>
  <si>
    <t>Столбик для ограды газонной из трубы профильной 40х40 мм, высота 1000мм (эквивалент проекта) Парковочные столбики</t>
  </si>
  <si>
    <t>СН-2012-2021.21. База. Р.7, о.9, поз.6</t>
  </si>
  <si>
    <t>21.7-7-143</t>
  </si>
  <si>
    <t>СН-2012-2021.21. База. Р.7, о.7, поз.143</t>
  </si>
  <si>
    <t>21.7-6-14</t>
  </si>
  <si>
    <t>Контейнер для сбора бытового мусора - 4 шт.</t>
  </si>
  <si>
    <t>СН-2012-2021.21. База. Р.7, о.6, поз.14</t>
  </si>
  <si>
    <t>Детские МАФ</t>
  </si>
  <si>
    <t>21.7-7-63</t>
  </si>
  <si>
    <t>СН-2012-2021.21. База. Р.7, о.7, поз.63</t>
  </si>
  <si>
    <t>21.7-7-54</t>
  </si>
  <si>
    <t>СН-2012-2021.21. База. Р.7, о.7, поз.54</t>
  </si>
  <si>
    <t>21.7-7-158</t>
  </si>
  <si>
    <t>Песочница ПС008 шестигранная, размеры 1900х2200х500 мм, каркас из стальной трубы, боковые панели из полиэтилена низкого давления (эквивалент проекта) Песочница «Ларец»</t>
  </si>
  <si>
    <t>СН-2012-2021.21. База. Р.7, о.7, поз.158</t>
  </si>
  <si>
    <t>21.7-7-69</t>
  </si>
  <si>
    <t>СН-2012-2021.21. База. Р.7, о.7, поз.69</t>
  </si>
  <si>
    <t>21.7-7-114</t>
  </si>
  <si>
    <t>Комплекс детский городок "АБВГДейка", русские качели (эквивалент проекта) Качели «Драйв» (цветовое решение «Fairytale»)</t>
  </si>
  <si>
    <t>СН-2012-2021.21. База. Р.7, о.7, поз.114</t>
  </si>
  <si>
    <t>21.7-7-86</t>
  </si>
  <si>
    <t>Качалка пружинная деревянная, окрашена цветными эмалями, размеры 1000х900х290 мм (эквивалент проекта) Качалка «Галоп» (универсальный паттерн, балка дуб)</t>
  </si>
  <si>
    <t>СН-2012-2021.21. База. Р.7, о.7, поз.86</t>
  </si>
  <si>
    <t>21.7-7-82</t>
  </si>
  <si>
    <t>Карусель КР014, диаметр 2000 мм, высота 1000 мм, на металлическом каркасе, сиденье из влагостойкой фанеры (эквивалент проекта) Карусель «Цирк»</t>
  </si>
  <si>
    <t>СН-2012-2021.21. База. Р.7, о.7, поз.82</t>
  </si>
  <si>
    <t>21.7-7-53</t>
  </si>
  <si>
    <t>СН-2012-2021.21. База. Р.7, о.7, поз.53</t>
  </si>
  <si>
    <t>21.7-7-91</t>
  </si>
  <si>
    <t>СН-2012-2021.21. База. Р.7, о.7, поз.91</t>
  </si>
  <si>
    <t>Качели двухсекционные цепные на опорах из металлических профильных труб, на подшипниках качения, с сиденьем из влагостойкой фанеры, окрашены цветными эмалями, размеры 2000х3700х3300 мм (эквивалент проекта) Качалка «Квартет» (серия "Papercut")</t>
  </si>
  <si>
    <t>21.7-7-76</t>
  </si>
  <si>
    <t>СН-2012-2021.21. База. Р.7, о.7, поз.76</t>
  </si>
  <si>
    <t>21.7-7-131</t>
  </si>
  <si>
    <t>Комплекс спортивный развивающий СРО070, размеры 6900х4000х2800 мм, в составе: кольца, рукоход, шведская стенка (эквивалент проекта) Спортивный комплекс W0016</t>
  </si>
  <si>
    <t>СН-2012-2021.21. База. Р.7, о.7, поз.131</t>
  </si>
  <si>
    <t>21.7-7-110</t>
  </si>
  <si>
    <t>Комплекс детский городок "АБВГДейка", качели перекидные (эквивалент проекта) 6315</t>
  </si>
  <si>
    <t>СН-2012-2021.21. База. Р.7, о.7, поз.110</t>
  </si>
  <si>
    <t>Монтаж опорных конструкций этажерочного типа</t>
  </si>
  <si>
    <t>21.6-1-39</t>
  </si>
  <si>
    <t>Опорные части трубопроводов стальные огрунтованные</t>
  </si>
  <si>
    <t>СН-2012-2021.21. База. Р.6, о.1, поз.39</t>
  </si>
  <si>
    <t>21.7-7-154</t>
  </si>
  <si>
    <t>Песочница на металлическом каркасе, с сиденьями из деревянных досок, окрашена цветными эмалями, диаметр 3400 мм, высота 235 мм (эквивалент проекта) Песочница  5303</t>
  </si>
  <si>
    <t>СН-2012-2021.21. База. Р.7, о.7, поз.154</t>
  </si>
  <si>
    <t>Комплекс детский городок "АБВГДейка", качели перекидные (эквивалент проекта) Качели "Гнездо" 6315</t>
  </si>
  <si>
    <t>Качели двухсекционные цепные на опорах из металлических профильных труб, на подшипниках качения, с сиденьем из влагостойкой фанеры, окрашены цветными эмалями, размеры 2000х3700х3300 мм  (эквивалент проекта) 6326</t>
  </si>
  <si>
    <t>Карусель "Леночка" на каркасе из металлического профиля, с основанием из листовой рифленой стали, на подшипниках качения, с поручнями из металлических труб, окрашена цветными эмалями, диаметр 2000 мм, высота 850 мм</t>
  </si>
  <si>
    <t>21.7-7-83</t>
  </si>
  <si>
    <t>Качалка "Балансир" (доска перекидная) на каркасе из металлических профильных труб, на подшипниках качения, с сиденьями из деревянных досок, окрашена цветными эмалями, размеры 400х2800х1500 мм (эквивалент проекта) 6207</t>
  </si>
  <si>
    <t>СН-2012-2021.21. База. Р.7, о.7, поз.83</t>
  </si>
  <si>
    <t>Качалка пружинная деревянная, окрашена цветными эмалями, размеры 1000х900х290 мм</t>
  </si>
  <si>
    <t>21.7-7-60</t>
  </si>
  <si>
    <t>СН-2012-2021.21. База. Р.7, о.7, поз.60</t>
  </si>
  <si>
    <t>21.7-7-56</t>
  </si>
  <si>
    <t>СН-2012-2021.21. База. Р.7, о.7, поз.56</t>
  </si>
  <si>
    <t>21.7-7-90</t>
  </si>
  <si>
    <t>СН-2012-2021.21. База. Р.7, о.7, поз.90</t>
  </si>
  <si>
    <t>21.7-7-122</t>
  </si>
  <si>
    <t>СН-2012-2021.21. База. Р.7, о.7, поз.122</t>
  </si>
  <si>
    <t>21.7-7-177</t>
  </si>
  <si>
    <t>СН-2012-2021.21. База. Р.7, о.7, поз.177</t>
  </si>
  <si>
    <t>5.3-3203-5-2/1</t>
  </si>
  <si>
    <t>Установка готовых секций металлического ограждения газонов из профилированной трубы, масса секции до 10 кг</t>
  </si>
  <si>
    <t>СН-2012-2021.5. База. Сб.3-3203-5-2/1</t>
  </si>
  <si>
    <t>21.7-9-1</t>
  </si>
  <si>
    <t>Ограждение газонное из металлической профильной трубы 20х20х1,5мм</t>
  </si>
  <si>
    <t>СН-2012-2021.21. База. Р.7, о.9, поз.1</t>
  </si>
  <si>
    <t>21.7-9-11</t>
  </si>
  <si>
    <t>Ограждения газонные, чугунные, высота 1000 мм (эквивалент проекта) Ограждение детских площадок (без стоек). 10018 Размер: 2х0,04х0,7 м. Вес: 13 кг. Материалы: металл, дерево</t>
  </si>
  <si>
    <t>м</t>
  </si>
  <si>
    <t>СН-2012-2021.21. База. Р.7, о.9, поз.11</t>
  </si>
  <si>
    <t>Столбик для ограды газонной из трубы профильной 40х40 мм, высота 1000мм</t>
  </si>
  <si>
    <t>21.7-9-10</t>
  </si>
  <si>
    <t>Столбики для ограды газонной, чугунные, длина 640 мм  (эквивалент проекта) Стойка ограждения детских площадок. 10019. Размер: 0,04х0,04х0,6 м</t>
  </si>
  <si>
    <t>СН-2012-2021.21. База. Р.7, о.9, поз.10</t>
  </si>
  <si>
    <t>2.1-3203-9-1/1</t>
  </si>
  <si>
    <t>Установка дополнительных щитков (без стоимости щита дорожного знака) монтаж стенда</t>
  </si>
  <si>
    <t>СН-2012-2021.2. База. Сб.1-3203-9-1/1</t>
  </si>
  <si>
    <t>Табличка «Правила эксплуатации детской игровой площадки с гербом района Москвы»</t>
  </si>
  <si>
    <t>1.50-3203-43-1/1</t>
  </si>
  <si>
    <t>Изготовление мелких индивидуальных листовых конструкций массой до 0,5 т (бачки, течки, воронки, желоба, лотки и пр.) Замена метала на мусорной площадке</t>
  </si>
  <si>
    <t>СН-2012-2021.1. База. Сб.50-3203-43-1/1</t>
  </si>
  <si>
    <t>1.13-3205-2-2/1</t>
  </si>
  <si>
    <t>Антикоррозионная огрунтовка металлических поверхностей грунтовкой ГФ-021 за один раз</t>
  </si>
  <si>
    <t>СН-2012-2021.1. База. Сб.13-3205-2-2/1</t>
  </si>
  <si>
    <t>1.13-3205-4-8/1</t>
  </si>
  <si>
    <t>Антикоррозионная окраска огрунтованных металлических поверхностей эмалями ПФ-115 (за 2 раза)</t>
  </si>
  <si>
    <t>СН-2012-2021.1. База. Сб.13-3205-4-8/1</t>
  </si>
  <si>
    <t>)*2</t>
  </si>
  <si>
    <t>1.26-3103-3-1/2</t>
  </si>
  <si>
    <t>Установка штучных изделий столов, шкафов под мойки, холодильных шкафов и др. (без стоимости изделий) Устройство стенки из бревен:</t>
  </si>
  <si>
    <t>СН-2012-2021.1. База. Сб.26-3103-3-1/2</t>
  </si>
  <si>
    <t>21.9-12-46</t>
  </si>
  <si>
    <t>Раскладки хвойных пород, окрашенные, сечение 19х13(24) мм</t>
  </si>
  <si>
    <t>СН-2012-2021.21. База. Р.9, о.12, поз.46</t>
  </si>
  <si>
    <t>21.1-9-99</t>
  </si>
  <si>
    <t>Бревна хвойных и лиственных пород для опор линий электропередач, диаметр 14-24 см (эквивалент проекта) бревно оцилиндрованное, диаметром 300 мм, h=0,8 м</t>
  </si>
  <si>
    <t>СН-2012-2021.21. База. Р.1, о.9, поз.99</t>
  </si>
  <si>
    <t>1.10-3401-3-4/1</t>
  </si>
  <si>
    <t>Острожка дощатых покрытий электрорубанком, площадь покрытия свыше 5 м2</t>
  </si>
  <si>
    <t>СН-2012-2021.1. База. Сб.10-3401-3-4/1</t>
  </si>
  <si>
    <t>)*0,5</t>
  </si>
  <si>
    <t>Антикоррозионная окраска огрунтованных металлических поверхностей эмалями ПФ-115</t>
  </si>
  <si>
    <t>)*2)*0,5</t>
  </si>
  <si>
    <t>Установка дополнительных щитков (без стоимости щита дорожного знака)</t>
  </si>
  <si>
    <t>21.7-13-2</t>
  </si>
  <si>
    <t>Знаки дорожные из оцинкованной стали со световой индикацией "Объезд препятствия" (на светодиодах) 2-го типоразмера</t>
  </si>
  <si>
    <t>СН-2012-2021.21. База. Р.7, о.13, поз.2</t>
  </si>
  <si>
    <t>21.7-9-8</t>
  </si>
  <si>
    <t>Стойка ограждения металлического, из профиля квадратного, сечением 100х100 мм, длина 3600 мм</t>
  </si>
  <si>
    <t>СН-2012-2021.21. База. Р.7, о.9, поз.8</t>
  </si>
  <si>
    <t>21.7-7-141</t>
  </si>
  <si>
    <t>Навес для мусорных баков на каркасе из стального профиля с крышей и бортами из профилированного настила, двухместный, 2000х4000х2250 мм</t>
  </si>
  <si>
    <t>СН-2012-2021.21. База. Р.7, о.7, поз.141</t>
  </si>
  <si>
    <t>Контейнер для сбора бытового мусора</t>
  </si>
  <si>
    <t>Навес для мусорных баков на каркасе из стального профиля с крышей и бортами из профилированного настила, трехместный, 2000х6000х2250 мм</t>
  </si>
  <si>
    <t>21.7-7-144</t>
  </si>
  <si>
    <t>Навес теневой ТН001, размеры 4000х2000х3000 мм, каркас из стальной трубы, навес и боковые стенки из перфорированного стального листа</t>
  </si>
  <si>
    <t>СН-2012-2021.21. База. Р.7, о.7, поз.144</t>
  </si>
  <si>
    <t>1.5-3203-29-1/1</t>
  </si>
  <si>
    <t>Установка на растворе из сухой смеси блоков наружных стен массой до 1 т</t>
  </si>
  <si>
    <t>СН-2012-2021.1. База. Сб.5-3203-29-1/1</t>
  </si>
  <si>
    <t>21.5-4-5</t>
  </si>
  <si>
    <t>Блоки наружных стен трехслойные с высокими теплотехническими характеристиками для жилых домов, марка NН, NНУА, NНГ, НСУ, под окраску в построечных условиях</t>
  </si>
  <si>
    <t>СН-2012-2021.21. База. Р.5, о.4, поз.5</t>
  </si>
  <si>
    <t>Скамья бетонная с деревянным настилом</t>
  </si>
  <si>
    <t>1.50-3205-12-1/1</t>
  </si>
  <si>
    <t>Устройство деревянных настилов, ходов, переходов, мостиков</t>
  </si>
  <si>
    <t>СН-2012-2021.1. База. Сб.50-3205-12-1/1</t>
  </si>
  <si>
    <t>1.10-3403-1-4/1</t>
  </si>
  <si>
    <t>Устройство прямого настила толщиной 40 мм из нестроганых досок по готовому основанию с антисептированием</t>
  </si>
  <si>
    <t>СН-2012-2021.1. База. Сб.10-3403-1-4/1</t>
  </si>
  <si>
    <t>21.1-9-57</t>
  </si>
  <si>
    <t>Доски хвойных пород, обрезные, длина 2-6,5 м, сорт III, толщина 40-60 мм</t>
  </si>
  <si>
    <t>СН-2012-2021.21. База. Р.1, о.9, поз.57</t>
  </si>
  <si>
    <t>Деревянный настил на бетонную скамью</t>
  </si>
  <si>
    <t>ПМ</t>
  </si>
  <si>
    <t>1.29-3103-8-3/1</t>
  </si>
  <si>
    <t>Установка цементных деталей - ваз гладких высотой до 1350 мм (без стоимости ваз)</t>
  </si>
  <si>
    <t>СН-2012-2021.1. База. Сб.29-3103-8-3/1</t>
  </si>
  <si>
    <t>Вазон (кашпо)</t>
  </si>
  <si>
    <t>ЛС № 02-01-03 Озеленение (ул. Свободы д. 15/10)</t>
  </si>
  <si>
    <t>Посадка лиственных кустарников в группы D=0,25; h=0,2</t>
  </si>
  <si>
    <t>5.4-3103-1-3/1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</si>
  <si>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0,25х0,2м с добавлением растительной земли до 50%</t>
  </si>
  <si>
    <t>10 ям</t>
  </si>
  <si>
    <t>СН-2012-2021.5. База. Сб.4-3103-1-3/1</t>
  </si>
  <si>
    <t>5.4-3103-3-3/1</t>
  </si>
  <si>
    <t>Подготовка стандартных посадочных мест вручную, с круглым комом земли размером 0,2х0,15 м и 0,25х0,2 м с добавлением растительной земли до 50%</t>
  </si>
  <si>
    <t>СН-2012-2021.5. База. Сб.4-3103-3-3/1</t>
  </si>
  <si>
    <t>5.4-3103-6-1/1</t>
  </si>
  <si>
    <t>Посадка деревьев и кустарников с комом земли, диаметром 0,2 м и высотой 0,15 м, диаметром 0,25 м и высотой 0,2 м</t>
  </si>
  <si>
    <t>СН-2012-2021.5. База. Сб.4-3103-6-1/1</t>
  </si>
  <si>
    <t>3,1</t>
  </si>
  <si>
    <t>21.4-2-2</t>
  </si>
  <si>
    <t>Кустарники декоративные с комом земли: барбарис тунберга, высота 0,15 м, диаметр 0,2 м (эквивалент проекта)</t>
  </si>
  <si>
    <t>СН-2012-2021.21. База. Р.4, о.2, поз.2</t>
  </si>
  <si>
    <t>Устройство газона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</si>
  <si>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</si>
  <si>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</si>
  <si>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СН-2012-2021.5. База. Сб.4-3203-3-3/1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</si>
  <si>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</si>
  <si>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</si>
  <si>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СН-2012-2021.5. База. Сб.4-3203-3-4/1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</si>
  <si>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</si>
  <si>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</si>
  <si>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СН-2012-2021.5. База. Сб.4-3203-3-5/1</t>
  </si>
  <si>
    <t>5.4-3203-3-6/1</t>
  </si>
  <si>
    <t>Посев газонов партерных, мавританских, и обыкновенных вручную</t>
  </si>
  <si>
    <t>СН-2012-2021.5. База. Сб.4-3203-3-6/1</t>
  </si>
  <si>
    <t>газон</t>
  </si>
  <si>
    <t>рем газ</t>
  </si>
  <si>
    <t>куст 0.25</t>
  </si>
  <si>
    <t>ндс</t>
  </si>
  <si>
    <t>НДС 20%</t>
  </si>
  <si>
    <t>с ндс</t>
  </si>
  <si>
    <t>Всего с НДС</t>
  </si>
  <si>
    <t>Уровень цен на 01.10.2020 г</t>
  </si>
  <si>
    <t>_OBSM_</t>
  </si>
  <si>
    <t>9999990008</t>
  </si>
  <si>
    <t>Трудозатраты рабочих</t>
  </si>
  <si>
    <t>чел.-ч.</t>
  </si>
  <si>
    <t>22.1-4-31</t>
  </si>
  <si>
    <t>СН-2012-2021.22. База. п.1-4-31 (042903)</t>
  </si>
  <si>
    <t>Лебедки электрические, грузоподъемность до 1,5 т</t>
  </si>
  <si>
    <t>маш.-ч</t>
  </si>
  <si>
    <t>21.1-11-21</t>
  </si>
  <si>
    <t>СН-2012-2021.21. База. Р.1, о.11, поз.21</t>
  </si>
  <si>
    <t>Болты строительные черные с гайками и шайбами (10х100мм)</t>
  </si>
  <si>
    <t>21.1-23-9</t>
  </si>
  <si>
    <t>СН-2012-2021.21. База. Р.1, о.23, поз.9</t>
  </si>
  <si>
    <t>Электроды, тип Э-42, 46, 50, диаметр 4 - 6 мм</t>
  </si>
  <si>
    <t>21.6-1-49</t>
  </si>
  <si>
    <t>СН-2012-2021.21. База. Р.6, о.1, поз.49</t>
  </si>
  <si>
    <t>Отдельные конструктивные элементы с преобладанием горячекатаных профилей, средняя масса сборочной единицы до 0,05 т</t>
  </si>
  <si>
    <t>22.1-4-30</t>
  </si>
  <si>
    <t>СН-2012-2021.22. База. п.1-4-30 (042901)</t>
  </si>
  <si>
    <t>Лебедки электрические, грузоподъемность до 0,5 т</t>
  </si>
  <si>
    <t>9999990001</t>
  </si>
  <si>
    <t>Масса мусора</t>
  </si>
  <si>
    <t>21.6-1-52</t>
  </si>
  <si>
    <t>СН-2012-2021.21. База. Р.6, о.1, поз.52</t>
  </si>
  <si>
    <t>Отдельные конструктивные элементы с преобладанием горячекатаных профилей, средняя масса сборочной единицы от 0,51 до 1,0 т</t>
  </si>
  <si>
    <t>22.1-30-102</t>
  </si>
  <si>
    <t>СН-2012-2020.22. Доп.1. п.1-30-102 (303704)</t>
  </si>
  <si>
    <t>Дрели электрические, двухскоростные, мощностью 600 Вт</t>
  </si>
  <si>
    <t>21.1-2-1</t>
  </si>
  <si>
    <t>СН-2012-2020.21. Доп.1. Р.1, о.2, поз.1</t>
  </si>
  <si>
    <t>Гипсовые вяжущие (гипс) для искусственного мрамора и формовочных работ</t>
  </si>
  <si>
    <t>21.1-9-36</t>
  </si>
  <si>
    <t>СН-2012-2020.21. Доп.1. Р.1, о.9, поз.36</t>
  </si>
  <si>
    <t>Доски хвойных пород, необрезные, длина 2-6,5 м, сорт II, толщина 25-32 мм</t>
  </si>
  <si>
    <t>22.1-17-82</t>
  </si>
  <si>
    <t>СН-2012-2021.22. База. п.1-17-82 (177201)</t>
  </si>
  <si>
    <t>Виброплиты для уплотнения песка, гравия и бетона</t>
  </si>
  <si>
    <t>22.1-30-27</t>
  </si>
  <si>
    <t>СН-2012-2021.22. База. п.1-30-27 (306101)</t>
  </si>
  <si>
    <t>Пилы дисковые электрические для резки пиломатериалов</t>
  </si>
  <si>
    <t>21.1-12-11</t>
  </si>
  <si>
    <t>СН-2012-2021.21. База. Р.1, о.12, поз.11</t>
  </si>
  <si>
    <t>Песок для строительных работ, рядовой</t>
  </si>
  <si>
    <t>21.3-2-52</t>
  </si>
  <si>
    <t>СН-2012-2021.21. База. Р.3, о.2, поз.52</t>
  </si>
  <si>
    <t>Смеси сухие монтажно-кладочные цементно-песчаные: В12,5 (М150), F100, крупность заполнителя не более 3,5 мм</t>
  </si>
  <si>
    <t>21.7-3-11</t>
  </si>
  <si>
    <t>СН-2012-2021.21. База. Р.7, о.3, поз.11</t>
  </si>
  <si>
    <t>Диск отрезной с алмазным покрытием DC-D C1, диаметр 230 мм</t>
  </si>
  <si>
    <t>21.3-1-69</t>
  </si>
  <si>
    <t>СН-2012-2021.21. База. Р.3, о.1, поз.69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</si>
  <si>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</si>
  <si>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</si>
  <si>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СН-2012-2021.21. База. Р.3, о.2, поз.15</t>
  </si>
  <si>
    <t>Растворы цементные, марка 100</t>
  </si>
  <si>
    <t>21.1-2-13</t>
  </si>
  <si>
    <t>СН-2012-2021.21. База. Р.1, о.2, поз.13</t>
  </si>
  <si>
    <t>Цемент общестроительный, портландцемент общего назначения, марка 400</t>
  </si>
  <si>
    <t>21.6-1-21</t>
  </si>
  <si>
    <t>СН-2012-2021.21. База. Р.6, о.1, поз.21</t>
  </si>
  <si>
    <t>Ограждения из прокатных и гнутых профилей полосовой и круглой стали</t>
  </si>
  <si>
    <t>22.1-13-21</t>
  </si>
  <si>
    <t>СН-2012-2021.22. База. п.1-13-21 (138501)</t>
  </si>
  <si>
    <t>Печи электрические для сушки сварочных материалов с регулированием температуры в пределах 80-500С</t>
  </si>
  <si>
    <t>22.1-30-46</t>
  </si>
  <si>
    <t>СН-2012-2021.22. База. п.1-30-46 (308001)</t>
  </si>
  <si>
    <t>Преобразователи частоты тока до 500 А</t>
  </si>
  <si>
    <t>22.1-4-34</t>
  </si>
  <si>
    <t>СН-2012-2021.22. База. п.1-4-34 (042906)</t>
  </si>
  <si>
    <t>Лебедки электрические, грузоподъемность до 5 т</t>
  </si>
  <si>
    <t>21.6-1-50</t>
  </si>
  <si>
    <t>СН-2012-2021.21. База. Р.6, о.1, поз.50</t>
  </si>
  <si>
    <t>Отдельные конструктивные элементы с преобладанием горячекатаных профилей, средняя масса сборочной единицы от 0,11 до 0,5 т</t>
  </si>
  <si>
    <t>22.1-17-52</t>
  </si>
  <si>
    <t>СН-2012-2021.22. База. п.1-17-52 (177001)</t>
  </si>
  <si>
    <t>Ямокопатели</t>
  </si>
  <si>
    <t>22.1-2-7</t>
  </si>
  <si>
    <t>СН-2012-2021.22. База. п.1-2-7 (021003)</t>
  </si>
  <si>
    <t>Тракторы на пневмоколесном ходу, мощность до 60 (81) кВт (л.с.)</t>
  </si>
  <si>
    <t>21.4-6-15</t>
  </si>
  <si>
    <t>СН-2012-2021.21. База. Р.4, о.6, поз.15</t>
  </si>
  <si>
    <t>Торф</t>
  </si>
  <si>
    <t>21.4-6-5</t>
  </si>
  <si>
    <t>СН-2012-2021.21. База. Р.4, о.6, поз.5</t>
  </si>
  <si>
    <t>Земля растительная</t>
  </si>
  <si>
    <t>22.1-5-18</t>
  </si>
  <si>
    <t>СН-2012-2021.22. База. п.1-5-18 (050902)</t>
  </si>
  <si>
    <t>Поливомоечные машины, емкость цистерны более 5000 л</t>
  </si>
  <si>
    <t>21.1-25-13</t>
  </si>
  <si>
    <t>СН-2012-2021.21. База. Р.1, о.25, поз.13</t>
  </si>
  <si>
    <t>Вода</t>
  </si>
  <si>
    <t>22.1-5-17</t>
  </si>
  <si>
    <t>СН-2012-2021.22. База. п.1-5-17 (050901)</t>
  </si>
  <si>
    <t>Поливомоечные машины, емкость цистерны до 5000 л</t>
  </si>
  <si>
    <t>22.1-5-43</t>
  </si>
  <si>
    <t>СН-2012-2021.22. База. п.1-5-43 (054801)</t>
  </si>
  <si>
    <t>Установки фрезерования дорожного покрытия</t>
  </si>
  <si>
    <t>21.1-25-307</t>
  </si>
  <si>
    <t>СН-2012-2021.21. База. Р.1, о.25, поз.307</t>
  </si>
  <si>
    <t>Резцы, инструмент</t>
  </si>
  <si>
    <t>22.1-10-2</t>
  </si>
  <si>
    <t>СН-2012-2021.22. База. п.1-10-2 (100102)</t>
  </si>
  <si>
    <t>Компрессоры автомобильные, производительность 5-10 м3/мин</t>
  </si>
  <si>
    <t>22.1-1-74</t>
  </si>
  <si>
    <t>СН-2012-2021.22. База. п.1-1-74 (010809)</t>
  </si>
  <si>
    <t>Экскаваторы-погрузчики на пневмоколесном ходу гидравлические (при проведении ремонтных работ), грузоподъемность до 1,5 т, объем ковша 0,8-1,2 м3</t>
  </si>
  <si>
    <t>22.1-30-54</t>
  </si>
  <si>
    <t>СН-2012-2021.22. База. п.1-30-54 (308901)</t>
  </si>
  <si>
    <t>Молотки отбойные</t>
  </si>
  <si>
    <t>22.1-5-103</t>
  </si>
  <si>
    <t>СН-2012-2021.22. База. п.1-5-103 (054305)</t>
  </si>
  <si>
    <t>Фрезы дорожные самоходные, ширина фрезерования 2200 мм, глубина фрезерования до 320 мм</t>
  </si>
  <si>
    <t>22.1-5-97</t>
  </si>
  <si>
    <t>СН-2012-2021.22. База. п.1-5-97 (058301)</t>
  </si>
  <si>
    <t>Машины дорожные для заправки спецтехники водой, емкость до 8 м3</t>
  </si>
  <si>
    <t>21.1-25-981</t>
  </si>
  <si>
    <t>СН-2012-2021.21. База. Р.1, о.25, поз.981</t>
  </si>
  <si>
    <t>Резцы для дорожной фрезы W 2100 типа "Виртген"</t>
  </si>
  <si>
    <t>22.1-18-13</t>
  </si>
  <si>
    <t>СН-2012-2021.22. База. п.1-18-13 (184002)</t>
  </si>
  <si>
    <t>Автомобили-самосвалы, грузоподъемность до 10 т</t>
  </si>
  <si>
    <t>22.1-2-1</t>
  </si>
  <si>
    <t>СН-2012-2021.22. База. п.1-2-1 (020101)</t>
  </si>
  <si>
    <t>Тракторы на гусеничном ходу, мощность до 60 (81) кВт (л.с.)</t>
  </si>
  <si>
    <t>22.1-5-48</t>
  </si>
  <si>
    <t>СН-2012-2021.22. База. п.1-5-48 (056003)</t>
  </si>
  <si>
    <t>Автогрейдеры, мощность 99-147 кВт (130-200 л.с.)</t>
  </si>
  <si>
    <t>22.1-13-14</t>
  </si>
  <si>
    <t>СН-2012-2021.22. База. п.1-13-14 (136001)</t>
  </si>
  <si>
    <t>Установки для сварки ручной дуговой (постоянного тока)</t>
  </si>
  <si>
    <t>22.1-30-26</t>
  </si>
  <si>
    <t>СН-2012-2021.22. База. п.1-30-26 (306001)</t>
  </si>
  <si>
    <t>Пилы ручные электрические</t>
  </si>
  <si>
    <t>22.1-4-12</t>
  </si>
  <si>
    <t>СН-2012-2021.22. База. п.1-4-12 (040205)</t>
  </si>
  <si>
    <t>Погрузчики на автомобильном ходу, грузоподъемность до 5 т</t>
  </si>
  <si>
    <t>22.1-6-52</t>
  </si>
  <si>
    <t>СН-2012-2021.22. База. п.1-6-52 (069402)</t>
  </si>
  <si>
    <t>Вибраторы глубинные</t>
  </si>
  <si>
    <t>21.1-11-46</t>
  </si>
  <si>
    <t>СН-2012-2021.21. База. Р.1, о.11, поз.46</t>
  </si>
  <si>
    <t>Гвозди строительные</t>
  </si>
  <si>
    <t>21.1-2-4</t>
  </si>
  <si>
    <t>СН-2012-2021.21. База. Р.1, о.2, поз.4</t>
  </si>
  <si>
    <t>Известь негашеная комовая</t>
  </si>
  <si>
    <t>21.1-9-13</t>
  </si>
  <si>
    <t>СН-2012-2021.21. База. Р.1, о.9, поз.13</t>
  </si>
  <si>
    <t>Бруски хвойных пород обрезные, длина 2-6,5 м, сорт III, толщина 50-60 мм</t>
  </si>
  <si>
    <t>21.3-4-17</t>
  </si>
  <si>
    <t>СН-2012-2021.21. База. Р.3, о.4, поз.17</t>
  </si>
  <si>
    <t>Арматурные заготовки (стержни, хомуты и т.п.), не собранные в каркасы или сетки, арматурная сталь периодического профиля, класс А-III, диаметр 12-14 мм</t>
  </si>
  <si>
    <t>21.9-11-2</t>
  </si>
  <si>
    <t>СН-2012-2021.21. База. Р.9, о.11, поз.2</t>
  </si>
  <si>
    <t>Щиты деревянные для фундаментов, колонн, балок, перекрытий, стен, перегородок и других конструкций из досок, толщина 25 мм</t>
  </si>
  <si>
    <t>21.1-9-55</t>
  </si>
  <si>
    <t>СН-2012-2021.21. База. Р.1, о.9, поз.55</t>
  </si>
  <si>
    <t>Доски хвойных пород, обрезные, длина 2-6,5 м, сорт III, толщина 19-22 мм</t>
  </si>
  <si>
    <t>21.3-1-66</t>
  </si>
  <si>
    <t>СН-2012-2021.21. База. Р.3, о.1, поз.66</t>
  </si>
  <si>
    <t>Смеси бетонные, БСГ, тяжелого бетона на гранитном щебне фракция 5-20, класс прочности: В15 (М200); П1, F100, W2</t>
  </si>
  <si>
    <t>21.5-3-146</t>
  </si>
  <si>
    <t>СН-2012-2021.21. База. Р.5, о.3, поз.146</t>
  </si>
  <si>
    <t>Лотки бетонные с решеткой щелевой чугунной ВЧ, водоотводные для тротуаров, марка ЛВ-11.19.23Б</t>
  </si>
  <si>
    <t>22.1-13-15</t>
  </si>
  <si>
    <t>СН-2012-2021.22. База. п.1-13-15 (136201)</t>
  </si>
  <si>
    <t>Аппараты сварочные</t>
  </si>
  <si>
    <t>22.1-30-19</t>
  </si>
  <si>
    <t>СН-2012-2021.22. База. п.1-30-19 (305001)</t>
  </si>
  <si>
    <t>Машины шлифовальные электрические</t>
  </si>
  <si>
    <t>22.1-9-2</t>
  </si>
  <si>
    <t>СН-2012-2021.22. База. п.1-9-2 (090201)</t>
  </si>
  <si>
    <t>Машины бурильно-крановые на базе автомобиля, глубина бурения до 5 м</t>
  </si>
  <si>
    <t>21.1-12-41</t>
  </si>
  <si>
    <t>СН-2012-2021.21. База. Р.1, о.12, поз.41</t>
  </si>
  <si>
    <t>Щебень из естественного камня для строительных работ, марка 1400, фракция 20-40 мм</t>
  </si>
  <si>
    <t>21.3-1-87</t>
  </si>
  <si>
    <t>СН-2012-2021.21. База. Р.3, о.1, поз.87</t>
  </si>
  <si>
    <t>Смеси бетонные, БСГ, тяжелого бетона на гранитном щебне, класс прочности: В25 (М350); П3, фракция 5-20, F150, W6</t>
  </si>
  <si>
    <t>21.7-9-7</t>
  </si>
  <si>
    <t>СН-2012-2021.21. База. Р.7, о.9, поз.7</t>
  </si>
  <si>
    <t>Секция ограждения металлического, решетчатого, из профиля квадратного, сечением 30х30 мм,  высота 2500 мм</t>
  </si>
  <si>
    <t>22.1-30-30</t>
  </si>
  <si>
    <t>СН-2012-2021.22. База. п.1-30-30 (306301)</t>
  </si>
  <si>
    <t>Рубанки ручные электрические</t>
  </si>
  <si>
    <t>СН-2012-2021.22. База. п.1-30-102 (303704)</t>
  </si>
  <si>
    <t>21.1-20-7</t>
  </si>
  <si>
    <t>СН-2012-2021.21. База. Р.1, о.20, поз.7</t>
  </si>
  <si>
    <t>Ветошь</t>
  </si>
  <si>
    <t>21.1-5-19</t>
  </si>
  <si>
    <t>СН-2012-2021.21. База. Р.1, о.5, поз.19</t>
  </si>
  <si>
    <t>Плитки керамические глазурованные для внутренней облицовки гладкие, белые и цветные (однотонные), квадратные и прямоугольные, сорт I</t>
  </si>
  <si>
    <t>21.1-6-21</t>
  </si>
  <si>
    <t>СН-2012-2021.21. База. Р.1, о.6, поз.21</t>
  </si>
  <si>
    <t>Дисперсия поливинилацетатная, гомополимерная, грубодисперсная, пластифицированная, (эмульсия поливинилацетатная), марка ДБ</t>
  </si>
  <si>
    <t>21.3-2-107</t>
  </si>
  <si>
    <t>СН-2012-2021.21. База. Р.3, о.2, поз.107</t>
  </si>
  <si>
    <t>Смеси сухие цементно-песчаные, клеевые для плиточных работ: В12,5 (М150), F50, крупность заполнителя не более 0,5 мм</t>
  </si>
  <si>
    <t>21.3-2-109</t>
  </si>
  <si>
    <t>СН-2012-2021.21. База. Р.3, о.2, поз.109</t>
  </si>
  <si>
    <t>Смеси сухие фуговочные для заделки швов между плитками (различная цветовая гамма): В7,5 (М100), F50, крупность заполнителя 0,3 мм</t>
  </si>
  <si>
    <t>22.1-10-1</t>
  </si>
  <si>
    <t>СН-2012-2021.22. База. п.1-10-1 (100101)</t>
  </si>
  <si>
    <t>Компрессоры автомобильные, производительность до 5 м3/мин</t>
  </si>
  <si>
    <t>21.1-11-95</t>
  </si>
  <si>
    <t>СН-2012-2021.21. База. Р.1, о.11, поз.95</t>
  </si>
  <si>
    <t>Шайбы для болтов черные</t>
  </si>
  <si>
    <t>21.7-13-6</t>
  </si>
  <si>
    <t>СН-2012-2021.21. База. Р.7, о.13, поз.6</t>
  </si>
  <si>
    <t>Ограждения дорожные стальные оцинкованные, марка ОРУД, высота 1,5 м</t>
  </si>
  <si>
    <t>22.1-10-5</t>
  </si>
  <si>
    <t>СН-2012-2021.22. База. п.1-10-5 (101002)</t>
  </si>
  <si>
    <t>Компрессоры с дизельным двигателем прицепные до 5 м3/мин</t>
  </si>
  <si>
    <t>22.1-1-43</t>
  </si>
  <si>
    <t>СН-2012-2021.22. База. п.1-1-43 (012102)</t>
  </si>
  <si>
    <t>Бульдозеры гусеничные, мощность до 59 кВт (80 л.с.)</t>
  </si>
  <si>
    <t>22.1-1-5</t>
  </si>
  <si>
    <t>СН-2012-2021.22. База. п.1-1-5 (010109)</t>
  </si>
  <si>
    <t>Экскаваторы на гусеничном ходу гидравлические, объем ковша до 0,65 м3</t>
  </si>
  <si>
    <t>22.1-18-12</t>
  </si>
  <si>
    <t>СН-2012-2021.22. База. п.1-18-12 (184001)</t>
  </si>
  <si>
    <t>Автомобили-самосвалы, грузоподъемность до 7 т</t>
  </si>
  <si>
    <t>22.1-13-10</t>
  </si>
  <si>
    <t>СН-2012-2021.22. База. п.1-13-10 (135201)</t>
  </si>
  <si>
    <t>Агрегаты сварочные однопостовые для ручной электродуговой сварки</t>
  </si>
  <si>
    <t>21.3-4-24</t>
  </si>
  <si>
    <t>СН-2012-2021.21. База. Р.3, о.4, поз.24</t>
  </si>
  <si>
    <t>Арматурные заготовки (стержни, хомуты и т.п.), не собранные в каркасы или сетки, закладные и накладные детали, со сваркой</t>
  </si>
  <si>
    <t>22.1-4-45</t>
  </si>
  <si>
    <t>СН-2012-2021.22. База. п.1-4-45 (043403)</t>
  </si>
  <si>
    <t>Домкраты гидравлические, грузоподъемность до 100 т</t>
  </si>
  <si>
    <t>21.6-1-64</t>
  </si>
  <si>
    <t>СН-2012-2021.21. База. Р.6, о.1, поз.64</t>
  </si>
  <si>
    <t>Площадки с настилом из листовой, рифленой, просечной или круглой стали, каркасами и элементами жесткости из прокатных и гнутых профилей, прямоугольные и трапециевидные</t>
  </si>
  <si>
    <t>21.6-1-17</t>
  </si>
  <si>
    <t>СН-2012-2021.21. База. Р.6, о.1, поз.17</t>
  </si>
  <si>
    <t>Конструктивные эл-ты вспом.назн.,эл-ты крепл.подвес. потолков,трубопр.,воздухов.,закл.детали,детали крепл.стен.панелей,ворот,переплетов решеток,массой не более 50 кг, с преобл.проф.проката, с отверстиями собираемые из двух и более деталей</t>
  </si>
  <si>
    <t>21.1-25-209</t>
  </si>
  <si>
    <t>СН-2012-2021.21. База. Р.1, о.25, поз.209</t>
  </si>
  <si>
    <t>Пакля пропитанная</t>
  </si>
  <si>
    <t>21.3-1-127</t>
  </si>
  <si>
    <t>СН-2012-2021.21. База. Р.3, о.1, поз.127</t>
  </si>
  <si>
    <t>Смеси бетонные, БСГ, легкого бетона на пористых заполнителях, класс прочности: В7,5 (М100); средняя плотность D 1000</t>
  </si>
  <si>
    <t>22.1-1-1</t>
  </si>
  <si>
    <t>СН-2012-2021.22. База. п.1-1-1 (010101)</t>
  </si>
  <si>
    <t>Экскаваторы на гусеничном ходу гидравлические, объем ковша до 0,25 м3</t>
  </si>
  <si>
    <t>21.1-12-25</t>
  </si>
  <si>
    <t>СН-2012-2021.21. База. Р.1, о.12, поз.25</t>
  </si>
  <si>
    <t>Щебень из естественного камня для строительных работ, марка 300-200, фракция 10-20 мм</t>
  </si>
  <si>
    <t>5899010000</t>
  </si>
  <si>
    <t>Столбы бетонные для оград</t>
  </si>
  <si>
    <t>СН-2012-2021.21. База. Р.1, о.2, поз.1</t>
  </si>
  <si>
    <t>СН-2012-2021.21. База. Р.1, о.9, поз.36</t>
  </si>
  <si>
    <t>5767750000</t>
  </si>
  <si>
    <t>Изделия гипсовые</t>
  </si>
  <si>
    <t>21.1-11-92</t>
  </si>
  <si>
    <t>Скобы строительные</t>
  </si>
  <si>
    <t>21.1-25-64</t>
  </si>
  <si>
    <t>СН-2012-2021.21. База. Р.1, о.25, поз.64</t>
  </si>
  <si>
    <t>Канат пеньковый смоляной</t>
  </si>
  <si>
    <t>21.1-9-1</t>
  </si>
  <si>
    <t>СН-2012-2021.21. База. Р.1, о.9, поз.1</t>
  </si>
  <si>
    <t>Бревна строительные окоренные, хвойных пород, длина 3-6,5 м, диаметр 14-24 см, сорт II</t>
  </si>
  <si>
    <t>21.1-9-37</t>
  </si>
  <si>
    <t>СН-2012-2021.21. База. Р.1, о.9, поз.37</t>
  </si>
  <si>
    <t>Доски хвойных пород, необрезные, длина 2-6,5 м, сорт II, толщина 40-60 мм</t>
  </si>
  <si>
    <t>22.1-5-15</t>
  </si>
  <si>
    <t>СН-2012-2021.22. База. п.1-5-15 (050703)</t>
  </si>
  <si>
    <t>Катки прицепные пневмоколесные, масса до 50 т</t>
  </si>
  <si>
    <t>22.1-5-7</t>
  </si>
  <si>
    <t>СН-2012-2021.22. База. п.1-5-7 (050301)</t>
  </si>
  <si>
    <t>Катки дорожные самоходные на пневмоколесном ходу, масса до 16 т</t>
  </si>
  <si>
    <t>21.1-12-10</t>
  </si>
  <si>
    <t>СН-2012-2021.21. База. Р.1, о.12, поз.10</t>
  </si>
  <si>
    <t>Песок для дорожных работ, рядовой</t>
  </si>
  <si>
    <t>22.1-5-2</t>
  </si>
  <si>
    <t>СН-2012-2021.22. База. п.1-5-2 (050102)</t>
  </si>
  <si>
    <t>Катки самоходные вибрационные, масса до 8 т</t>
  </si>
  <si>
    <t>22.1-5-3</t>
  </si>
  <si>
    <t>СН-2012-2021.22. База. п.1-5-3 (050103)</t>
  </si>
  <si>
    <t>Катки самоходные вибрационные, масса более 8 т</t>
  </si>
  <si>
    <t>21.1-12-36</t>
  </si>
  <si>
    <t>СН-2012-2021.21. База. Р.1, о.12, поз.36</t>
  </si>
  <si>
    <t>Щебень из естественного камня для строительных работ, марка 1200-800, фракция 20-40 мм</t>
  </si>
  <si>
    <t>21.1-1-3</t>
  </si>
  <si>
    <t>СН-2012-2021.21. База. Р.1, о.1, поз.3</t>
  </si>
  <si>
    <t>Битумы нефтяные, дорожные жидкие, марка МГ, СГ</t>
  </si>
  <si>
    <t>22.1-17-168</t>
  </si>
  <si>
    <t>СН-2012-2021.22. База. п.1-17-168 (266501)</t>
  </si>
  <si>
    <t>Укладчики полимерных покрытий на игровых и спортивных площадках, производительность 10-50 м2/ч</t>
  </si>
  <si>
    <t>22.1-4-8</t>
  </si>
  <si>
    <t>СН-2012-2021.22. База. п.1-4-8 (040201)</t>
  </si>
  <si>
    <t>Погрузчики на автомобильном ходу, грузоподъемность до 1 т</t>
  </si>
  <si>
    <t>22.1-6-68</t>
  </si>
  <si>
    <t>СН-2012-2021.22. База. п.1-6-68 (067203)</t>
  </si>
  <si>
    <t>Растворосмесители стационарные, емкость до 250 л</t>
  </si>
  <si>
    <t>21.1-25-255</t>
  </si>
  <si>
    <t>СН-2012-2021.21. База. Р.1, о.25, поз.255</t>
  </si>
  <si>
    <t>Пленка полиэтиленовая, толщина 0,12 - 0,15 мм</t>
  </si>
  <si>
    <t>21.1-25-343</t>
  </si>
  <si>
    <t>СН-2012-2021.21. База. Р.1, о.25, поз.343</t>
  </si>
  <si>
    <t>Скипидар живичный</t>
  </si>
  <si>
    <t>21.1-25-776</t>
  </si>
  <si>
    <t>СН-2012-2021.21. База.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</si>
  <si>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</si>
  <si>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5846300000</t>
  </si>
  <si>
    <t>Брусчатка бетонная прямая</t>
  </si>
  <si>
    <t>21.3-2-11</t>
  </si>
  <si>
    <t>СН-2012-2021.21. База. Р.3, о.2, поз.11</t>
  </si>
  <si>
    <t>Растворы цементно-известковые, марка 100</t>
  </si>
  <si>
    <t>21.5-3-76</t>
  </si>
  <si>
    <t>СН-2012-2021.21. База. Р.5, о.3, поз.76</t>
  </si>
  <si>
    <t>Плиты бетонные тротуарные, толщина 70 мм, цвет: разного цвета</t>
  </si>
  <si>
    <t>21.5-3-12</t>
  </si>
  <si>
    <t>СН-2012-2021.21. База. Р.5, о.3, поз.12</t>
  </si>
  <si>
    <t>Камни бетонные бортовые, марка БР60.20.8</t>
  </si>
  <si>
    <t>21.7-13-36</t>
  </si>
  <si>
    <t>СН-2012-2021.21. База. Р.7, о.13, поз.36</t>
  </si>
  <si>
    <t>Хомуты из оцинкованной стали, диаметр 76 мм</t>
  </si>
  <si>
    <t>5216100000</t>
  </si>
  <si>
    <t>Щитки металлические</t>
  </si>
  <si>
    <t>22.1-13-16</t>
  </si>
  <si>
    <t>СН-2012-2021.22. База. п.1-13-16 (136301)</t>
  </si>
  <si>
    <t>Аппараты для газовой сварки и резки</t>
  </si>
  <si>
    <t>22.1-30-63</t>
  </si>
  <si>
    <t>СН-2012-2021.22. База. п.1-30-63 (330901)</t>
  </si>
  <si>
    <t>Ножницы листовые кривошипные (гильотинные)</t>
  </si>
  <si>
    <t>22.1-30-64</t>
  </si>
  <si>
    <t>СН-2012-2021.22. База. п.1-30-64 (331001)</t>
  </si>
  <si>
    <t>Пресс-ножницы комбинированные</t>
  </si>
  <si>
    <t>22.1-30-69</t>
  </si>
  <si>
    <t>СН-2012-2021.22. База. п.1-30-69 (340320)</t>
  </si>
  <si>
    <t>Прессы кривошипные листогибочный, мощность до 1000 Кн (100 тс)</t>
  </si>
  <si>
    <t>21.1-10-187</t>
  </si>
  <si>
    <t>СН-2012-2021.21. База. Р.1, о.10, поз.187</t>
  </si>
  <si>
    <t>Сталь тонколистовая, толщина до 4 мм, общего назначения, марка Ст0</t>
  </si>
  <si>
    <t>21.1-4-10</t>
  </si>
  <si>
    <t>СН-2012-2021.21. База. Р.1, о.4, поз.10</t>
  </si>
  <si>
    <t>Кислород технический газообразный</t>
  </si>
  <si>
    <t>21.1-4-31</t>
  </si>
  <si>
    <t>СН-2012-2021.21. База. Р.1, о.4, поз.31</t>
  </si>
  <si>
    <t>Пропан-бутан газообразный</t>
  </si>
  <si>
    <t>22.1-10-12</t>
  </si>
  <si>
    <t>СН-2012-2021.22. База. п.1-10-12 (105001)</t>
  </si>
  <si>
    <t>Электрокомпрессоры прицепные, производительность до 3,5 м3/мин</t>
  </si>
  <si>
    <t>21.1-16-57</t>
  </si>
  <si>
    <t>Ксилол нефтяной, марка А</t>
  </si>
  <si>
    <t>21.1-6-12</t>
  </si>
  <si>
    <t>СН-2012-2021.21. База. Р.1, о.6, поз.12</t>
  </si>
  <si>
    <t>Грунтовка глифталевая, ГФ-021</t>
  </si>
  <si>
    <t>21.1-6-114</t>
  </si>
  <si>
    <t>СН-2012-2021.21. База. Р.1, о.6, поз.114</t>
  </si>
  <si>
    <t>Растворитель "Уайт-спирит"</t>
  </si>
  <si>
    <t>21.1-6-139</t>
  </si>
  <si>
    <t>СН-2012-2021.21. База. Р.1, о.6, поз.139</t>
  </si>
  <si>
    <t>Эмаль, марка ПФ-115 (цветная), пентафталевая</t>
  </si>
  <si>
    <t>21.1-11-84</t>
  </si>
  <si>
    <t>СН-2012-2021.21. База. Р.1, о.11, поз.84</t>
  </si>
  <si>
    <t>Поковки строительные (скобы, закрепы, хомуты) простые, масса 1,8 кг</t>
  </si>
  <si>
    <t>22.1-6-27</t>
  </si>
  <si>
    <t>СН-2012-2021.22. База. п.1-6-27 (067104)</t>
  </si>
  <si>
    <t>Растворосмесители передвижные, емкость до 150 л</t>
  </si>
  <si>
    <t>21.3-2-51</t>
  </si>
  <si>
    <t>СН-2012-2021.21. База. Р.3, о.2, поз.51</t>
  </si>
  <si>
    <t>Смеси сухие монтажно-кладочные цементно-песчаные: В7,5 (М100), F50, крупность заполнителя не более 3,5 мм</t>
  </si>
  <si>
    <t>21.1-9-56</t>
  </si>
  <si>
    <t>СН-2012-2021.21. База. Р.1, о.9, поз.56</t>
  </si>
  <si>
    <t>Доски хвойных пород, обрезные, длина 2-6,5 м, сорт III, толщина 25-32 мм</t>
  </si>
  <si>
    <t>21.1-8-1</t>
  </si>
  <si>
    <t>СН-2012-2021.21. База. Р.1, о.8, поз.1</t>
  </si>
  <si>
    <t>Антисептики: натрий фтористый</t>
  </si>
  <si>
    <t>5739020000</t>
  </si>
  <si>
    <t>Изделия цементные</t>
  </si>
  <si>
    <t>9797010000</t>
  </si>
  <si>
    <t>Деревья и кустарники с комом</t>
  </si>
  <si>
    <t>22.1-17-39</t>
  </si>
  <si>
    <t>СН-2012-2021.22. База. п.1-17-39 (176001)</t>
  </si>
  <si>
    <t>Плуги выкопочные (без трактора)</t>
  </si>
  <si>
    <t>21.4-6-11</t>
  </si>
  <si>
    <t>СН-2012-2021.21. База. Р.4, о.6, поз.11</t>
  </si>
  <si>
    <t>Семена (смесь универсальная) газонных трав</t>
  </si>
  <si>
    <t>Перевозка строительного мусора автосамосвалами грузоподъемностью до 10 т - добавляется на каждый последующий 1 км до 100 км к=42 до 43 км =бет.плитка(0,69м2*100*0,08*2,4)+цем.песч смесь(2,1м3*2,4)+асф-бет(0,072м3*100*2,4)+цем.бет(0,008м3*100*2,4)+резин.покр(118м2*0,03*0,75)+щебень(0,408м3*100*1,6)+дор.борт(31пм*0,23408)+сад.борт(306пм*0,1504)+МЕ(0,012т)+дерево(0,02т)</t>
  </si>
  <si>
    <t>Стоимость приема строительного мусора  =бет.плитка(0,69м2*100*0,08*2,4)+цем.песч смесь(2,1м3*2,4)+асф-бет(0,072м3*100*2,4)+цем.бет(0,008м3*100*2,4)+резин.покр(118м2*0,03*0,75)+щебень(0,408м3*100*1,6)+дор.борт(31пм*0,23408)+сад.борт(306пм*0,1504)+дерево(0,02т)</t>
  </si>
  <si>
    <t>Скамья - диван парковый из влагостойкой фанеры, на каркасе из полосовой стали, 600х2000х789 мм (эквивалент проекта) Скамейка "Классик" №2 . Материал: хвойный брус  сорт А сечением 60*40 мм , стальная профильная труба 20*20 мм, антисептик, полуматовый лак-стандартное исполнение. Длина: 2.0 м. Вес 37 кг. Ширина 56 см, высота 84 см, высота сиденья 44 см. Цвет: Тик</t>
  </si>
  <si>
    <t>Игровой комплекс «ТКМ-8» на опорах из клееного бруса с каркасом из металл. труб, с навесами из влагостойкой фанеры, скаты из нержавеющей стали, 6250х6400х3315 мм, в составе: две горки с переходными мостиками, беседка, две башни, лиана, элемент для лазанья (эквивалент проекта) Пергола  Радуга</t>
  </si>
  <si>
    <t>Игровой комплекс «ТКМ-4» на опорах из клееного бруса с каркасом из металл. труб, с навесами из влагостойкой фанеры, скаты из нержавеющей стали, 5750х6900х3315 мм, в составе: две горки с переходными мостиками, две беседки, башня, лиана, элемент для лазанья (эквивалент проекта) Пергола Радуга с качелями</t>
  </si>
  <si>
    <t>Навес для мусорных баков на каркасе из стального профиля с крышей и бортами из профилированного настила, трехместный, 2000х6000х2250 мм  (эквивалент проекта)  Навес для контейнарной площадки (Оцинкованный профнастил С8 с полимерным покрытием, 5300х1500х2000 мм, вес 150 кг) - 1 шт. (на 4 бака)</t>
  </si>
  <si>
    <t>Игровой комплекс детский городок, марка Г-5 из метал. проф, влагостойкой фанеры, настил из досок, скат из нерж. стали, с приставными элем. и переходным мостиком, с баскетбольной стойкой, 8100х6300х4800мм,"бизнес класс",с крышей, с худ. оформлением эмалями  (эквивалент проекта) Детский городок "Ярославль"</t>
  </si>
  <si>
    <t>Игровой комплекс «ТКМ-3» на опорах из клееного бруса с каркасом из металл. труб, с навесами из влагостойкой фанеры, скаты из нержавеющей стали, 7300х7300х3315 мм, в составе: две горки с переходными мостиками и элементами для лазанья, две беседки, башня  (эквивалент проекта) Игровой комплекс «Сапсан» (стой-ки дуб)</t>
  </si>
  <si>
    <t>Игровой комплекс ДИФ 5 пл, из сварных металлических профилей с настилом из досок хвойных пород дерева, с приставными игровыми элементами и переходными мостиками, окрашен цветными эмалями, размеры 10800х11800х3550 мм (эквивалент проекта) Игровой комплекс «Алфавит»(серия "Papercut"),  Гибкие элементы для лазания "Центавр" (серия "Papercut")</t>
  </si>
  <si>
    <t>Игровой комплекс «ТКМ-2» на опорах из клееного бруса с каркасом из металлических труб, с навесом из влагостойкой фанеры, скаты из нержавеющей стали, 4850х6400х3315 мм, в составе: две горки с переходными мостиками, беседка (эквивалент проекта) Детский городок «Ростов»</t>
  </si>
  <si>
    <t>Качели двухсекционные цепные на опорах из металлических профильных труб, на подшипниках качения, с сиденьем из влагостойкой фанеры, окрашены цветными эмалями, размеры 2000х3700х3300 мм (эквивалент проекта) Качели двухсекционные «Кураж» (паттерн «Fairytale»)</t>
  </si>
  <si>
    <t>Карусель "Леночка" на каркасе из металлического профиля, с основанием из листовой рифленой стали, на подшипниках качения, с поручнями из металлических труб, окрашена цветными эмалями, диаметр 2000 мм, высота 850 мм (эквивалент проекта) Карусель «Малыш» (цветовое ре-шение «Papercut»)</t>
  </si>
  <si>
    <t>Игровой комплекс «ТКМ-3» на опорах из клееного бруса с каркасом из металл. труб, с навесами из влагостойкой фанеры, скаты из нержавеющей стали, 7300х7300х3315 мм, в составе: две горки с переходными мостиками и элементами для лазанья, две беседки, башня (Эквивалент проекта) Детский игровой комплекс 7818</t>
  </si>
  <si>
    <t>Игровой комплекс «Эльф» на опорах из клееного бруса с каркасом из металлических труб, с навесом из влагостойкой фанеры, скат из нержавеющей стали, 2500х3100х2960 мм, в составе: горка с переходным мостиком, башня (эквиалент проекта) Детский игровой комплекс 4009</t>
  </si>
  <si>
    <t>Игровой комплекс «ТКМ-5» на опорах из клееного бруса с каркасом из металл. труб, с навесами из влагостойкой фанеры, скаты из нержавеющей стали, 7300х9100х3315 мм, в составе: две горки с переходными мостиками, две беседки, три башни, элементы для лазанья  (эквивалент проекта) Детский спортивный комплекс. 4301 Изделие предназначено для детей в возрасте oт 3 до 7 лет, весом не более 70 кг и ростом 95-120 см. Габариты изделия: 6,2?4,4?2,6  м, высота площадки: 1.5 м, вес: 533 кг, материалы: металл, дерево</t>
  </si>
  <si>
    <t>Качели двухсекционные на опорах из металлических труб с деревянным сиденьем, окрашены цветными эмалями, размеры 1000х1900х2150 мм  (эквивалент проекта) Качели с сиденьем для мылышей. 6323. Изделие предназначено для детей в возрасте oт 1 до 14 лет, весом не более 70 кг и ростом 75-165 см.  Размер: 3,2х1,8х2,1 м. Вес: 92 кг. Материалы: металл, дерево</t>
  </si>
  <si>
    <t>Комплекс спортивный многофункциональный СКО06, размеры 5000х5000х2000 мм, в составе: тренажер штанга, доска для пресса, шведская стенка, стенка лаз, рукоход; на металлическом каркасе, с элементами из влагостойкой фанеры  (эквивалент проекта) Спортивный комплекс. W0009. Изделие предназначено для детей в возрасте oт 14 лет, весом не более 100 кг и ростом oт 165 см. Размер: 3,6?3,5?2,6 м. Вес:  214 кг. Материалы: металл, дерево</t>
  </si>
  <si>
    <t>Спортивный комплекс «Юниор» на опорах из клееного бруса с каркасом из металлических труб, 1800х3600х2400 мм, в составе: рукоход, брусья, турни (эквивалент проекта) Спортивное оборудование. W0025. Изделие предназначено для детей в возрасте oт 14 лет, весом не более 100 кг и ростом oт 165 см.. Размер: 1,8х0,6х1,3. Вес: 32 кг. Материалы: металл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</si>
  <si>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</si>
  <si>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</si>
  <si>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</si>
  <si>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</si>
  <si>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</si>
  <si>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</si>
  <si>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</si>
  <si>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</si>
  <si>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</si>
  <si>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</si>
  <si>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</si>
  <si>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</si>
  <si>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</si>
  <si>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</si>
  <si>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</si>
  <si>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</si>
  <si>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</si>
  <si>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</si>
  <si>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</si>
  <si>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</si>
  <si>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</si>
  <si>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</si>
  <si>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</si>
  <si>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</si>
  <si>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</si>
  <si>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</si>
  <si>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</si>
  <si>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</si>
  <si>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НР от ЗП</t>
  </si>
  <si>
    <t>%</t>
  </si>
  <si>
    <t>СП от ЗП</t>
  </si>
  <si>
    <t>ЗТР</t>
  </si>
  <si>
    <t>чел-ч</t>
  </si>
  <si>
    <t>ЭМ</t>
  </si>
  <si>
    <t>в т.ч. ЗПМ</t>
  </si>
  <si>
    <t>НР и СП от ЗПМ</t>
  </si>
  <si>
    <r>
      <t>Стоимость приема строительного мусора  =бет.плитка(0,69м2*100*0,08*2,4)+цем.песч смесь(2,1м3*2,4)+асф-бет(0,072м3*100*2,4)+цем.бет(0,008м3*100*2,4)+резин.покр(118м2*0,03*0,75)+щебень(0,408м3*100*1,6)+дор.борт(31пм*0,23408)+сад.борт(306пм*0,1504)+дерево(0,02т)</t>
    </r>
    <r>
      <rPr>
        <i/>
        <sz val="10"/>
        <rFont val="Arial"/>
        <family val="2"/>
        <charset val="204"/>
      </rPr>
      <t xml:space="preserve">
Базисная стоимость: 100,30 = [120,36 / 1,2]</t>
    </r>
  </si>
  <si>
    <r>
      <t>Стоимость приема строительного мусора =дерево(0,3м3*0,8+(50кг+150кг)/1000)+бетон(0,024м3*100*2,4)</t>
    </r>
    <r>
      <rPr>
        <i/>
        <sz val="10"/>
        <rFont val="Arial"/>
        <family val="2"/>
        <charset val="204"/>
      </rPr>
      <t xml:space="preserve">
Базисная стоимость: 100,30 = [120,36 / 1,2]</t>
    </r>
  </si>
  <si>
    <t>МР</t>
  </si>
  <si>
    <t xml:space="preserve">Составил   </t>
  </si>
  <si>
    <t>[должность,подпись(инициалы,фамилия)]</t>
  </si>
  <si>
    <t xml:space="preserve">Проверил   </t>
  </si>
  <si>
    <t>" ___ " ___________ 20 ___ г.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</si>
  <si>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</si>
  <si>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</si>
  <si>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</si>
  <si>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</si>
  <si>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</si>
  <si>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Выполнение работ по ремонту дворовых территорий по адресу:  ул. Свободы, д.15/10</t>
  </si>
  <si>
    <t>Директор ГБУ "Жилищник района Покровское-Стрешнево"</t>
  </si>
  <si>
    <t>______________П.С.Куцев</t>
  </si>
  <si>
    <t>______________________П.С.Куцев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</si>
</sst>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#,##0.00####;[Red]\-\ #,##0.00####"/>
    <numFmt numFmtId="166" formatCode="#,##0.00;[Red]\-\ #,##0.00"/>
  </numFmts>
  <fonts count="10" x14ac:knownFonts="1">
    <font>
      <sz val="10"/>
      <name val="Arial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164" fontId="2" fillId="0" borderId="0" xfId="0" applyNumberFormat="1" applyFont="1"/>
    <xf numFmtId="1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6" xfId="0" applyBorder="1"/>
    <xf numFmtId="166" fontId="8" fillId="0" borderId="6" xfId="0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2" fillId="0" borderId="0" xfId="0" quotePrefix="1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2" fillId="0" borderId="1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center" wrapText="1"/>
    </xf>
    <xf numFmtId="0" fontId="0" fillId="0" borderId="0" xfId="0" applyAlignment="1"/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8" fillId="0" borderId="6" xfId="0" applyNumberFormat="1" applyFont="1" applyBorder="1" applyAlignment="1">
      <alignment horizontal="right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166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8" fillId="0" borderId="0" xfId="0" applyFont="1" applyBorder="1" applyAlignment="1">
      <alignment horizontal="right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83"/>
  <sheetViews>
    <sheetView view="pageBreakPreview" zoomScaleSheetLayoutView="100" workbookViewId="0">
      <selection activeCell="A15" sqref="A15:K15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 x14ac:dyDescent="0.2">
      <c r="A1" s="1" t="str">
        <f>CONCATENATE(Source!B1, "     СН-2012 (© ОАО МЦЦС 'Мосстройцены', ", "2021", ")")</f>
        <v>Smeta.RU  (495) 974-1589     СН-2012 (© ОАО МЦЦС 'Мосстройцены', 2021)</v>
      </c>
    </row>
    <row r="2" spans="1:11" ht="14.25" x14ac:dyDescent="0.2">
      <c r="A2" s="2"/>
      <c r="B2" s="2"/>
      <c r="C2" s="2"/>
      <c r="D2" s="2"/>
      <c r="E2" s="2"/>
      <c r="F2" s="2"/>
      <c r="G2" s="2"/>
      <c r="H2" s="2"/>
      <c r="I2" s="2"/>
      <c r="J2" s="42" t="s">
        <v>964</v>
      </c>
      <c r="K2" s="42"/>
    </row>
    <row r="3" spans="1:11" ht="16.5" x14ac:dyDescent="0.25">
      <c r="A3" s="4"/>
      <c r="B3" s="47" t="s">
        <v>962</v>
      </c>
      <c r="C3" s="47"/>
      <c r="D3" s="47"/>
      <c r="E3" s="47"/>
      <c r="F3" s="3"/>
      <c r="G3" s="47" t="s">
        <v>963</v>
      </c>
      <c r="H3" s="47"/>
      <c r="I3" s="47"/>
      <c r="J3" s="47"/>
      <c r="K3" s="47"/>
    </row>
    <row r="4" spans="1:11" ht="14.25" x14ac:dyDescent="0.2">
      <c r="A4" s="3"/>
      <c r="B4" s="48"/>
      <c r="C4" s="48"/>
      <c r="D4" s="48"/>
      <c r="E4" s="48"/>
      <c r="F4" s="3"/>
      <c r="G4" s="48" t="s">
        <v>1011</v>
      </c>
      <c r="H4" s="48"/>
      <c r="I4" s="48"/>
      <c r="J4" s="48"/>
      <c r="K4" s="48"/>
    </row>
    <row r="5" spans="1:11" ht="14.25" x14ac:dyDescent="0.2">
      <c r="A5" s="5"/>
      <c r="B5" s="5"/>
      <c r="C5" s="6"/>
      <c r="D5" s="6"/>
      <c r="E5" s="6"/>
      <c r="F5" s="3"/>
      <c r="G5" s="7"/>
      <c r="H5" s="6"/>
      <c r="I5" s="6"/>
      <c r="J5" s="6"/>
      <c r="K5" s="7"/>
    </row>
    <row r="6" spans="1:11" ht="14.25" x14ac:dyDescent="0.2">
      <c r="A6" s="7"/>
      <c r="B6" s="48" t="str">
        <f>CONCATENATE("______________________ ", IF(Source!AL12&lt;&gt;"", Source!AL12, ""))</f>
        <v xml:space="preserve">______________________ </v>
      </c>
      <c r="C6" s="48"/>
      <c r="D6" s="48"/>
      <c r="E6" s="48"/>
      <c r="F6" s="3"/>
      <c r="G6" s="48" t="s">
        <v>1012</v>
      </c>
      <c r="H6" s="48"/>
      <c r="I6" s="48"/>
      <c r="J6" s="48"/>
      <c r="K6" s="48"/>
    </row>
    <row r="7" spans="1:11" ht="14.25" x14ac:dyDescent="0.2">
      <c r="A7" s="8"/>
      <c r="B7" s="41" t="s">
        <v>965</v>
      </c>
      <c r="C7" s="41"/>
      <c r="D7" s="41"/>
      <c r="E7" s="41"/>
      <c r="F7" s="3"/>
      <c r="G7" s="41" t="s">
        <v>965</v>
      </c>
      <c r="H7" s="41"/>
      <c r="I7" s="41"/>
      <c r="J7" s="41"/>
      <c r="K7" s="41"/>
    </row>
    <row r="9" spans="1:11" ht="14.2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x14ac:dyDescent="0.25">
      <c r="A10" s="43" t="str">
        <f>CONCATENATE( "ЛОКАЛЬНАЯ СМЕТА № ",IF(Source!F12&lt;&gt;"Новый объект", Source!F12, ""))</f>
        <v xml:space="preserve">ЛОКАЛЬНАЯ СМЕТА № 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x14ac:dyDescent="0.2">
      <c r="A11" s="45" t="s">
        <v>966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ht="14.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8" hidden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1" ht="14.25" hidden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8" x14ac:dyDescent="0.25">
      <c r="A15" s="50" t="s">
        <v>1010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1:11" x14ac:dyDescent="0.2">
      <c r="A16" s="45" t="s">
        <v>967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</row>
    <row r="17" spans="1:11" ht="14.2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4.25" x14ac:dyDescent="0.2">
      <c r="A18" s="52" t="str">
        <f>CONCATENATE( "Основание: чертежи № ", Source!J12)</f>
        <v xml:space="preserve">Основание: чертежи № 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</row>
    <row r="19" spans="1:11" ht="14.2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4.25" x14ac:dyDescent="0.2">
      <c r="A20" s="3"/>
      <c r="B20" s="3"/>
      <c r="C20" s="3"/>
      <c r="D20" s="3"/>
      <c r="E20" s="3"/>
      <c r="F20" s="48" t="s">
        <v>968</v>
      </c>
      <c r="G20" s="48"/>
      <c r="H20" s="48"/>
      <c r="I20" s="49">
        <f>(Source!F770/1000)</f>
        <v>4621.4879800000008</v>
      </c>
      <c r="J20" s="42"/>
      <c r="K20" s="3" t="s">
        <v>969</v>
      </c>
    </row>
    <row r="21" spans="1:11" ht="14.25" hidden="1" x14ac:dyDescent="0.2">
      <c r="A21" s="3"/>
      <c r="B21" s="3"/>
      <c r="C21" s="3"/>
      <c r="D21" s="3"/>
      <c r="E21" s="3"/>
      <c r="F21" s="48" t="s">
        <v>970</v>
      </c>
      <c r="G21" s="48"/>
      <c r="H21" s="48"/>
      <c r="I21" s="49">
        <f>(Source!F759)/1000</f>
        <v>16.54166</v>
      </c>
      <c r="J21" s="42"/>
      <c r="K21" s="3" t="s">
        <v>969</v>
      </c>
    </row>
    <row r="22" spans="1:11" ht="14.25" hidden="1" x14ac:dyDescent="0.2">
      <c r="A22" s="3"/>
      <c r="B22" s="3"/>
      <c r="C22" s="3"/>
      <c r="D22" s="3"/>
      <c r="E22" s="3"/>
      <c r="F22" s="48" t="s">
        <v>971</v>
      </c>
      <c r="G22" s="48"/>
      <c r="H22" s="48"/>
      <c r="I22" s="49">
        <f>(Source!F760)/1000</f>
        <v>0</v>
      </c>
      <c r="J22" s="42"/>
      <c r="K22" s="3" t="s">
        <v>969</v>
      </c>
    </row>
    <row r="23" spans="1:11" ht="14.25" hidden="1" x14ac:dyDescent="0.2">
      <c r="A23" s="3"/>
      <c r="B23" s="3"/>
      <c r="C23" s="3"/>
      <c r="D23" s="3"/>
      <c r="E23" s="3"/>
      <c r="F23" s="48" t="s">
        <v>972</v>
      </c>
      <c r="G23" s="48"/>
      <c r="H23" s="48"/>
      <c r="I23" s="49">
        <f>(Source!F751)/1000</f>
        <v>0</v>
      </c>
      <c r="J23" s="42"/>
      <c r="K23" s="3" t="s">
        <v>969</v>
      </c>
    </row>
    <row r="24" spans="1:11" ht="14.25" hidden="1" x14ac:dyDescent="0.2">
      <c r="A24" s="3"/>
      <c r="B24" s="3"/>
      <c r="C24" s="3"/>
      <c r="D24" s="3"/>
      <c r="E24" s="3"/>
      <c r="F24" s="48" t="s">
        <v>973</v>
      </c>
      <c r="G24" s="48"/>
      <c r="H24" s="48"/>
      <c r="I24" s="49">
        <f>(Source!F761+Source!F762)/1000</f>
        <v>4604.94632</v>
      </c>
      <c r="J24" s="42"/>
      <c r="K24" s="3" t="s">
        <v>969</v>
      </c>
    </row>
    <row r="25" spans="1:11" ht="14.25" x14ac:dyDescent="0.2">
      <c r="A25" s="3"/>
      <c r="B25" s="3"/>
      <c r="C25" s="3"/>
      <c r="D25" s="3"/>
      <c r="E25" s="3"/>
      <c r="F25" s="48" t="s">
        <v>974</v>
      </c>
      <c r="G25" s="48"/>
      <c r="H25" s="48"/>
      <c r="I25" s="49">
        <f>(Source!F757+ Source!F756)/1000</f>
        <v>386.82744000000002</v>
      </c>
      <c r="J25" s="42"/>
      <c r="K25" s="3" t="s">
        <v>969</v>
      </c>
    </row>
    <row r="26" spans="1:11" ht="14.25" x14ac:dyDescent="0.2">
      <c r="A26" s="3" t="s">
        <v>988</v>
      </c>
      <c r="B26" s="3"/>
      <c r="C26" s="3"/>
      <c r="D26" s="9"/>
      <c r="E26" s="10"/>
      <c r="F26" s="3"/>
      <c r="G26" s="3"/>
      <c r="H26" s="3"/>
      <c r="I26" s="3"/>
      <c r="J26" s="3"/>
      <c r="K26" s="3"/>
    </row>
    <row r="27" spans="1:11" ht="14.25" x14ac:dyDescent="0.2">
      <c r="A27" s="53" t="s">
        <v>975</v>
      </c>
      <c r="B27" s="53" t="s">
        <v>976</v>
      </c>
      <c r="C27" s="53" t="s">
        <v>977</v>
      </c>
      <c r="D27" s="53" t="s">
        <v>978</v>
      </c>
      <c r="E27" s="53" t="s">
        <v>979</v>
      </c>
      <c r="F27" s="53" t="s">
        <v>980</v>
      </c>
      <c r="G27" s="53" t="s">
        <v>981</v>
      </c>
      <c r="H27" s="53" t="s">
        <v>982</v>
      </c>
      <c r="I27" s="53" t="s">
        <v>983</v>
      </c>
      <c r="J27" s="53" t="s">
        <v>984</v>
      </c>
      <c r="K27" s="12" t="s">
        <v>985</v>
      </c>
    </row>
    <row r="28" spans="1:11" ht="28.5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13" t="s">
        <v>986</v>
      </c>
    </row>
    <row r="29" spans="1:11" ht="28.5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13" t="s">
        <v>987</v>
      </c>
    </row>
    <row r="30" spans="1:11" ht="14.25" x14ac:dyDescent="0.2">
      <c r="A30" s="13">
        <v>1</v>
      </c>
      <c r="B30" s="13">
        <v>2</v>
      </c>
      <c r="C30" s="13">
        <v>3</v>
      </c>
      <c r="D30" s="13">
        <v>4</v>
      </c>
      <c r="E30" s="13">
        <v>5</v>
      </c>
      <c r="F30" s="13">
        <v>6</v>
      </c>
      <c r="G30" s="13">
        <v>7</v>
      </c>
      <c r="H30" s="13">
        <v>8</v>
      </c>
      <c r="I30" s="13">
        <v>9</v>
      </c>
      <c r="J30" s="13">
        <v>10</v>
      </c>
      <c r="K30" s="13">
        <v>11</v>
      </c>
    </row>
    <row r="32" spans="1:11" ht="16.5" x14ac:dyDescent="0.25">
      <c r="A32" s="56" t="str">
        <f>CONCATENATE("Локальная смета: ",IF(Source!G20&lt;&gt;"Новая локальная смета", Source!G20, ""))</f>
        <v>Локальная смета: ЛС № 02-01-01 Благоустройство (ул. Свободы д. 15/10)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4" spans="1:22" ht="16.5" x14ac:dyDescent="0.25">
      <c r="A34" s="56" t="str">
        <f>CONCATENATE("Раздел: ",IF(Source!G24&lt;&gt;"Новый раздел", Source!G24, ""))</f>
        <v>Раздел: Демонтаж покрытий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spans="1:22" ht="28.5" x14ac:dyDescent="0.2">
      <c r="A35" s="14" t="str">
        <f>Source!E50</f>
        <v>1</v>
      </c>
      <c r="B35" s="15" t="str">
        <f>Source!F50</f>
        <v>2.1-3104-4-1/1</v>
      </c>
      <c r="C35" s="15" t="str">
        <f>Source!G50</f>
        <v>Разборка тротуаров и дорожек из плит с отноской и укладкой в штабель</v>
      </c>
      <c r="D35" s="16" t="str">
        <f>Source!H50</f>
        <v>100 м2</v>
      </c>
      <c r="E35" s="2">
        <f>Source!I50</f>
        <v>0.69</v>
      </c>
      <c r="F35" s="18"/>
      <c r="G35" s="17"/>
      <c r="H35" s="2"/>
      <c r="I35" s="2"/>
      <c r="J35" s="19"/>
      <c r="K35" s="19"/>
      <c r="Q35">
        <f>ROUND((Source!BZ50/100)*ROUND((Source!AF50*Source!AV50)*Source!I50, 2), 2)</f>
        <v>1473.36</v>
      </c>
      <c r="R35">
        <f>Source!X50</f>
        <v>1473.36</v>
      </c>
      <c r="S35">
        <f>ROUND((Source!CA50/100)*ROUND((Source!AF50*Source!AV50)*Source!I50, 2), 2)</f>
        <v>210.48</v>
      </c>
      <c r="T35">
        <f>Source!Y50</f>
        <v>210.48</v>
      </c>
      <c r="U35">
        <f>ROUND((175/100)*ROUND((Source!AE50*Source!AV50)*Source!I50, 2), 2)</f>
        <v>0</v>
      </c>
      <c r="V35">
        <f>ROUND((108/100)*ROUND(Source!CS50*Source!I50, 2), 2)</f>
        <v>0</v>
      </c>
    </row>
    <row r="36" spans="1:22" ht="14.25" x14ac:dyDescent="0.2">
      <c r="A36" s="14"/>
      <c r="B36" s="15"/>
      <c r="C36" s="15" t="s">
        <v>989</v>
      </c>
      <c r="D36" s="16"/>
      <c r="E36" s="2"/>
      <c r="F36" s="18">
        <f>Source!AO50</f>
        <v>3050.44</v>
      </c>
      <c r="G36" s="17" t="str">
        <f>Source!DG50</f>
        <v/>
      </c>
      <c r="H36" s="2">
        <f>Source!AV50</f>
        <v>1</v>
      </c>
      <c r="I36" s="2">
        <f>IF(Source!BA50&lt;&gt; 0, Source!BA50, 1)</f>
        <v>1</v>
      </c>
      <c r="J36" s="19">
        <f>Source!S50</f>
        <v>2104.8000000000002</v>
      </c>
      <c r="K36" s="19"/>
    </row>
    <row r="37" spans="1:22" ht="14.25" x14ac:dyDescent="0.2">
      <c r="A37" s="14"/>
      <c r="B37" s="15"/>
      <c r="C37" s="15" t="s">
        <v>990</v>
      </c>
      <c r="D37" s="16" t="s">
        <v>991</v>
      </c>
      <c r="E37" s="2">
        <f>Source!AT50</f>
        <v>70</v>
      </c>
      <c r="F37" s="18"/>
      <c r="G37" s="17"/>
      <c r="H37" s="2"/>
      <c r="I37" s="2"/>
      <c r="J37" s="19">
        <f>SUM(R35:R36)</f>
        <v>1473.36</v>
      </c>
      <c r="K37" s="19"/>
    </row>
    <row r="38" spans="1:22" ht="14.25" x14ac:dyDescent="0.2">
      <c r="A38" s="14"/>
      <c r="B38" s="15"/>
      <c r="C38" s="15" t="s">
        <v>992</v>
      </c>
      <c r="D38" s="16" t="s">
        <v>991</v>
      </c>
      <c r="E38" s="2">
        <f>Source!AU50</f>
        <v>10</v>
      </c>
      <c r="F38" s="18"/>
      <c r="G38" s="17"/>
      <c r="H38" s="2"/>
      <c r="I38" s="2"/>
      <c r="J38" s="19">
        <f>SUM(T35:T37)</f>
        <v>210.48</v>
      </c>
      <c r="K38" s="19"/>
    </row>
    <row r="39" spans="1:22" ht="14.25" x14ac:dyDescent="0.2">
      <c r="A39" s="14"/>
      <c r="B39" s="15"/>
      <c r="C39" s="15" t="s">
        <v>993</v>
      </c>
      <c r="D39" s="16" t="s">
        <v>994</v>
      </c>
      <c r="E39" s="2">
        <f>Source!AQ50</f>
        <v>18.68</v>
      </c>
      <c r="F39" s="18"/>
      <c r="G39" s="17" t="str">
        <f>Source!DI50</f>
        <v/>
      </c>
      <c r="H39" s="2">
        <f>Source!AV50</f>
        <v>1</v>
      </c>
      <c r="I39" s="2"/>
      <c r="J39" s="19"/>
      <c r="K39" s="19">
        <f>Source!U50</f>
        <v>12.889199999999999</v>
      </c>
    </row>
    <row r="40" spans="1:22" ht="15" x14ac:dyDescent="0.25">
      <c r="A40" s="21"/>
      <c r="B40" s="21"/>
      <c r="C40" s="21"/>
      <c r="D40" s="21"/>
      <c r="E40" s="21"/>
      <c r="F40" s="21"/>
      <c r="G40" s="21"/>
      <c r="H40" s="21"/>
      <c r="I40" s="55">
        <f>J36+J37+J38</f>
        <v>3788.64</v>
      </c>
      <c r="J40" s="55"/>
      <c r="K40" s="22">
        <f>IF(Source!I50&lt;&gt;0, ROUND(I40/Source!I50, 2), 0)</f>
        <v>5490.78</v>
      </c>
      <c r="P40" s="20">
        <f>I40</f>
        <v>3788.64</v>
      </c>
    </row>
    <row r="41" spans="1:22" ht="42.75" x14ac:dyDescent="0.2">
      <c r="A41" s="14" t="str">
        <f>Source!E51</f>
        <v>2</v>
      </c>
      <c r="B41" s="15" t="str">
        <f>Source!F51</f>
        <v>2.1-3104-1-4/1</v>
      </c>
      <c r="C41" s="15" t="str">
        <f>Source!G51</f>
        <v>Разборка покрытий и оснований асфальтобетонных (118м2*0,05м+13м2*0,1м)</v>
      </c>
      <c r="D41" s="16" t="str">
        <f>Source!H51</f>
        <v>100 м3</v>
      </c>
      <c r="E41" s="2">
        <f>Source!I51</f>
        <v>7.1999999999999995E-2</v>
      </c>
      <c r="F41" s="18"/>
      <c r="G41" s="17"/>
      <c r="H41" s="2"/>
      <c r="I41" s="2"/>
      <c r="J41" s="19"/>
      <c r="K41" s="19"/>
      <c r="Q41">
        <f>ROUND((Source!BZ51/100)*ROUND((Source!AF51*Source!AV51)*Source!I51, 2), 2)</f>
        <v>1529.05</v>
      </c>
      <c r="R41">
        <f>Source!X51</f>
        <v>1529.05</v>
      </c>
      <c r="S41">
        <f>ROUND((Source!CA51/100)*ROUND((Source!AF51*Source!AV51)*Source!I51, 2), 2)</f>
        <v>218.44</v>
      </c>
      <c r="T41">
        <f>Source!Y51</f>
        <v>218.44</v>
      </c>
      <c r="U41">
        <f>ROUND((175/100)*ROUND((Source!AE51*Source!AV51)*Source!I51, 2), 2)</f>
        <v>2124.92</v>
      </c>
      <c r="V41">
        <f>ROUND((108/100)*ROUND(Source!CS51*Source!I51, 2), 2)</f>
        <v>1311.38</v>
      </c>
    </row>
    <row r="42" spans="1:22" ht="14.25" x14ac:dyDescent="0.2">
      <c r="A42" s="14"/>
      <c r="B42" s="15"/>
      <c r="C42" s="15" t="s">
        <v>989</v>
      </c>
      <c r="D42" s="16"/>
      <c r="E42" s="2"/>
      <c r="F42" s="18">
        <f>Source!AO51</f>
        <v>30338.15</v>
      </c>
      <c r="G42" s="17" t="str">
        <f>Source!DG51</f>
        <v/>
      </c>
      <c r="H42" s="2">
        <f>Source!AV51</f>
        <v>1</v>
      </c>
      <c r="I42" s="2">
        <f>IF(Source!BA51&lt;&gt; 0, Source!BA51, 1)</f>
        <v>1</v>
      </c>
      <c r="J42" s="19">
        <f>Source!S51</f>
        <v>2184.35</v>
      </c>
      <c r="K42" s="19"/>
    </row>
    <row r="43" spans="1:22" ht="14.25" x14ac:dyDescent="0.2">
      <c r="A43" s="14"/>
      <c r="B43" s="15"/>
      <c r="C43" s="15" t="s">
        <v>995</v>
      </c>
      <c r="D43" s="16"/>
      <c r="E43" s="2"/>
      <c r="F43" s="18">
        <f>Source!AM51</f>
        <v>30548.7</v>
      </c>
      <c r="G43" s="17" t="str">
        <f>Source!DE51</f>
        <v/>
      </c>
      <c r="H43" s="2">
        <f>Source!AV51</f>
        <v>1</v>
      </c>
      <c r="I43" s="2">
        <f>IF(Source!BB51&lt;&gt; 0, Source!BB51, 1)</f>
        <v>1</v>
      </c>
      <c r="J43" s="19">
        <f>Source!Q51</f>
        <v>2199.5100000000002</v>
      </c>
      <c r="K43" s="19"/>
    </row>
    <row r="44" spans="1:22" ht="14.25" x14ac:dyDescent="0.2">
      <c r="A44" s="14"/>
      <c r="B44" s="15"/>
      <c r="C44" s="15" t="s">
        <v>996</v>
      </c>
      <c r="D44" s="16"/>
      <c r="E44" s="2"/>
      <c r="F44" s="18">
        <f>Source!AN51</f>
        <v>16864.419999999998</v>
      </c>
      <c r="G44" s="17" t="str">
        <f>Source!DF51</f>
        <v/>
      </c>
      <c r="H44" s="2">
        <f>Source!AV51</f>
        <v>1</v>
      </c>
      <c r="I44" s="2">
        <f>IF(Source!BS51&lt;&gt; 0, Source!BS51, 1)</f>
        <v>1</v>
      </c>
      <c r="J44" s="23">
        <f>Source!R51</f>
        <v>1214.24</v>
      </c>
      <c r="K44" s="19"/>
    </row>
    <row r="45" spans="1:22" ht="14.25" x14ac:dyDescent="0.2">
      <c r="A45" s="14"/>
      <c r="B45" s="15"/>
      <c r="C45" s="15" t="s">
        <v>990</v>
      </c>
      <c r="D45" s="16" t="s">
        <v>991</v>
      </c>
      <c r="E45" s="2">
        <f>Source!AT51</f>
        <v>70</v>
      </c>
      <c r="F45" s="18"/>
      <c r="G45" s="17"/>
      <c r="H45" s="2"/>
      <c r="I45" s="2"/>
      <c r="J45" s="19">
        <f>SUM(R41:R44)</f>
        <v>1529.05</v>
      </c>
      <c r="K45" s="19"/>
    </row>
    <row r="46" spans="1:22" ht="14.25" x14ac:dyDescent="0.2">
      <c r="A46" s="14"/>
      <c r="B46" s="15"/>
      <c r="C46" s="15" t="s">
        <v>992</v>
      </c>
      <c r="D46" s="16" t="s">
        <v>991</v>
      </c>
      <c r="E46" s="2">
        <f>Source!AU51</f>
        <v>10</v>
      </c>
      <c r="F46" s="18"/>
      <c r="G46" s="17"/>
      <c r="H46" s="2"/>
      <c r="I46" s="2"/>
      <c r="J46" s="19">
        <f>SUM(T41:T45)</f>
        <v>218.44</v>
      </c>
      <c r="K46" s="19"/>
    </row>
    <row r="47" spans="1:22" ht="14.25" x14ac:dyDescent="0.2">
      <c r="A47" s="14"/>
      <c r="B47" s="15"/>
      <c r="C47" s="15" t="s">
        <v>997</v>
      </c>
      <c r="D47" s="16" t="s">
        <v>991</v>
      </c>
      <c r="E47" s="2">
        <f>108</f>
        <v>108</v>
      </c>
      <c r="F47" s="18"/>
      <c r="G47" s="17"/>
      <c r="H47" s="2"/>
      <c r="I47" s="2"/>
      <c r="J47" s="19">
        <f>SUM(V41:V46)</f>
        <v>1311.38</v>
      </c>
      <c r="K47" s="19"/>
    </row>
    <row r="48" spans="1:22" ht="14.25" x14ac:dyDescent="0.2">
      <c r="A48" s="14"/>
      <c r="B48" s="15"/>
      <c r="C48" s="15" t="s">
        <v>993</v>
      </c>
      <c r="D48" s="16" t="s">
        <v>994</v>
      </c>
      <c r="E48" s="2">
        <f>Source!AQ51</f>
        <v>155</v>
      </c>
      <c r="F48" s="18"/>
      <c r="G48" s="17" t="str">
        <f>Source!DI51</f>
        <v/>
      </c>
      <c r="H48" s="2">
        <f>Source!AV51</f>
        <v>1</v>
      </c>
      <c r="I48" s="2"/>
      <c r="J48" s="19"/>
      <c r="K48" s="19">
        <f>Source!U51</f>
        <v>11.159999999999998</v>
      </c>
    </row>
    <row r="49" spans="1:22" ht="15" x14ac:dyDescent="0.25">
      <c r="A49" s="21"/>
      <c r="B49" s="21"/>
      <c r="C49" s="21"/>
      <c r="D49" s="21"/>
      <c r="E49" s="21"/>
      <c r="F49" s="21"/>
      <c r="G49" s="21"/>
      <c r="H49" s="21"/>
      <c r="I49" s="55">
        <f>J42+J43+J45+J46+J47</f>
        <v>7442.7300000000005</v>
      </c>
      <c r="J49" s="55"/>
      <c r="K49" s="22">
        <f>IF(Source!I51&lt;&gt;0, ROUND(I49/Source!I51, 2), 0)</f>
        <v>103371.25</v>
      </c>
      <c r="P49" s="20">
        <f>I49</f>
        <v>7442.7300000000005</v>
      </c>
    </row>
    <row r="50" spans="1:22" ht="57" x14ac:dyDescent="0.2">
      <c r="A50" s="14" t="str">
        <f>Source!E52</f>
        <v>3</v>
      </c>
      <c r="B50" s="15" t="str">
        <f>Source!F52</f>
        <v>2.1-3104-1-2/1</v>
      </c>
      <c r="C50" s="15" t="str">
        <f>Source!G52</f>
        <v>Разборка покрытий и оснований щебеночных (118м2*0,12м+147м2*0,05м+147м2*0,12м+13м2*0,12м)</v>
      </c>
      <c r="D50" s="16" t="str">
        <f>Source!H52</f>
        <v>100 м3</v>
      </c>
      <c r="E50" s="2">
        <f>Source!I52</f>
        <v>0.40799999999999997</v>
      </c>
      <c r="F50" s="18"/>
      <c r="G50" s="17"/>
      <c r="H50" s="2"/>
      <c r="I50" s="2"/>
      <c r="J50" s="19"/>
      <c r="K50" s="19"/>
      <c r="Q50">
        <f>ROUND((Source!BZ52/100)*ROUND((Source!AF52*Source!AV52)*Source!I52, 2), 2)</f>
        <v>409.17</v>
      </c>
      <c r="R50">
        <f>Source!X52</f>
        <v>409.17</v>
      </c>
      <c r="S50">
        <f>ROUND((Source!CA52/100)*ROUND((Source!AF52*Source!AV52)*Source!I52, 2), 2)</f>
        <v>58.45</v>
      </c>
      <c r="T50">
        <f>Source!Y52</f>
        <v>58.45</v>
      </c>
      <c r="U50">
        <f>ROUND((175/100)*ROUND((Source!AE52*Source!AV52)*Source!I52, 2), 2)</f>
        <v>1150.19</v>
      </c>
      <c r="V50">
        <f>ROUND((108/100)*ROUND(Source!CS52*Source!I52, 2), 2)</f>
        <v>709.83</v>
      </c>
    </row>
    <row r="51" spans="1:22" ht="14.25" x14ac:dyDescent="0.2">
      <c r="A51" s="14"/>
      <c r="B51" s="15"/>
      <c r="C51" s="15" t="s">
        <v>989</v>
      </c>
      <c r="D51" s="16"/>
      <c r="E51" s="2"/>
      <c r="F51" s="18">
        <f>Source!AO52</f>
        <v>1432.66</v>
      </c>
      <c r="G51" s="17" t="str">
        <f>Source!DG52</f>
        <v/>
      </c>
      <c r="H51" s="2">
        <f>Source!AV52</f>
        <v>1</v>
      </c>
      <c r="I51" s="2">
        <f>IF(Source!BA52&lt;&gt; 0, Source!BA52, 1)</f>
        <v>1</v>
      </c>
      <c r="J51" s="19">
        <f>Source!S52</f>
        <v>584.53</v>
      </c>
      <c r="K51" s="19"/>
    </row>
    <row r="52" spans="1:22" ht="14.25" x14ac:dyDescent="0.2">
      <c r="A52" s="14"/>
      <c r="B52" s="15"/>
      <c r="C52" s="15" t="s">
        <v>995</v>
      </c>
      <c r="D52" s="16"/>
      <c r="E52" s="2"/>
      <c r="F52" s="18">
        <f>Source!AM52</f>
        <v>3335.19</v>
      </c>
      <c r="G52" s="17" t="str">
        <f>Source!DE52</f>
        <v/>
      </c>
      <c r="H52" s="2">
        <f>Source!AV52</f>
        <v>1</v>
      </c>
      <c r="I52" s="2">
        <f>IF(Source!BB52&lt;&gt; 0, Source!BB52, 1)</f>
        <v>1</v>
      </c>
      <c r="J52" s="19">
        <f>Source!Q52</f>
        <v>1360.76</v>
      </c>
      <c r="K52" s="19"/>
    </row>
    <row r="53" spans="1:22" ht="14.25" x14ac:dyDescent="0.2">
      <c r="A53" s="14"/>
      <c r="B53" s="15"/>
      <c r="C53" s="15" t="s">
        <v>996</v>
      </c>
      <c r="D53" s="16"/>
      <c r="E53" s="2"/>
      <c r="F53" s="18">
        <f>Source!AN52</f>
        <v>1610.9</v>
      </c>
      <c r="G53" s="17" t="str">
        <f>Source!DF52</f>
        <v/>
      </c>
      <c r="H53" s="2">
        <f>Source!AV52</f>
        <v>1</v>
      </c>
      <c r="I53" s="2">
        <f>IF(Source!BS52&lt;&gt; 0, Source!BS52, 1)</f>
        <v>1</v>
      </c>
      <c r="J53" s="23">
        <f>Source!R52</f>
        <v>657.25</v>
      </c>
      <c r="K53" s="19"/>
    </row>
    <row r="54" spans="1:22" ht="14.25" x14ac:dyDescent="0.2">
      <c r="A54" s="14"/>
      <c r="B54" s="15"/>
      <c r="C54" s="15" t="s">
        <v>990</v>
      </c>
      <c r="D54" s="16" t="s">
        <v>991</v>
      </c>
      <c r="E54" s="2">
        <f>Source!AT52</f>
        <v>70</v>
      </c>
      <c r="F54" s="18"/>
      <c r="G54" s="17"/>
      <c r="H54" s="2"/>
      <c r="I54" s="2"/>
      <c r="J54" s="19">
        <f>SUM(R50:R53)</f>
        <v>409.17</v>
      </c>
      <c r="K54" s="19"/>
    </row>
    <row r="55" spans="1:22" ht="14.25" x14ac:dyDescent="0.2">
      <c r="A55" s="14"/>
      <c r="B55" s="15"/>
      <c r="C55" s="15" t="s">
        <v>992</v>
      </c>
      <c r="D55" s="16" t="s">
        <v>991</v>
      </c>
      <c r="E55" s="2">
        <f>Source!AU52</f>
        <v>10</v>
      </c>
      <c r="F55" s="18"/>
      <c r="G55" s="17"/>
      <c r="H55" s="2"/>
      <c r="I55" s="2"/>
      <c r="J55" s="19">
        <f>SUM(T50:T54)</f>
        <v>58.45</v>
      </c>
      <c r="K55" s="19"/>
    </row>
    <row r="56" spans="1:22" ht="14.25" x14ac:dyDescent="0.2">
      <c r="A56" s="14"/>
      <c r="B56" s="15"/>
      <c r="C56" s="15" t="s">
        <v>997</v>
      </c>
      <c r="D56" s="16" t="s">
        <v>991</v>
      </c>
      <c r="E56" s="2">
        <f>108</f>
        <v>108</v>
      </c>
      <c r="F56" s="18"/>
      <c r="G56" s="17"/>
      <c r="H56" s="2"/>
      <c r="I56" s="2"/>
      <c r="J56" s="19">
        <f>SUM(V50:V55)</f>
        <v>709.83</v>
      </c>
      <c r="K56" s="19"/>
    </row>
    <row r="57" spans="1:22" ht="14.25" x14ac:dyDescent="0.2">
      <c r="A57" s="14"/>
      <c r="B57" s="15"/>
      <c r="C57" s="15" t="s">
        <v>993</v>
      </c>
      <c r="D57" s="16" t="s">
        <v>994</v>
      </c>
      <c r="E57" s="2">
        <f>Source!AQ52</f>
        <v>11.7</v>
      </c>
      <c r="F57" s="18"/>
      <c r="G57" s="17" t="str">
        <f>Source!DI52</f>
        <v/>
      </c>
      <c r="H57" s="2">
        <f>Source!AV52</f>
        <v>1</v>
      </c>
      <c r="I57" s="2"/>
      <c r="J57" s="19"/>
      <c r="K57" s="19">
        <f>Source!U52</f>
        <v>4.7735999999999992</v>
      </c>
    </row>
    <row r="58" spans="1:22" ht="15" x14ac:dyDescent="0.25">
      <c r="A58" s="21"/>
      <c r="B58" s="21"/>
      <c r="C58" s="21"/>
      <c r="D58" s="21"/>
      <c r="E58" s="21"/>
      <c r="F58" s="21"/>
      <c r="G58" s="21"/>
      <c r="H58" s="21"/>
      <c r="I58" s="55">
        <f>J51+J52+J54+J55+J56</f>
        <v>3122.74</v>
      </c>
      <c r="J58" s="55"/>
      <c r="K58" s="22">
        <f>IF(Source!I52&lt;&gt;0, ROUND(I58/Source!I52, 2), 0)</f>
        <v>7653.77</v>
      </c>
      <c r="P58" s="20">
        <f>I58</f>
        <v>3122.74</v>
      </c>
    </row>
    <row r="59" spans="1:22" ht="28.5" x14ac:dyDescent="0.2">
      <c r="A59" s="14" t="str">
        <f>Source!E54</f>
        <v>4</v>
      </c>
      <c r="B59" s="15" t="str">
        <f>Source!F54</f>
        <v>2.1-3204-6-1/1</v>
      </c>
      <c r="C59" s="15" t="str">
        <f>Source!G54</f>
        <v>Разборка бортовых камней на бетонном основании</v>
      </c>
      <c r="D59" s="16" t="str">
        <f>Source!H54</f>
        <v>100 м</v>
      </c>
      <c r="E59" s="2">
        <f>Source!I54</f>
        <v>3.37</v>
      </c>
      <c r="F59" s="18"/>
      <c r="G59" s="17"/>
      <c r="H59" s="2"/>
      <c r="I59" s="2"/>
      <c r="J59" s="19"/>
      <c r="K59" s="19"/>
      <c r="Q59">
        <f>ROUND((Source!BZ54/100)*ROUND((Source!AF54*Source!AV54)*Source!I54, 2), 2)</f>
        <v>36577.879999999997</v>
      </c>
      <c r="R59">
        <f>Source!X54</f>
        <v>36577.879999999997</v>
      </c>
      <c r="S59">
        <f>ROUND((Source!CA54/100)*ROUND((Source!AF54*Source!AV54)*Source!I54, 2), 2)</f>
        <v>5225.41</v>
      </c>
      <c r="T59">
        <f>Source!Y54</f>
        <v>5225.41</v>
      </c>
      <c r="U59">
        <f>ROUND((175/100)*ROUND((Source!AE54*Source!AV54)*Source!I54, 2), 2)</f>
        <v>0</v>
      </c>
      <c r="V59">
        <f>ROUND((108/100)*ROUND(Source!CS54*Source!I54, 2), 2)</f>
        <v>0</v>
      </c>
    </row>
    <row r="60" spans="1:22" ht="14.25" x14ac:dyDescent="0.2">
      <c r="A60" s="14"/>
      <c r="B60" s="15"/>
      <c r="C60" s="15" t="s">
        <v>989</v>
      </c>
      <c r="D60" s="16"/>
      <c r="E60" s="2"/>
      <c r="F60" s="18">
        <f>Source!AO54</f>
        <v>15505.67</v>
      </c>
      <c r="G60" s="17" t="str">
        <f>Source!DG54</f>
        <v/>
      </c>
      <c r="H60" s="2">
        <f>Source!AV54</f>
        <v>1</v>
      </c>
      <c r="I60" s="2">
        <f>IF(Source!BA54&lt;&gt; 0, Source!BA54, 1)</f>
        <v>1</v>
      </c>
      <c r="J60" s="19">
        <f>Source!S54</f>
        <v>52254.11</v>
      </c>
      <c r="K60" s="19"/>
    </row>
    <row r="61" spans="1:22" ht="14.25" x14ac:dyDescent="0.2">
      <c r="A61" s="14"/>
      <c r="B61" s="15"/>
      <c r="C61" s="15" t="s">
        <v>990</v>
      </c>
      <c r="D61" s="16" t="s">
        <v>991</v>
      </c>
      <c r="E61" s="2">
        <f>Source!AT54</f>
        <v>70</v>
      </c>
      <c r="F61" s="18"/>
      <c r="G61" s="17"/>
      <c r="H61" s="2"/>
      <c r="I61" s="2"/>
      <c r="J61" s="19">
        <f>SUM(R59:R60)</f>
        <v>36577.879999999997</v>
      </c>
      <c r="K61" s="19"/>
    </row>
    <row r="62" spans="1:22" ht="14.25" x14ac:dyDescent="0.2">
      <c r="A62" s="14"/>
      <c r="B62" s="15"/>
      <c r="C62" s="15" t="s">
        <v>992</v>
      </c>
      <c r="D62" s="16" t="s">
        <v>991</v>
      </c>
      <c r="E62" s="2">
        <f>Source!AU54</f>
        <v>10</v>
      </c>
      <c r="F62" s="18"/>
      <c r="G62" s="17"/>
      <c r="H62" s="2"/>
      <c r="I62" s="2"/>
      <c r="J62" s="19">
        <f>SUM(T59:T61)</f>
        <v>5225.41</v>
      </c>
      <c r="K62" s="19"/>
    </row>
    <row r="63" spans="1:22" ht="14.25" x14ac:dyDescent="0.2">
      <c r="A63" s="14"/>
      <c r="B63" s="15"/>
      <c r="C63" s="15" t="s">
        <v>993</v>
      </c>
      <c r="D63" s="16" t="s">
        <v>994</v>
      </c>
      <c r="E63" s="2">
        <f>Source!AQ54</f>
        <v>76.7</v>
      </c>
      <c r="F63" s="18"/>
      <c r="G63" s="17" t="str">
        <f>Source!DI54</f>
        <v/>
      </c>
      <c r="H63" s="2">
        <f>Source!AV54</f>
        <v>1</v>
      </c>
      <c r="I63" s="2"/>
      <c r="J63" s="19"/>
      <c r="K63" s="19">
        <f>Source!U54</f>
        <v>258.47900000000004</v>
      </c>
    </row>
    <row r="64" spans="1:22" ht="15" x14ac:dyDescent="0.25">
      <c r="A64" s="21"/>
      <c r="B64" s="21"/>
      <c r="C64" s="21"/>
      <c r="D64" s="21"/>
      <c r="E64" s="21"/>
      <c r="F64" s="21"/>
      <c r="G64" s="21"/>
      <c r="H64" s="21"/>
      <c r="I64" s="55">
        <f>J60+J61+J62</f>
        <v>94057.4</v>
      </c>
      <c r="J64" s="55"/>
      <c r="K64" s="22">
        <f>IF(Source!I54&lt;&gt;0, ROUND(I64/Source!I54, 2), 0)</f>
        <v>27910.21</v>
      </c>
      <c r="P64" s="20">
        <f>I64</f>
        <v>94057.4</v>
      </c>
    </row>
    <row r="65" spans="1:22" ht="42.75" x14ac:dyDescent="0.2">
      <c r="A65" s="14" t="str">
        <f>Source!E55</f>
        <v>5</v>
      </c>
      <c r="B65" s="15" t="str">
        <f>Source!F55</f>
        <v>2.1-3104-1-5/1</v>
      </c>
      <c r="C65" s="15" t="str">
        <f>Source!G55</f>
        <v>Разборка покрытий и оснований цементобетонных (ступень) = 5,3м2*0,15м</v>
      </c>
      <c r="D65" s="16" t="str">
        <f>Source!H55</f>
        <v>100 м3</v>
      </c>
      <c r="E65" s="2">
        <f>Source!I55</f>
        <v>8.0000000000000002E-3</v>
      </c>
      <c r="F65" s="18"/>
      <c r="G65" s="17"/>
      <c r="H65" s="2"/>
      <c r="I65" s="2"/>
      <c r="J65" s="19"/>
      <c r="K65" s="19"/>
      <c r="Q65">
        <f>ROUND((Source!BZ55/100)*ROUND((Source!AF55*Source!AV55)*Source!I55, 2), 2)</f>
        <v>68.27</v>
      </c>
      <c r="R65">
        <f>Source!X55</f>
        <v>68.27</v>
      </c>
      <c r="S65">
        <f>ROUND((Source!CA55/100)*ROUND((Source!AF55*Source!AV55)*Source!I55, 2), 2)</f>
        <v>9.75</v>
      </c>
      <c r="T65">
        <f>Source!Y55</f>
        <v>9.75</v>
      </c>
      <c r="U65">
        <f>ROUND((175/100)*ROUND((Source!AE55*Source!AV55)*Source!I55, 2), 2)</f>
        <v>67.39</v>
      </c>
      <c r="V65">
        <f>ROUND((108/100)*ROUND(Source!CS55*Source!I55, 2), 2)</f>
        <v>41.59</v>
      </c>
    </row>
    <row r="66" spans="1:22" ht="14.25" x14ac:dyDescent="0.2">
      <c r="A66" s="14"/>
      <c r="B66" s="15"/>
      <c r="C66" s="15" t="s">
        <v>989</v>
      </c>
      <c r="D66" s="16"/>
      <c r="E66" s="2"/>
      <c r="F66" s="18">
        <f>Source!AO55</f>
        <v>12191.85</v>
      </c>
      <c r="G66" s="17" t="str">
        <f>Source!DG55</f>
        <v/>
      </c>
      <c r="H66" s="2">
        <f>Source!AV55</f>
        <v>1</v>
      </c>
      <c r="I66" s="2">
        <f>IF(Source!BA55&lt;&gt; 0, Source!BA55, 1)</f>
        <v>1</v>
      </c>
      <c r="J66" s="19">
        <f>Source!S55</f>
        <v>97.53</v>
      </c>
      <c r="K66" s="19"/>
    </row>
    <row r="67" spans="1:22" ht="14.25" x14ac:dyDescent="0.2">
      <c r="A67" s="14"/>
      <c r="B67" s="15"/>
      <c r="C67" s="15" t="s">
        <v>995</v>
      </c>
      <c r="D67" s="16"/>
      <c r="E67" s="2"/>
      <c r="F67" s="18">
        <f>Source!AM55</f>
        <v>14492.21</v>
      </c>
      <c r="G67" s="17" t="str">
        <f>Source!DE55</f>
        <v/>
      </c>
      <c r="H67" s="2">
        <f>Source!AV55</f>
        <v>1</v>
      </c>
      <c r="I67" s="2">
        <f>IF(Source!BB55&lt;&gt; 0, Source!BB55, 1)</f>
        <v>1</v>
      </c>
      <c r="J67" s="19">
        <f>Source!Q55</f>
        <v>115.94</v>
      </c>
      <c r="K67" s="19"/>
    </row>
    <row r="68" spans="1:22" ht="14.25" x14ac:dyDescent="0.2">
      <c r="A68" s="14"/>
      <c r="B68" s="15"/>
      <c r="C68" s="15" t="s">
        <v>996</v>
      </c>
      <c r="D68" s="16"/>
      <c r="E68" s="2"/>
      <c r="F68" s="18">
        <f>Source!AN55</f>
        <v>4813.8999999999996</v>
      </c>
      <c r="G68" s="17" t="str">
        <f>Source!DF55</f>
        <v/>
      </c>
      <c r="H68" s="2">
        <f>Source!AV55</f>
        <v>1</v>
      </c>
      <c r="I68" s="2">
        <f>IF(Source!BS55&lt;&gt; 0, Source!BS55, 1)</f>
        <v>1</v>
      </c>
      <c r="J68" s="23">
        <f>Source!R55</f>
        <v>38.51</v>
      </c>
      <c r="K68" s="19"/>
    </row>
    <row r="69" spans="1:22" ht="14.25" x14ac:dyDescent="0.2">
      <c r="A69" s="14"/>
      <c r="B69" s="15"/>
      <c r="C69" s="15" t="s">
        <v>990</v>
      </c>
      <c r="D69" s="16" t="s">
        <v>991</v>
      </c>
      <c r="E69" s="2">
        <f>Source!AT55</f>
        <v>70</v>
      </c>
      <c r="F69" s="18"/>
      <c r="G69" s="17"/>
      <c r="H69" s="2"/>
      <c r="I69" s="2"/>
      <c r="J69" s="19">
        <f>SUM(R65:R68)</f>
        <v>68.27</v>
      </c>
      <c r="K69" s="19"/>
    </row>
    <row r="70" spans="1:22" ht="14.25" x14ac:dyDescent="0.2">
      <c r="A70" s="14"/>
      <c r="B70" s="15"/>
      <c r="C70" s="15" t="s">
        <v>992</v>
      </c>
      <c r="D70" s="16" t="s">
        <v>991</v>
      </c>
      <c r="E70" s="2">
        <f>Source!AU55</f>
        <v>10</v>
      </c>
      <c r="F70" s="18"/>
      <c r="G70" s="17"/>
      <c r="H70" s="2"/>
      <c r="I70" s="2"/>
      <c r="J70" s="19">
        <f>SUM(T65:T69)</f>
        <v>9.75</v>
      </c>
      <c r="K70" s="19"/>
    </row>
    <row r="71" spans="1:22" ht="14.25" x14ac:dyDescent="0.2">
      <c r="A71" s="14"/>
      <c r="B71" s="15"/>
      <c r="C71" s="15" t="s">
        <v>997</v>
      </c>
      <c r="D71" s="16" t="s">
        <v>991</v>
      </c>
      <c r="E71" s="2">
        <f>108</f>
        <v>108</v>
      </c>
      <c r="F71" s="18"/>
      <c r="G71" s="17"/>
      <c r="H71" s="2"/>
      <c r="I71" s="2"/>
      <c r="J71" s="19">
        <f>SUM(V65:V70)</f>
        <v>41.59</v>
      </c>
      <c r="K71" s="19"/>
    </row>
    <row r="72" spans="1:22" ht="14.25" x14ac:dyDescent="0.2">
      <c r="A72" s="14"/>
      <c r="B72" s="15"/>
      <c r="C72" s="15" t="s">
        <v>993</v>
      </c>
      <c r="D72" s="16" t="s">
        <v>994</v>
      </c>
      <c r="E72" s="2">
        <f>Source!AQ55</f>
        <v>49.5</v>
      </c>
      <c r="F72" s="18"/>
      <c r="G72" s="17" t="str">
        <f>Source!DI55</f>
        <v/>
      </c>
      <c r="H72" s="2">
        <f>Source!AV55</f>
        <v>1</v>
      </c>
      <c r="I72" s="2"/>
      <c r="J72" s="19"/>
      <c r="K72" s="19">
        <f>Source!U55</f>
        <v>0.39600000000000002</v>
      </c>
    </row>
    <row r="73" spans="1:22" ht="15" x14ac:dyDescent="0.25">
      <c r="A73" s="21"/>
      <c r="B73" s="21"/>
      <c r="C73" s="21"/>
      <c r="D73" s="21"/>
      <c r="E73" s="21"/>
      <c r="F73" s="21"/>
      <c r="G73" s="21"/>
      <c r="H73" s="21"/>
      <c r="I73" s="55">
        <f>J66+J67+J69+J70+J71</f>
        <v>333.08000000000004</v>
      </c>
      <c r="J73" s="55"/>
      <c r="K73" s="22">
        <f>IF(Source!I55&lt;&gt;0, ROUND(I73/Source!I55, 2), 0)</f>
        <v>41635</v>
      </c>
      <c r="P73" s="20">
        <f>I73</f>
        <v>333.08000000000004</v>
      </c>
    </row>
    <row r="74" spans="1:22" ht="42.75" x14ac:dyDescent="0.2">
      <c r="A74" s="14" t="str">
        <f>Source!E56</f>
        <v>6</v>
      </c>
      <c r="B74" s="15" t="str">
        <f>Source!F56</f>
        <v>1.50-3203-37-1/1</v>
      </c>
      <c r="C74" s="15" t="str">
        <f>Source!G56</f>
        <v>Монтаж мелких конструкций из стали различного профиля массой до 20 кг /демонтаж МАФ к=0,2</v>
      </c>
      <c r="D74" s="16" t="str">
        <f>Source!H56</f>
        <v>т</v>
      </c>
      <c r="E74" s="2">
        <f>Source!I56</f>
        <v>1.2E-2</v>
      </c>
      <c r="F74" s="18"/>
      <c r="G74" s="17"/>
      <c r="H74" s="2"/>
      <c r="I74" s="2"/>
      <c r="J74" s="19"/>
      <c r="K74" s="19"/>
      <c r="Q74">
        <f>ROUND((Source!BZ56/100)*ROUND((Source!AF56*Source!AV56)*Source!I56, 2), 2)</f>
        <v>57.67</v>
      </c>
      <c r="R74">
        <f>Source!X56</f>
        <v>57.67</v>
      </c>
      <c r="S74">
        <f>ROUND((Source!CA56/100)*ROUND((Source!AF56*Source!AV56)*Source!I56, 2), 2)</f>
        <v>8.24</v>
      </c>
      <c r="T74">
        <f>Source!Y56</f>
        <v>8.24</v>
      </c>
      <c r="U74">
        <f>ROUND((175/100)*ROUND((Source!AE56*Source!AV56)*Source!I56, 2), 2)</f>
        <v>0.16</v>
      </c>
      <c r="V74">
        <f>ROUND((108/100)*ROUND(Source!CS56*Source!I56, 2), 2)</f>
        <v>0.1</v>
      </c>
    </row>
    <row r="75" spans="1:22" ht="14.25" x14ac:dyDescent="0.2">
      <c r="A75" s="14"/>
      <c r="B75" s="15"/>
      <c r="C75" s="15" t="s">
        <v>989</v>
      </c>
      <c r="D75" s="16"/>
      <c r="E75" s="2"/>
      <c r="F75" s="18">
        <f>Source!AO56</f>
        <v>34327.82</v>
      </c>
      <c r="G75" s="17" t="str">
        <f>Source!DG56</f>
        <v>)*0,2</v>
      </c>
      <c r="H75" s="2">
        <f>Source!AV56</f>
        <v>1</v>
      </c>
      <c r="I75" s="2">
        <f>IF(Source!BA56&lt;&gt; 0, Source!BA56, 1)</f>
        <v>1</v>
      </c>
      <c r="J75" s="19">
        <f>Source!S56</f>
        <v>82.39</v>
      </c>
      <c r="K75" s="19"/>
    </row>
    <row r="76" spans="1:22" ht="14.25" x14ac:dyDescent="0.2">
      <c r="A76" s="14"/>
      <c r="B76" s="15"/>
      <c r="C76" s="15" t="s">
        <v>995</v>
      </c>
      <c r="D76" s="16"/>
      <c r="E76" s="2"/>
      <c r="F76" s="18">
        <f>Source!AM56</f>
        <v>899</v>
      </c>
      <c r="G76" s="17" t="str">
        <f>Source!DE56</f>
        <v>)*0,2</v>
      </c>
      <c r="H76" s="2">
        <f>Source!AV56</f>
        <v>1</v>
      </c>
      <c r="I76" s="2">
        <f>IF(Source!BB56&lt;&gt; 0, Source!BB56, 1)</f>
        <v>1</v>
      </c>
      <c r="J76" s="19">
        <f>Source!Q56</f>
        <v>2.16</v>
      </c>
      <c r="K76" s="19"/>
    </row>
    <row r="77" spans="1:22" ht="14.25" x14ac:dyDescent="0.2">
      <c r="A77" s="14"/>
      <c r="B77" s="15"/>
      <c r="C77" s="15" t="s">
        <v>996</v>
      </c>
      <c r="D77" s="16"/>
      <c r="E77" s="2"/>
      <c r="F77" s="18">
        <f>Source!AN56</f>
        <v>39.15</v>
      </c>
      <c r="G77" s="17" t="str">
        <f>Source!DF56</f>
        <v>)*0,2</v>
      </c>
      <c r="H77" s="2">
        <f>Source!AV56</f>
        <v>1</v>
      </c>
      <c r="I77" s="2">
        <f>IF(Source!BS56&lt;&gt; 0, Source!BS56, 1)</f>
        <v>1</v>
      </c>
      <c r="J77" s="23">
        <f>Source!R56</f>
        <v>0.09</v>
      </c>
      <c r="K77" s="19"/>
    </row>
    <row r="78" spans="1:22" ht="14.25" x14ac:dyDescent="0.2">
      <c r="A78" s="14"/>
      <c r="B78" s="15"/>
      <c r="C78" s="15" t="s">
        <v>990</v>
      </c>
      <c r="D78" s="16" t="s">
        <v>991</v>
      </c>
      <c r="E78" s="2">
        <f>Source!AT56</f>
        <v>70</v>
      </c>
      <c r="F78" s="18"/>
      <c r="G78" s="17"/>
      <c r="H78" s="2"/>
      <c r="I78" s="2"/>
      <c r="J78" s="19">
        <f>SUM(R74:R77)</f>
        <v>57.67</v>
      </c>
      <c r="K78" s="19"/>
    </row>
    <row r="79" spans="1:22" ht="14.25" x14ac:dyDescent="0.2">
      <c r="A79" s="14"/>
      <c r="B79" s="15"/>
      <c r="C79" s="15" t="s">
        <v>992</v>
      </c>
      <c r="D79" s="16" t="s">
        <v>991</v>
      </c>
      <c r="E79" s="2">
        <f>Source!AU56</f>
        <v>10</v>
      </c>
      <c r="F79" s="18"/>
      <c r="G79" s="17"/>
      <c r="H79" s="2"/>
      <c r="I79" s="2"/>
      <c r="J79" s="19">
        <f>SUM(T74:T78)</f>
        <v>8.24</v>
      </c>
      <c r="K79" s="19"/>
    </row>
    <row r="80" spans="1:22" ht="14.25" x14ac:dyDescent="0.2">
      <c r="A80" s="14"/>
      <c r="B80" s="15"/>
      <c r="C80" s="15" t="s">
        <v>997</v>
      </c>
      <c r="D80" s="16" t="s">
        <v>991</v>
      </c>
      <c r="E80" s="2">
        <f>108</f>
        <v>108</v>
      </c>
      <c r="F80" s="18"/>
      <c r="G80" s="17"/>
      <c r="H80" s="2"/>
      <c r="I80" s="2"/>
      <c r="J80" s="19">
        <f>SUM(V74:V79)</f>
        <v>0.1</v>
      </c>
      <c r="K80" s="19"/>
    </row>
    <row r="81" spans="1:22" ht="14.25" x14ac:dyDescent="0.2">
      <c r="A81" s="14"/>
      <c r="B81" s="15"/>
      <c r="C81" s="15" t="s">
        <v>993</v>
      </c>
      <c r="D81" s="16" t="s">
        <v>994</v>
      </c>
      <c r="E81" s="2">
        <f>Source!AQ56</f>
        <v>133.4</v>
      </c>
      <c r="F81" s="18"/>
      <c r="G81" s="17" t="str">
        <f>Source!DI56</f>
        <v>)*0,2</v>
      </c>
      <c r="H81" s="2">
        <f>Source!AV56</f>
        <v>1</v>
      </c>
      <c r="I81" s="2"/>
      <c r="J81" s="19"/>
      <c r="K81" s="19">
        <f>Source!U56</f>
        <v>0.32016000000000006</v>
      </c>
    </row>
    <row r="82" spans="1:22" ht="15" x14ac:dyDescent="0.25">
      <c r="A82" s="21"/>
      <c r="B82" s="21"/>
      <c r="C82" s="21"/>
      <c r="D82" s="21"/>
      <c r="E82" s="21"/>
      <c r="F82" s="21"/>
      <c r="G82" s="21"/>
      <c r="H82" s="21"/>
      <c r="I82" s="55">
        <f>J75+J76+J78+J79+J80</f>
        <v>150.56</v>
      </c>
      <c r="J82" s="55"/>
      <c r="K82" s="22">
        <f>IF(Source!I56&lt;&gt;0, ROUND(I82/Source!I56, 2), 0)</f>
        <v>12546.67</v>
      </c>
      <c r="P82" s="20">
        <f>I82</f>
        <v>150.56</v>
      </c>
    </row>
    <row r="83" spans="1:22" ht="42.75" x14ac:dyDescent="0.2">
      <c r="A83" s="14" t="str">
        <f>Source!E57</f>
        <v>7</v>
      </c>
      <c r="B83" s="15" t="str">
        <f>Source!F57</f>
        <v>1.5-3304-1-3/1</v>
      </c>
      <c r="C83" s="15" t="str">
        <f>Source!G57</f>
        <v>Разборка каркаса из бревен каркасно-обшивных стен (разборка деревянных элементов МАФ)</v>
      </c>
      <c r="D83" s="16" t="str">
        <f>Source!H57</f>
        <v>100 м2</v>
      </c>
      <c r="E83" s="2">
        <f>Source!I57</f>
        <v>1.6E-2</v>
      </c>
      <c r="F83" s="18"/>
      <c r="G83" s="17"/>
      <c r="H83" s="2"/>
      <c r="I83" s="2"/>
      <c r="J83" s="19"/>
      <c r="K83" s="19"/>
      <c r="Q83">
        <f>ROUND((Source!BZ57/100)*ROUND((Source!AF57*Source!AV57)*Source!I57, 2), 2)</f>
        <v>103.73</v>
      </c>
      <c r="R83">
        <f>Source!X57</f>
        <v>103.73</v>
      </c>
      <c r="S83">
        <f>ROUND((Source!CA57/100)*ROUND((Source!AF57*Source!AV57)*Source!I57, 2), 2)</f>
        <v>14.82</v>
      </c>
      <c r="T83">
        <f>Source!Y57</f>
        <v>14.82</v>
      </c>
      <c r="U83">
        <f>ROUND((175/100)*ROUND((Source!AE57*Source!AV57)*Source!I57, 2), 2)</f>
        <v>0</v>
      </c>
      <c r="V83">
        <f>ROUND((108/100)*ROUND(Source!CS57*Source!I57, 2), 2)</f>
        <v>0</v>
      </c>
    </row>
    <row r="84" spans="1:22" ht="14.25" x14ac:dyDescent="0.2">
      <c r="A84" s="14"/>
      <c r="B84" s="15"/>
      <c r="C84" s="15" t="s">
        <v>989</v>
      </c>
      <c r="D84" s="16"/>
      <c r="E84" s="2"/>
      <c r="F84" s="18">
        <f>Source!AO57</f>
        <v>9261.2199999999993</v>
      </c>
      <c r="G84" s="17" t="str">
        <f>Source!DG57</f>
        <v/>
      </c>
      <c r="H84" s="2">
        <f>Source!AV57</f>
        <v>1</v>
      </c>
      <c r="I84" s="2">
        <f>IF(Source!BA57&lt;&gt; 0, Source!BA57, 1)</f>
        <v>1</v>
      </c>
      <c r="J84" s="19">
        <f>Source!S57</f>
        <v>148.18</v>
      </c>
      <c r="K84" s="19"/>
    </row>
    <row r="85" spans="1:22" ht="14.25" x14ac:dyDescent="0.2">
      <c r="A85" s="14"/>
      <c r="B85" s="15"/>
      <c r="C85" s="15" t="s">
        <v>995</v>
      </c>
      <c r="D85" s="16"/>
      <c r="E85" s="2"/>
      <c r="F85" s="18">
        <f>Source!AM57</f>
        <v>50.93</v>
      </c>
      <c r="G85" s="17" t="str">
        <f>Source!DE57</f>
        <v/>
      </c>
      <c r="H85" s="2">
        <f>Source!AV57</f>
        <v>1</v>
      </c>
      <c r="I85" s="2">
        <f>IF(Source!BB57&lt;&gt; 0, Source!BB57, 1)</f>
        <v>1</v>
      </c>
      <c r="J85" s="19">
        <f>Source!Q57</f>
        <v>0.81</v>
      </c>
      <c r="K85" s="19"/>
    </row>
    <row r="86" spans="1:22" ht="14.25" x14ac:dyDescent="0.2">
      <c r="A86" s="14"/>
      <c r="B86" s="15"/>
      <c r="C86" s="15" t="s">
        <v>990</v>
      </c>
      <c r="D86" s="16" t="s">
        <v>991</v>
      </c>
      <c r="E86" s="2">
        <f>Source!AT57</f>
        <v>70</v>
      </c>
      <c r="F86" s="18"/>
      <c r="G86" s="17"/>
      <c r="H86" s="2"/>
      <c r="I86" s="2"/>
      <c r="J86" s="19">
        <f>SUM(R83:R85)</f>
        <v>103.73</v>
      </c>
      <c r="K86" s="19"/>
    </row>
    <row r="87" spans="1:22" ht="14.25" x14ac:dyDescent="0.2">
      <c r="A87" s="14"/>
      <c r="B87" s="15"/>
      <c r="C87" s="15" t="s">
        <v>992</v>
      </c>
      <c r="D87" s="16" t="s">
        <v>991</v>
      </c>
      <c r="E87" s="2">
        <f>Source!AU57</f>
        <v>10</v>
      </c>
      <c r="F87" s="18"/>
      <c r="G87" s="17"/>
      <c r="H87" s="2"/>
      <c r="I87" s="2"/>
      <c r="J87" s="19">
        <f>SUM(T83:T86)</f>
        <v>14.82</v>
      </c>
      <c r="K87" s="19"/>
    </row>
    <row r="88" spans="1:22" ht="14.25" x14ac:dyDescent="0.2">
      <c r="A88" s="14"/>
      <c r="B88" s="15"/>
      <c r="C88" s="15" t="s">
        <v>993</v>
      </c>
      <c r="D88" s="16" t="s">
        <v>994</v>
      </c>
      <c r="E88" s="2">
        <f>Source!AQ57</f>
        <v>63.52</v>
      </c>
      <c r="F88" s="18"/>
      <c r="G88" s="17" t="str">
        <f>Source!DI57</f>
        <v/>
      </c>
      <c r="H88" s="2">
        <f>Source!AV57</f>
        <v>1</v>
      </c>
      <c r="I88" s="2"/>
      <c r="J88" s="19"/>
      <c r="K88" s="19">
        <f>Source!U57</f>
        <v>1.0163200000000001</v>
      </c>
    </row>
    <row r="89" spans="1:22" ht="15" x14ac:dyDescent="0.25">
      <c r="A89" s="21"/>
      <c r="B89" s="21"/>
      <c r="C89" s="21"/>
      <c r="D89" s="21"/>
      <c r="E89" s="21"/>
      <c r="F89" s="21"/>
      <c r="G89" s="21"/>
      <c r="H89" s="21"/>
      <c r="I89" s="55">
        <f>J84+J85+J86+J87</f>
        <v>267.54000000000002</v>
      </c>
      <c r="J89" s="55"/>
      <c r="K89" s="22">
        <f>IF(Source!I57&lt;&gt;0, ROUND(I89/Source!I57, 2), 0)</f>
        <v>16721.25</v>
      </c>
      <c r="P89" s="20">
        <f>I89</f>
        <v>267.54000000000002</v>
      </c>
    </row>
    <row r="90" spans="1:22" ht="42.75" x14ac:dyDescent="0.2">
      <c r="A90" s="14" t="str">
        <f>Source!E58</f>
        <v>8</v>
      </c>
      <c r="B90" s="15" t="str">
        <f>Source!F58</f>
        <v>1.49-9101-7-1/1</v>
      </c>
      <c r="C90" s="15" t="str">
        <f>Source!G58</f>
        <v>Механизированная погрузка строительного мусора в автомобили-самосвалы</v>
      </c>
      <c r="D90" s="16" t="str">
        <f>Source!H58</f>
        <v>т</v>
      </c>
      <c r="E90" s="2">
        <f>Source!I58</f>
        <v>142.86049199999999</v>
      </c>
      <c r="F90" s="18"/>
      <c r="G90" s="17"/>
      <c r="H90" s="2"/>
      <c r="I90" s="2"/>
      <c r="J90" s="19"/>
      <c r="K90" s="19"/>
      <c r="Q90">
        <f>ROUND((Source!BZ58/100)*ROUND((Source!AF58*Source!AV58)*Source!I58, 2), 2)</f>
        <v>0</v>
      </c>
      <c r="R90">
        <f>Source!X58</f>
        <v>0</v>
      </c>
      <c r="S90">
        <f>ROUND((Source!CA58/100)*ROUND((Source!AF58*Source!AV58)*Source!I58, 2), 2)</f>
        <v>0</v>
      </c>
      <c r="T90">
        <f>Source!Y58</f>
        <v>0</v>
      </c>
      <c r="U90">
        <f>ROUND((175/100)*ROUND((Source!AE58*Source!AV58)*Source!I58, 2), 2)</f>
        <v>6460.16</v>
      </c>
      <c r="V90">
        <f>ROUND((108/100)*ROUND(Source!CS58*Source!I58, 2), 2)</f>
        <v>3986.84</v>
      </c>
    </row>
    <row r="91" spans="1:22" ht="14.25" x14ac:dyDescent="0.2">
      <c r="A91" s="14"/>
      <c r="B91" s="15"/>
      <c r="C91" s="15" t="s">
        <v>995</v>
      </c>
      <c r="D91" s="16"/>
      <c r="E91" s="2"/>
      <c r="F91" s="18">
        <f>Source!AM58</f>
        <v>80.25</v>
      </c>
      <c r="G91" s="17" t="str">
        <f>Source!DE58</f>
        <v/>
      </c>
      <c r="H91" s="2">
        <f>Source!AV58</f>
        <v>1</v>
      </c>
      <c r="I91" s="2">
        <f>IF(Source!BB58&lt;&gt; 0, Source!BB58, 1)</f>
        <v>1</v>
      </c>
      <c r="J91" s="19">
        <f>Source!Q58</f>
        <v>11464.55</v>
      </c>
      <c r="K91" s="19"/>
    </row>
    <row r="92" spans="1:22" ht="14.25" x14ac:dyDescent="0.2">
      <c r="A92" s="14"/>
      <c r="B92" s="15"/>
      <c r="C92" s="15" t="s">
        <v>996</v>
      </c>
      <c r="D92" s="16"/>
      <c r="E92" s="2"/>
      <c r="F92" s="18">
        <f>Source!AN58</f>
        <v>25.84</v>
      </c>
      <c r="G92" s="17" t="str">
        <f>Source!DF58</f>
        <v/>
      </c>
      <c r="H92" s="2">
        <f>Source!AV58</f>
        <v>1</v>
      </c>
      <c r="I92" s="2">
        <f>IF(Source!BS58&lt;&gt; 0, Source!BS58, 1)</f>
        <v>1</v>
      </c>
      <c r="J92" s="23">
        <f>Source!R58</f>
        <v>3691.52</v>
      </c>
      <c r="K92" s="19"/>
    </row>
    <row r="93" spans="1:22" ht="14.25" x14ac:dyDescent="0.2">
      <c r="A93" s="14"/>
      <c r="B93" s="15"/>
      <c r="C93" s="15" t="s">
        <v>997</v>
      </c>
      <c r="D93" s="16" t="s">
        <v>991</v>
      </c>
      <c r="E93" s="2">
        <f>108</f>
        <v>108</v>
      </c>
      <c r="F93" s="18"/>
      <c r="G93" s="17"/>
      <c r="H93" s="2"/>
      <c r="I93" s="2"/>
      <c r="J93" s="19">
        <f>SUM(V90:V92)</f>
        <v>3986.84</v>
      </c>
      <c r="K93" s="19"/>
    </row>
    <row r="94" spans="1:22" ht="15" x14ac:dyDescent="0.25">
      <c r="A94" s="21"/>
      <c r="B94" s="21"/>
      <c r="C94" s="21"/>
      <c r="D94" s="21"/>
      <c r="E94" s="21"/>
      <c r="F94" s="21"/>
      <c r="G94" s="21"/>
      <c r="H94" s="21"/>
      <c r="I94" s="55">
        <f>J91+J93</f>
        <v>15451.39</v>
      </c>
      <c r="J94" s="55"/>
      <c r="K94" s="22">
        <f>IF(Source!I58&lt;&gt;0, ROUND(I94/Source!I58, 2), 0)</f>
        <v>108.16</v>
      </c>
      <c r="P94" s="20">
        <f>I94</f>
        <v>15451.39</v>
      </c>
    </row>
    <row r="95" spans="1:22" ht="42.75" x14ac:dyDescent="0.2">
      <c r="A95" s="14" t="str">
        <f>Source!E59</f>
        <v>9</v>
      </c>
      <c r="B95" s="15" t="str">
        <f>Source!F59</f>
        <v>1.50-3305-4-1/1</v>
      </c>
      <c r="C95" s="15" t="str">
        <f>Source!G59</f>
        <v>Погрузка и выгрузка вручную строительного мусора на транспортные средства</v>
      </c>
      <c r="D95" s="16" t="str">
        <f>Source!H59</f>
        <v>т</v>
      </c>
      <c r="E95" s="2">
        <f>Source!I59</f>
        <v>15.873388</v>
      </c>
      <c r="F95" s="18"/>
      <c r="G95" s="17"/>
      <c r="H95" s="2"/>
      <c r="I95" s="2"/>
      <c r="J95" s="19"/>
      <c r="K95" s="19"/>
      <c r="Q95">
        <f>ROUND((Source!BZ59/100)*ROUND((Source!AF59*Source!AV59)*Source!I59, 2), 2)</f>
        <v>1387.81</v>
      </c>
      <c r="R95">
        <f>Source!X59</f>
        <v>1387.81</v>
      </c>
      <c r="S95">
        <f>ROUND((Source!CA59/100)*ROUND((Source!AF59*Source!AV59)*Source!I59, 2), 2)</f>
        <v>198.26</v>
      </c>
      <c r="T95">
        <f>Source!Y59</f>
        <v>198.26</v>
      </c>
      <c r="U95">
        <f>ROUND((175/100)*ROUND((Source!AE59*Source!AV59)*Source!I59, 2), 2)</f>
        <v>0</v>
      </c>
      <c r="V95">
        <f>ROUND((108/100)*ROUND(Source!CS59*Source!I59, 2), 2)</f>
        <v>0</v>
      </c>
    </row>
    <row r="96" spans="1:22" ht="14.25" x14ac:dyDescent="0.2">
      <c r="A96" s="14"/>
      <c r="B96" s="15"/>
      <c r="C96" s="15" t="s">
        <v>989</v>
      </c>
      <c r="D96" s="16"/>
      <c r="E96" s="2"/>
      <c r="F96" s="18">
        <f>Source!AO59</f>
        <v>124.9</v>
      </c>
      <c r="G96" s="17" t="str">
        <f>Source!DG59</f>
        <v/>
      </c>
      <c r="H96" s="2">
        <f>Source!AV59</f>
        <v>1</v>
      </c>
      <c r="I96" s="2">
        <f>IF(Source!BA59&lt;&gt; 0, Source!BA59, 1)</f>
        <v>1</v>
      </c>
      <c r="J96" s="19">
        <f>Source!S59</f>
        <v>1982.59</v>
      </c>
      <c r="K96" s="19"/>
    </row>
    <row r="97" spans="1:22" ht="14.25" x14ac:dyDescent="0.2">
      <c r="A97" s="14"/>
      <c r="B97" s="15"/>
      <c r="C97" s="15" t="s">
        <v>990</v>
      </c>
      <c r="D97" s="16" t="s">
        <v>991</v>
      </c>
      <c r="E97" s="2">
        <f>Source!AT59</f>
        <v>70</v>
      </c>
      <c r="F97" s="18"/>
      <c r="G97" s="17"/>
      <c r="H97" s="2"/>
      <c r="I97" s="2"/>
      <c r="J97" s="19">
        <f>SUM(R95:R96)</f>
        <v>1387.81</v>
      </c>
      <c r="K97" s="19"/>
    </row>
    <row r="98" spans="1:22" ht="14.25" x14ac:dyDescent="0.2">
      <c r="A98" s="14"/>
      <c r="B98" s="15"/>
      <c r="C98" s="15" t="s">
        <v>992</v>
      </c>
      <c r="D98" s="16" t="s">
        <v>991</v>
      </c>
      <c r="E98" s="2">
        <f>Source!AU59</f>
        <v>10</v>
      </c>
      <c r="F98" s="18"/>
      <c r="G98" s="17"/>
      <c r="H98" s="2"/>
      <c r="I98" s="2"/>
      <c r="J98" s="19">
        <f>SUM(T95:T97)</f>
        <v>198.26</v>
      </c>
      <c r="K98" s="19"/>
    </row>
    <row r="99" spans="1:22" ht="14.25" x14ac:dyDescent="0.2">
      <c r="A99" s="14"/>
      <c r="B99" s="15"/>
      <c r="C99" s="15" t="s">
        <v>993</v>
      </c>
      <c r="D99" s="16" t="s">
        <v>994</v>
      </c>
      <c r="E99" s="2">
        <f>Source!AQ59</f>
        <v>1.02</v>
      </c>
      <c r="F99" s="18"/>
      <c r="G99" s="17" t="str">
        <f>Source!DI59</f>
        <v/>
      </c>
      <c r="H99" s="2">
        <f>Source!AV59</f>
        <v>1</v>
      </c>
      <c r="I99" s="2"/>
      <c r="J99" s="19"/>
      <c r="K99" s="19">
        <f>Source!U59</f>
        <v>16.190855760000002</v>
      </c>
    </row>
    <row r="100" spans="1:22" ht="15" x14ac:dyDescent="0.25">
      <c r="A100" s="21"/>
      <c r="B100" s="21"/>
      <c r="C100" s="21"/>
      <c r="D100" s="21"/>
      <c r="E100" s="21"/>
      <c r="F100" s="21"/>
      <c r="G100" s="21"/>
      <c r="H100" s="21"/>
      <c r="I100" s="55">
        <f>J96+J97+J98</f>
        <v>3568.66</v>
      </c>
      <c r="J100" s="55"/>
      <c r="K100" s="22">
        <f>IF(Source!I59&lt;&gt;0, ROUND(I100/Source!I59, 2), 0)</f>
        <v>224.82</v>
      </c>
      <c r="P100" s="20">
        <f>I100</f>
        <v>3568.66</v>
      </c>
    </row>
    <row r="101" spans="1:22" ht="57" x14ac:dyDescent="0.2">
      <c r="A101" s="14" t="str">
        <f>Source!E60</f>
        <v>10</v>
      </c>
      <c r="B101" s="15" t="str">
        <f>Source!F60</f>
        <v>1.49-9201-1-2/1</v>
      </c>
      <c r="C101" s="15" t="str">
        <f>Source!G60</f>
        <v>Перевозка строительного мусора автосамосвалами грузоподъемностью до 10 т на расстояние 1 км - при механизированной погрузке</v>
      </c>
      <c r="D101" s="16" t="str">
        <f>Source!H60</f>
        <v>т</v>
      </c>
      <c r="E101" s="2">
        <f>Source!I60</f>
        <v>142.86049199999999</v>
      </c>
      <c r="F101" s="18"/>
      <c r="G101" s="17"/>
      <c r="H101" s="2"/>
      <c r="I101" s="2"/>
      <c r="J101" s="19"/>
      <c r="K101" s="19"/>
      <c r="Q101">
        <f>ROUND((Source!BZ60/100)*ROUND((Source!AF60*Source!AV60)*Source!I60, 2), 2)</f>
        <v>0</v>
      </c>
      <c r="R101">
        <f>Source!X60</f>
        <v>0</v>
      </c>
      <c r="S101">
        <f>ROUND((Source!CA60/100)*ROUND((Source!AF60*Source!AV60)*Source!I60, 2), 2)</f>
        <v>0</v>
      </c>
      <c r="T101">
        <f>Source!Y60</f>
        <v>0</v>
      </c>
      <c r="U101">
        <f>ROUND((175/100)*ROUND((Source!AE60*Source!AV60)*Source!I60, 2), 2)</f>
        <v>7860.18</v>
      </c>
      <c r="V101">
        <f>ROUND((108/100)*ROUND(Source!CS60*Source!I60, 2), 2)</f>
        <v>4850.8500000000004</v>
      </c>
    </row>
    <row r="102" spans="1:22" ht="14.25" x14ac:dyDescent="0.2">
      <c r="A102" s="14"/>
      <c r="B102" s="15"/>
      <c r="C102" s="15" t="s">
        <v>995</v>
      </c>
      <c r="D102" s="16"/>
      <c r="E102" s="2"/>
      <c r="F102" s="18">
        <f>Source!AM60</f>
        <v>57.83</v>
      </c>
      <c r="G102" s="17" t="str">
        <f>Source!DE60</f>
        <v/>
      </c>
      <c r="H102" s="2">
        <f>Source!AV60</f>
        <v>1</v>
      </c>
      <c r="I102" s="2">
        <f>IF(Source!BB60&lt;&gt; 0, Source!BB60, 1)</f>
        <v>1</v>
      </c>
      <c r="J102" s="19">
        <f>Source!Q60</f>
        <v>8261.6200000000008</v>
      </c>
      <c r="K102" s="19"/>
    </row>
    <row r="103" spans="1:22" ht="14.25" x14ac:dyDescent="0.2">
      <c r="A103" s="14"/>
      <c r="B103" s="15"/>
      <c r="C103" s="15" t="s">
        <v>996</v>
      </c>
      <c r="D103" s="16"/>
      <c r="E103" s="2"/>
      <c r="F103" s="18">
        <f>Source!AN60</f>
        <v>31.44</v>
      </c>
      <c r="G103" s="17" t="str">
        <f>Source!DF60</f>
        <v/>
      </c>
      <c r="H103" s="2">
        <f>Source!AV60</f>
        <v>1</v>
      </c>
      <c r="I103" s="2">
        <f>IF(Source!BS60&lt;&gt; 0, Source!BS60, 1)</f>
        <v>1</v>
      </c>
      <c r="J103" s="23">
        <f>Source!R60</f>
        <v>4491.53</v>
      </c>
      <c r="K103" s="19"/>
    </row>
    <row r="104" spans="1:22" ht="15" x14ac:dyDescent="0.25">
      <c r="A104" s="21"/>
      <c r="B104" s="21"/>
      <c r="C104" s="21"/>
      <c r="D104" s="21"/>
      <c r="E104" s="21"/>
      <c r="F104" s="21"/>
      <c r="G104" s="21"/>
      <c r="H104" s="21"/>
      <c r="I104" s="55">
        <f>J102</f>
        <v>8261.6200000000008</v>
      </c>
      <c r="J104" s="55"/>
      <c r="K104" s="22">
        <f>IF(Source!I60&lt;&gt;0, ROUND(I104/Source!I60, 2), 0)</f>
        <v>57.83</v>
      </c>
      <c r="P104" s="20">
        <f>I104</f>
        <v>8261.6200000000008</v>
      </c>
    </row>
    <row r="105" spans="1:22" ht="57" x14ac:dyDescent="0.2">
      <c r="A105" s="14" t="str">
        <f>Source!E61</f>
        <v>11</v>
      </c>
      <c r="B105" s="15" t="str">
        <f>Source!F61</f>
        <v>1.49-9201-1-1/1</v>
      </c>
      <c r="C105" s="15" t="str">
        <f>Source!G61</f>
        <v>Перевозка строительного мусора автосамосвалами грузоподъемностью до 10 т на расстояние 1 км - при погрузке вручную</v>
      </c>
      <c r="D105" s="16" t="str">
        <f>Source!H61</f>
        <v>т</v>
      </c>
      <c r="E105" s="2">
        <f>Source!I61</f>
        <v>15.873388</v>
      </c>
      <c r="F105" s="18"/>
      <c r="G105" s="17"/>
      <c r="H105" s="2"/>
      <c r="I105" s="2"/>
      <c r="J105" s="19"/>
      <c r="K105" s="19"/>
      <c r="Q105">
        <f>ROUND((Source!BZ61/100)*ROUND((Source!AF61*Source!AV61)*Source!I61, 2), 2)</f>
        <v>0</v>
      </c>
      <c r="R105">
        <f>Source!X61</f>
        <v>0</v>
      </c>
      <c r="S105">
        <f>ROUND((Source!CA61/100)*ROUND((Source!AF61*Source!AV61)*Source!I61, 2), 2)</f>
        <v>0</v>
      </c>
      <c r="T105">
        <f>Source!Y61</f>
        <v>0</v>
      </c>
      <c r="U105">
        <f>ROUND((175/100)*ROUND((Source!AE61*Source!AV61)*Source!I61, 2), 2)</f>
        <v>2505.06</v>
      </c>
      <c r="V105">
        <f>ROUND((108/100)*ROUND(Source!CS61*Source!I61, 2), 2)</f>
        <v>1545.98</v>
      </c>
    </row>
    <row r="106" spans="1:22" ht="14.25" x14ac:dyDescent="0.2">
      <c r="A106" s="14"/>
      <c r="B106" s="15"/>
      <c r="C106" s="15" t="s">
        <v>995</v>
      </c>
      <c r="D106" s="16"/>
      <c r="E106" s="2"/>
      <c r="F106" s="18">
        <f>Source!AM61</f>
        <v>165.91</v>
      </c>
      <c r="G106" s="17" t="str">
        <f>Source!DE61</f>
        <v/>
      </c>
      <c r="H106" s="2">
        <f>Source!AV61</f>
        <v>1</v>
      </c>
      <c r="I106" s="2">
        <f>IF(Source!BB61&lt;&gt; 0, Source!BB61, 1)</f>
        <v>1</v>
      </c>
      <c r="J106" s="19">
        <f>Source!Q61</f>
        <v>2633.55</v>
      </c>
      <c r="K106" s="19"/>
    </row>
    <row r="107" spans="1:22" ht="14.25" x14ac:dyDescent="0.2">
      <c r="A107" s="14"/>
      <c r="B107" s="15"/>
      <c r="C107" s="15" t="s">
        <v>996</v>
      </c>
      <c r="D107" s="16"/>
      <c r="E107" s="2"/>
      <c r="F107" s="18">
        <f>Source!AN61</f>
        <v>90.18</v>
      </c>
      <c r="G107" s="17" t="str">
        <f>Source!DF61</f>
        <v/>
      </c>
      <c r="H107" s="2">
        <f>Source!AV61</f>
        <v>1</v>
      </c>
      <c r="I107" s="2">
        <f>IF(Source!BS61&lt;&gt; 0, Source!BS61, 1)</f>
        <v>1</v>
      </c>
      <c r="J107" s="23">
        <f>Source!R61</f>
        <v>1431.46</v>
      </c>
      <c r="K107" s="19"/>
    </row>
    <row r="108" spans="1:22" ht="15" x14ac:dyDescent="0.25">
      <c r="A108" s="21"/>
      <c r="B108" s="21"/>
      <c r="C108" s="21"/>
      <c r="D108" s="21"/>
      <c r="E108" s="21"/>
      <c r="F108" s="21"/>
      <c r="G108" s="21"/>
      <c r="H108" s="21"/>
      <c r="I108" s="55">
        <f>J106</f>
        <v>2633.55</v>
      </c>
      <c r="J108" s="55"/>
      <c r="K108" s="22">
        <f>IF(Source!I61&lt;&gt;0, ROUND(I108/Source!I61, 2), 0)</f>
        <v>165.91</v>
      </c>
      <c r="P108" s="20">
        <f>I108</f>
        <v>2633.55</v>
      </c>
    </row>
    <row r="109" spans="1:22" ht="171" x14ac:dyDescent="0.2">
      <c r="A109" s="14" t="str">
        <f>Source!E62</f>
        <v>12</v>
      </c>
      <c r="B109" s="15" t="str">
        <f>Source!F62</f>
        <v>1.49-9201-1-3/1</v>
      </c>
      <c r="C109" s="15" t="str">
        <f>Source!G62</f>
        <v>Перевозка строительного мусора автосамосвалами грузоподъемностью до 10 т - добавляется на каждый последующий 1 км до 100 км к=42 до 43 км =бет.плитка(0,69м2*100*0,08*2,4)+цем.песч смесь(2,1м3*2,4)+асф-бет(0,072м3*100*2,4)+цем.бет(0,008м3*100*2,4)+резин.покр(118м2*0,03*0,75)+щебень(0,408м3*100*1,6)+дор.борт(31пм*0,23408)+сад.борт(306пм*0,1504)+МЕ(0,012т)+дерево(0,02т)</v>
      </c>
      <c r="D109" s="16" t="str">
        <f>Source!H62</f>
        <v>т</v>
      </c>
      <c r="E109" s="2">
        <f>Source!I62</f>
        <v>158.73388</v>
      </c>
      <c r="F109" s="18"/>
      <c r="G109" s="17"/>
      <c r="H109" s="2"/>
      <c r="I109" s="2"/>
      <c r="J109" s="19"/>
      <c r="K109" s="19"/>
      <c r="Q109">
        <f>ROUND((Source!BZ62/100)*ROUND((Source!AF62*Source!AV62)*Source!I62, 2), 2)</f>
        <v>0</v>
      </c>
      <c r="R109">
        <f>Source!X62</f>
        <v>0</v>
      </c>
      <c r="S109">
        <f>ROUND((Source!CA62/100)*ROUND((Source!AF62*Source!AV62)*Source!I62, 2), 2)</f>
        <v>0</v>
      </c>
      <c r="T109">
        <f>Source!Y62</f>
        <v>0</v>
      </c>
      <c r="U109">
        <f>ROUND((175/100)*ROUND((Source!AE62*Source!AV62)*Source!I62, 2), 2)</f>
        <v>173720.73</v>
      </c>
      <c r="V109">
        <f>ROUND((108/100)*ROUND(Source!CS62*Source!I62, 2), 2)</f>
        <v>107210.51</v>
      </c>
    </row>
    <row r="110" spans="1:22" ht="14.25" x14ac:dyDescent="0.2">
      <c r="A110" s="14"/>
      <c r="B110" s="15"/>
      <c r="C110" s="15" t="s">
        <v>995</v>
      </c>
      <c r="D110" s="16"/>
      <c r="E110" s="2"/>
      <c r="F110" s="18">
        <f>Source!AM62</f>
        <v>27.39</v>
      </c>
      <c r="G110" s="17" t="str">
        <f>Source!DE62</f>
        <v>)*42</v>
      </c>
      <c r="H110" s="2">
        <f>Source!AV62</f>
        <v>1</v>
      </c>
      <c r="I110" s="2">
        <f>IF(Source!BB62&lt;&gt; 0, Source!BB62, 1)</f>
        <v>1</v>
      </c>
      <c r="J110" s="19">
        <f>Source!Q62</f>
        <v>182604.28</v>
      </c>
      <c r="K110" s="19"/>
    </row>
    <row r="111" spans="1:22" ht="14.25" x14ac:dyDescent="0.2">
      <c r="A111" s="14"/>
      <c r="B111" s="15"/>
      <c r="C111" s="15" t="s">
        <v>996</v>
      </c>
      <c r="D111" s="16"/>
      <c r="E111" s="2"/>
      <c r="F111" s="18">
        <f>Source!AN62</f>
        <v>14.89</v>
      </c>
      <c r="G111" s="17" t="str">
        <f>Source!DF62</f>
        <v>)*42</v>
      </c>
      <c r="H111" s="2">
        <f>Source!AV62</f>
        <v>1</v>
      </c>
      <c r="I111" s="2">
        <f>IF(Source!BS62&lt;&gt; 0, Source!BS62, 1)</f>
        <v>1</v>
      </c>
      <c r="J111" s="23">
        <f>Source!R62</f>
        <v>99268.99</v>
      </c>
      <c r="K111" s="19"/>
    </row>
    <row r="112" spans="1:22" ht="15" x14ac:dyDescent="0.25">
      <c r="A112" s="21"/>
      <c r="B112" s="21"/>
      <c r="C112" s="21"/>
      <c r="D112" s="21"/>
      <c r="E112" s="21"/>
      <c r="F112" s="21"/>
      <c r="G112" s="21"/>
      <c r="H112" s="21"/>
      <c r="I112" s="55">
        <f>J110</f>
        <v>182604.28</v>
      </c>
      <c r="J112" s="55"/>
      <c r="K112" s="22">
        <f>IF(Source!I62&lt;&gt;0, ROUND(I112/Source!I62, 2), 0)</f>
        <v>1150.3800000000001</v>
      </c>
      <c r="P112" s="20">
        <f>I112</f>
        <v>182604.28</v>
      </c>
    </row>
    <row r="113" spans="1:22" ht="153.75" x14ac:dyDescent="0.2">
      <c r="A113" s="14" t="str">
        <f>Source!E63</f>
        <v>13</v>
      </c>
      <c r="B113" s="15" t="str">
        <f>Source!F63</f>
        <v>Цена поставщика</v>
      </c>
      <c r="C113" s="15" t="s">
        <v>998</v>
      </c>
      <c r="D113" s="16" t="str">
        <f>Source!H63</f>
        <v>т</v>
      </c>
      <c r="E113" s="2">
        <f>Source!I63</f>
        <v>158.72188</v>
      </c>
      <c r="F113" s="18">
        <f>Source!AL63</f>
        <v>100.3</v>
      </c>
      <c r="G113" s="17" t="str">
        <f>Source!DD63</f>
        <v/>
      </c>
      <c r="H113" s="2">
        <f>Source!AW63</f>
        <v>1</v>
      </c>
      <c r="I113" s="2">
        <f>IF(Source!BC63&lt;&gt; 0, Source!BC63, 1)</f>
        <v>1</v>
      </c>
      <c r="J113" s="19">
        <f>Source!P63</f>
        <v>15919.8</v>
      </c>
      <c r="K113" s="19"/>
      <c r="Q113">
        <f>ROUND((Source!BZ63/100)*ROUND(Source!AF63*Source!I63, 2), 2)</f>
        <v>0</v>
      </c>
      <c r="R113">
        <f>Source!X63</f>
        <v>0</v>
      </c>
      <c r="S113">
        <f>ROUND((Source!CA63/100)*ROUND(Source!AF63*Source!I63, 2), 2)</f>
        <v>0</v>
      </c>
      <c r="T113">
        <f>Source!Y63</f>
        <v>0</v>
      </c>
      <c r="U113">
        <f>ROUND((175/100)*ROUND(Source!AE63*Source!I63, 2), 2)</f>
        <v>0</v>
      </c>
      <c r="V113">
        <f>ROUND((108/100)*ROUND(Source!CS63*Source!I63, 2), 2)</f>
        <v>0</v>
      </c>
    </row>
    <row r="114" spans="1:22" ht="15" x14ac:dyDescent="0.25">
      <c r="A114" s="21"/>
      <c r="B114" s="21"/>
      <c r="C114" s="21"/>
      <c r="D114" s="21"/>
      <c r="E114" s="21"/>
      <c r="F114" s="21"/>
      <c r="G114" s="21"/>
      <c r="H114" s="21"/>
      <c r="I114" s="55">
        <f>J113</f>
        <v>15919.8</v>
      </c>
      <c r="J114" s="55"/>
      <c r="K114" s="22">
        <f>IF(Source!I63&lt;&gt;0, ROUND(I114/Source!I63, 2), 0)</f>
        <v>100.3</v>
      </c>
      <c r="P114" s="20">
        <f>I114</f>
        <v>15919.8</v>
      </c>
    </row>
    <row r="116" spans="1:22" ht="15" x14ac:dyDescent="0.25">
      <c r="A116" s="57" t="str">
        <f>CONCATENATE("Итого по разделу: ",IF(Source!G65&lt;&gt;"Новый раздел", Source!G65, ""))</f>
        <v>Итого по разделу: Демонтаж покрытий</v>
      </c>
      <c r="B116" s="57"/>
      <c r="C116" s="57"/>
      <c r="D116" s="57"/>
      <c r="E116" s="57"/>
      <c r="F116" s="57"/>
      <c r="G116" s="57"/>
      <c r="H116" s="57"/>
      <c r="I116" s="58">
        <f>SUM(P34:P115)</f>
        <v>337601.98999999993</v>
      </c>
      <c r="J116" s="59"/>
      <c r="K116" s="24"/>
    </row>
    <row r="119" spans="1:22" ht="16.5" x14ac:dyDescent="0.25">
      <c r="A119" s="56" t="str">
        <f>CONCATENATE("Раздел: ",IF(Source!G95&lt;&gt;"Новый раздел", Source!G95, ""))</f>
        <v>Раздел: Демонтаж МАФ</v>
      </c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22" ht="57" x14ac:dyDescent="0.2">
      <c r="A120" s="14" t="str">
        <f>Source!E100</f>
        <v>14</v>
      </c>
      <c r="B120" s="15" t="str">
        <f>Source!F100</f>
        <v>1.50-3203-37-1/1</v>
      </c>
      <c r="C120" s="15" t="str">
        <f>Source!G100</f>
        <v>Монтаж мелких конструкций из стали различного профиля массой до 20 кг /демонтаж МАФ к=0,2   =(48+114+40+30)/1000</v>
      </c>
      <c r="D120" s="16" t="str">
        <f>Source!H100</f>
        <v>т</v>
      </c>
      <c r="E120" s="2">
        <f>Source!I100</f>
        <v>0.23200000000000001</v>
      </c>
      <c r="F120" s="18"/>
      <c r="G120" s="17"/>
      <c r="H120" s="2"/>
      <c r="I120" s="2"/>
      <c r="J120" s="19"/>
      <c r="K120" s="19"/>
      <c r="Q120">
        <f>ROUND((Source!BZ100/100)*ROUND((Source!AF100*Source!AV100)*Source!I100, 2), 2)</f>
        <v>1114.97</v>
      </c>
      <c r="R120">
        <f>Source!X100</f>
        <v>1114.97</v>
      </c>
      <c r="S120">
        <f>ROUND((Source!CA100/100)*ROUND((Source!AF100*Source!AV100)*Source!I100, 2), 2)</f>
        <v>159.28</v>
      </c>
      <c r="T120">
        <f>Source!Y100</f>
        <v>159.28</v>
      </c>
      <c r="U120">
        <f>ROUND((175/100)*ROUND((Source!AE100*Source!AV100)*Source!I100, 2), 2)</f>
        <v>3.19</v>
      </c>
      <c r="V120">
        <f>ROUND((108/100)*ROUND(Source!CS100*Source!I100, 2), 2)</f>
        <v>1.97</v>
      </c>
    </row>
    <row r="121" spans="1:22" ht="14.25" x14ac:dyDescent="0.2">
      <c r="A121" s="14"/>
      <c r="B121" s="15"/>
      <c r="C121" s="15" t="s">
        <v>989</v>
      </c>
      <c r="D121" s="16"/>
      <c r="E121" s="2"/>
      <c r="F121" s="18">
        <f>Source!AO100</f>
        <v>34327.82</v>
      </c>
      <c r="G121" s="17" t="str">
        <f>Source!DG100</f>
        <v>)*0,2</v>
      </c>
      <c r="H121" s="2">
        <f>Source!AV100</f>
        <v>1</v>
      </c>
      <c r="I121" s="2">
        <f>IF(Source!BA100&lt;&gt; 0, Source!BA100, 1)</f>
        <v>1</v>
      </c>
      <c r="J121" s="19">
        <f>Source!S100</f>
        <v>1592.81</v>
      </c>
      <c r="K121" s="19"/>
    </row>
    <row r="122" spans="1:22" ht="14.25" x14ac:dyDescent="0.2">
      <c r="A122" s="14"/>
      <c r="B122" s="15"/>
      <c r="C122" s="15" t="s">
        <v>995</v>
      </c>
      <c r="D122" s="16"/>
      <c r="E122" s="2"/>
      <c r="F122" s="18">
        <f>Source!AM100</f>
        <v>899</v>
      </c>
      <c r="G122" s="17" t="str">
        <f>Source!DE100</f>
        <v>)*0,2</v>
      </c>
      <c r="H122" s="2">
        <f>Source!AV100</f>
        <v>1</v>
      </c>
      <c r="I122" s="2">
        <f>IF(Source!BB100&lt;&gt; 0, Source!BB100, 1)</f>
        <v>1</v>
      </c>
      <c r="J122" s="19">
        <f>Source!Q100</f>
        <v>41.71</v>
      </c>
      <c r="K122" s="19"/>
    </row>
    <row r="123" spans="1:22" ht="14.25" x14ac:dyDescent="0.2">
      <c r="A123" s="14"/>
      <c r="B123" s="15"/>
      <c r="C123" s="15" t="s">
        <v>996</v>
      </c>
      <c r="D123" s="16"/>
      <c r="E123" s="2"/>
      <c r="F123" s="18">
        <f>Source!AN100</f>
        <v>39.15</v>
      </c>
      <c r="G123" s="17" t="str">
        <f>Source!DF100</f>
        <v>)*0,2</v>
      </c>
      <c r="H123" s="2">
        <f>Source!AV100</f>
        <v>1</v>
      </c>
      <c r="I123" s="2">
        <f>IF(Source!BS100&lt;&gt; 0, Source!BS100, 1)</f>
        <v>1</v>
      </c>
      <c r="J123" s="23">
        <f>Source!R100</f>
        <v>1.82</v>
      </c>
      <c r="K123" s="19"/>
    </row>
    <row r="124" spans="1:22" ht="14.25" x14ac:dyDescent="0.2">
      <c r="A124" s="14"/>
      <c r="B124" s="15"/>
      <c r="C124" s="15" t="s">
        <v>990</v>
      </c>
      <c r="D124" s="16" t="s">
        <v>991</v>
      </c>
      <c r="E124" s="2">
        <f>Source!AT100</f>
        <v>70</v>
      </c>
      <c r="F124" s="18"/>
      <c r="G124" s="17"/>
      <c r="H124" s="2"/>
      <c r="I124" s="2"/>
      <c r="J124" s="19">
        <f>SUM(R120:R123)</f>
        <v>1114.97</v>
      </c>
      <c r="K124" s="19"/>
    </row>
    <row r="125" spans="1:22" ht="14.25" x14ac:dyDescent="0.2">
      <c r="A125" s="14"/>
      <c r="B125" s="15"/>
      <c r="C125" s="15" t="s">
        <v>992</v>
      </c>
      <c r="D125" s="16" t="s">
        <v>991</v>
      </c>
      <c r="E125" s="2">
        <f>Source!AU100</f>
        <v>10</v>
      </c>
      <c r="F125" s="18"/>
      <c r="G125" s="17"/>
      <c r="H125" s="2"/>
      <c r="I125" s="2"/>
      <c r="J125" s="19">
        <f>SUM(T120:T124)</f>
        <v>159.28</v>
      </c>
      <c r="K125" s="19"/>
    </row>
    <row r="126" spans="1:22" ht="14.25" x14ac:dyDescent="0.2">
      <c r="A126" s="14"/>
      <c r="B126" s="15"/>
      <c r="C126" s="15" t="s">
        <v>997</v>
      </c>
      <c r="D126" s="16" t="s">
        <v>991</v>
      </c>
      <c r="E126" s="2">
        <f>108</f>
        <v>108</v>
      </c>
      <c r="F126" s="18"/>
      <c r="G126" s="17"/>
      <c r="H126" s="2"/>
      <c r="I126" s="2"/>
      <c r="J126" s="19">
        <f>SUM(V120:V125)</f>
        <v>1.97</v>
      </c>
      <c r="K126" s="19"/>
    </row>
    <row r="127" spans="1:22" ht="14.25" x14ac:dyDescent="0.2">
      <c r="A127" s="14"/>
      <c r="B127" s="15"/>
      <c r="C127" s="15" t="s">
        <v>993</v>
      </c>
      <c r="D127" s="16" t="s">
        <v>994</v>
      </c>
      <c r="E127" s="2">
        <f>Source!AQ100</f>
        <v>133.4</v>
      </c>
      <c r="F127" s="18"/>
      <c r="G127" s="17" t="str">
        <f>Source!DI100</f>
        <v>)*0,2</v>
      </c>
      <c r="H127" s="2">
        <f>Source!AV100</f>
        <v>1</v>
      </c>
      <c r="I127" s="2"/>
      <c r="J127" s="19"/>
      <c r="K127" s="19">
        <f>Source!U100</f>
        <v>6.1897600000000015</v>
      </c>
    </row>
    <row r="128" spans="1:22" ht="15" x14ac:dyDescent="0.25">
      <c r="A128" s="21"/>
      <c r="B128" s="21"/>
      <c r="C128" s="21"/>
      <c r="D128" s="21"/>
      <c r="E128" s="21"/>
      <c r="F128" s="21"/>
      <c r="G128" s="21"/>
      <c r="H128" s="21"/>
      <c r="I128" s="55">
        <f>J121+J122+J124+J125+J126</f>
        <v>2910.74</v>
      </c>
      <c r="J128" s="55"/>
      <c r="K128" s="22">
        <f>IF(Source!I100&lt;&gt;0, ROUND(I128/Source!I100, 2), 0)</f>
        <v>12546.29</v>
      </c>
      <c r="P128" s="20">
        <f>I128</f>
        <v>2910.74</v>
      </c>
    </row>
    <row r="129" spans="1:22" ht="42.75" x14ac:dyDescent="0.2">
      <c r="A129" s="14" t="str">
        <f>Source!E101</f>
        <v>15</v>
      </c>
      <c r="B129" s="15" t="str">
        <f>Source!F101</f>
        <v>1.50-3203-37-2/1</v>
      </c>
      <c r="C129" s="15" t="str">
        <f>Source!G101</f>
        <v>Монтаж мелких конструкций из стали различного профиля массой до 50 кг =(50+50+50)/1000</v>
      </c>
      <c r="D129" s="16" t="str">
        <f>Source!H101</f>
        <v>т</v>
      </c>
      <c r="E129" s="2">
        <f>Source!I101</f>
        <v>0.15</v>
      </c>
      <c r="F129" s="18"/>
      <c r="G129" s="17"/>
      <c r="H129" s="2"/>
      <c r="I129" s="2"/>
      <c r="J129" s="19"/>
      <c r="K129" s="19"/>
      <c r="Q129">
        <f>ROUND((Source!BZ101/100)*ROUND((Source!AF101*Source!AV101)*Source!I101, 2), 2)</f>
        <v>596.6</v>
      </c>
      <c r="R129">
        <f>Source!X101</f>
        <v>596.6</v>
      </c>
      <c r="S129">
        <f>ROUND((Source!CA101/100)*ROUND((Source!AF101*Source!AV101)*Source!I101, 2), 2)</f>
        <v>85.23</v>
      </c>
      <c r="T129">
        <f>Source!Y101</f>
        <v>85.23</v>
      </c>
      <c r="U129">
        <f>ROUND((175/100)*ROUND((Source!AE101*Source!AV101)*Source!I101, 2), 2)</f>
        <v>1.7</v>
      </c>
      <c r="V129">
        <f>ROUND((108/100)*ROUND(Source!CS101*Source!I101, 2), 2)</f>
        <v>1.05</v>
      </c>
    </row>
    <row r="130" spans="1:22" ht="14.25" x14ac:dyDescent="0.2">
      <c r="A130" s="14"/>
      <c r="B130" s="15"/>
      <c r="C130" s="15" t="s">
        <v>989</v>
      </c>
      <c r="D130" s="16"/>
      <c r="E130" s="2"/>
      <c r="F130" s="18">
        <f>Source!AO101</f>
        <v>28409.23</v>
      </c>
      <c r="G130" s="17" t="str">
        <f>Source!DG101</f>
        <v>)*0,2</v>
      </c>
      <c r="H130" s="2">
        <f>Source!AV101</f>
        <v>1</v>
      </c>
      <c r="I130" s="2">
        <f>IF(Source!BA101&lt;&gt; 0, Source!BA101, 1)</f>
        <v>1</v>
      </c>
      <c r="J130" s="19">
        <f>Source!S101</f>
        <v>852.28</v>
      </c>
      <c r="K130" s="19"/>
    </row>
    <row r="131" spans="1:22" ht="14.25" x14ac:dyDescent="0.2">
      <c r="A131" s="14"/>
      <c r="B131" s="15"/>
      <c r="C131" s="15" t="s">
        <v>995</v>
      </c>
      <c r="D131" s="16"/>
      <c r="E131" s="2"/>
      <c r="F131" s="18">
        <f>Source!AM101</f>
        <v>744</v>
      </c>
      <c r="G131" s="17" t="str">
        <f>Source!DE101</f>
        <v>)*0,2</v>
      </c>
      <c r="H131" s="2">
        <f>Source!AV101</f>
        <v>1</v>
      </c>
      <c r="I131" s="2">
        <f>IF(Source!BB101&lt;&gt; 0, Source!BB101, 1)</f>
        <v>1</v>
      </c>
      <c r="J131" s="19">
        <f>Source!Q101</f>
        <v>22.32</v>
      </c>
      <c r="K131" s="19"/>
    </row>
    <row r="132" spans="1:22" ht="14.25" x14ac:dyDescent="0.2">
      <c r="A132" s="14"/>
      <c r="B132" s="15"/>
      <c r="C132" s="15" t="s">
        <v>996</v>
      </c>
      <c r="D132" s="16"/>
      <c r="E132" s="2"/>
      <c r="F132" s="18">
        <f>Source!AN101</f>
        <v>32.4</v>
      </c>
      <c r="G132" s="17" t="str">
        <f>Source!DF101</f>
        <v>)*0,2</v>
      </c>
      <c r="H132" s="2">
        <f>Source!AV101</f>
        <v>1</v>
      </c>
      <c r="I132" s="2">
        <f>IF(Source!BS101&lt;&gt; 0, Source!BS101, 1)</f>
        <v>1</v>
      </c>
      <c r="J132" s="23">
        <f>Source!R101</f>
        <v>0.97</v>
      </c>
      <c r="K132" s="19"/>
    </row>
    <row r="133" spans="1:22" ht="14.25" x14ac:dyDescent="0.2">
      <c r="A133" s="14"/>
      <c r="B133" s="15"/>
      <c r="C133" s="15" t="s">
        <v>990</v>
      </c>
      <c r="D133" s="16" t="s">
        <v>991</v>
      </c>
      <c r="E133" s="2">
        <f>Source!AT101</f>
        <v>70</v>
      </c>
      <c r="F133" s="18"/>
      <c r="G133" s="17"/>
      <c r="H133" s="2"/>
      <c r="I133" s="2"/>
      <c r="J133" s="19">
        <f>SUM(R129:R132)</f>
        <v>596.6</v>
      </c>
      <c r="K133" s="19"/>
    </row>
    <row r="134" spans="1:22" ht="14.25" x14ac:dyDescent="0.2">
      <c r="A134" s="14"/>
      <c r="B134" s="15"/>
      <c r="C134" s="15" t="s">
        <v>992</v>
      </c>
      <c r="D134" s="16" t="s">
        <v>991</v>
      </c>
      <c r="E134" s="2">
        <f>Source!AU101</f>
        <v>10</v>
      </c>
      <c r="F134" s="18"/>
      <c r="G134" s="17"/>
      <c r="H134" s="2"/>
      <c r="I134" s="2"/>
      <c r="J134" s="19">
        <f>SUM(T129:T133)</f>
        <v>85.23</v>
      </c>
      <c r="K134" s="19"/>
    </row>
    <row r="135" spans="1:22" ht="14.25" x14ac:dyDescent="0.2">
      <c r="A135" s="14"/>
      <c r="B135" s="15"/>
      <c r="C135" s="15" t="s">
        <v>997</v>
      </c>
      <c r="D135" s="16" t="s">
        <v>991</v>
      </c>
      <c r="E135" s="2">
        <f>108</f>
        <v>108</v>
      </c>
      <c r="F135" s="18"/>
      <c r="G135" s="17"/>
      <c r="H135" s="2"/>
      <c r="I135" s="2"/>
      <c r="J135" s="19">
        <f>SUM(V129:V134)</f>
        <v>1.05</v>
      </c>
      <c r="K135" s="19"/>
    </row>
    <row r="136" spans="1:22" ht="14.25" x14ac:dyDescent="0.2">
      <c r="A136" s="14"/>
      <c r="B136" s="15"/>
      <c r="C136" s="15" t="s">
        <v>993</v>
      </c>
      <c r="D136" s="16" t="s">
        <v>994</v>
      </c>
      <c r="E136" s="2">
        <f>Source!AQ101</f>
        <v>110.4</v>
      </c>
      <c r="F136" s="18"/>
      <c r="G136" s="17" t="str">
        <f>Source!DI101</f>
        <v>)*0,2</v>
      </c>
      <c r="H136" s="2">
        <f>Source!AV101</f>
        <v>1</v>
      </c>
      <c r="I136" s="2"/>
      <c r="J136" s="19"/>
      <c r="K136" s="19">
        <f>Source!U101</f>
        <v>3.3120000000000003</v>
      </c>
    </row>
    <row r="137" spans="1:22" ht="15" x14ac:dyDescent="0.25">
      <c r="A137" s="21"/>
      <c r="B137" s="21"/>
      <c r="C137" s="21"/>
      <c r="D137" s="21"/>
      <c r="E137" s="21"/>
      <c r="F137" s="21"/>
      <c r="G137" s="21"/>
      <c r="H137" s="21"/>
      <c r="I137" s="55">
        <f>J130+J131+J133+J134+J135</f>
        <v>1557.48</v>
      </c>
      <c r="J137" s="55"/>
      <c r="K137" s="22">
        <f>IF(Source!I101&lt;&gt;0, ROUND(I137/Source!I101, 2), 0)</f>
        <v>10383.200000000001</v>
      </c>
      <c r="P137" s="20">
        <f>I137</f>
        <v>1557.48</v>
      </c>
    </row>
    <row r="138" spans="1:22" ht="42.75" x14ac:dyDescent="0.2">
      <c r="A138" s="14" t="str">
        <f>Source!E103</f>
        <v>16</v>
      </c>
      <c r="B138" s="15" t="str">
        <f>Source!F103</f>
        <v>1.5-3304-1-3/1</v>
      </c>
      <c r="C138" s="15" t="str">
        <f>Source!G103</f>
        <v>Разборка каркаса из бревен каркасно-обшивных стен (разборка деревянных элементов МАФ) =(6*1+4*1+8)/100</v>
      </c>
      <c r="D138" s="16" t="str">
        <f>Source!H103</f>
        <v>100 м2</v>
      </c>
      <c r="E138" s="2">
        <f>Source!I103</f>
        <v>0.18</v>
      </c>
      <c r="F138" s="18"/>
      <c r="G138" s="17"/>
      <c r="H138" s="2"/>
      <c r="I138" s="2"/>
      <c r="J138" s="19"/>
      <c r="K138" s="19"/>
      <c r="Q138">
        <f>ROUND((Source!BZ103/100)*ROUND((Source!AF103*Source!AV103)*Source!I103, 2), 2)</f>
        <v>1166.9100000000001</v>
      </c>
      <c r="R138">
        <f>Source!X103</f>
        <v>1166.9100000000001</v>
      </c>
      <c r="S138">
        <f>ROUND((Source!CA103/100)*ROUND((Source!AF103*Source!AV103)*Source!I103, 2), 2)</f>
        <v>166.7</v>
      </c>
      <c r="T138">
        <f>Source!Y103</f>
        <v>166.7</v>
      </c>
      <c r="U138">
        <f>ROUND((175/100)*ROUND((Source!AE103*Source!AV103)*Source!I103, 2), 2)</f>
        <v>0.09</v>
      </c>
      <c r="V138">
        <f>ROUND((108/100)*ROUND(Source!CS103*Source!I103, 2), 2)</f>
        <v>0.05</v>
      </c>
    </row>
    <row r="139" spans="1:22" ht="14.25" x14ac:dyDescent="0.2">
      <c r="A139" s="14"/>
      <c r="B139" s="15"/>
      <c r="C139" s="15" t="s">
        <v>989</v>
      </c>
      <c r="D139" s="16"/>
      <c r="E139" s="2"/>
      <c r="F139" s="18">
        <f>Source!AO103</f>
        <v>9261.2199999999993</v>
      </c>
      <c r="G139" s="17" t="str">
        <f>Source!DG103</f>
        <v/>
      </c>
      <c r="H139" s="2">
        <f>Source!AV103</f>
        <v>1</v>
      </c>
      <c r="I139" s="2">
        <f>IF(Source!BA103&lt;&gt; 0, Source!BA103, 1)</f>
        <v>1</v>
      </c>
      <c r="J139" s="19">
        <f>Source!S103</f>
        <v>1667.02</v>
      </c>
      <c r="K139" s="19"/>
    </row>
    <row r="140" spans="1:22" ht="14.25" x14ac:dyDescent="0.2">
      <c r="A140" s="14"/>
      <c r="B140" s="15"/>
      <c r="C140" s="15" t="s">
        <v>995</v>
      </c>
      <c r="D140" s="16"/>
      <c r="E140" s="2"/>
      <c r="F140" s="18">
        <f>Source!AM103</f>
        <v>50.93</v>
      </c>
      <c r="G140" s="17" t="str">
        <f>Source!DE103</f>
        <v/>
      </c>
      <c r="H140" s="2">
        <f>Source!AV103</f>
        <v>1</v>
      </c>
      <c r="I140" s="2">
        <f>IF(Source!BB103&lt;&gt; 0, Source!BB103, 1)</f>
        <v>1</v>
      </c>
      <c r="J140" s="19">
        <f>Source!Q103</f>
        <v>9.17</v>
      </c>
      <c r="K140" s="19"/>
    </row>
    <row r="141" spans="1:22" ht="14.25" x14ac:dyDescent="0.2">
      <c r="A141" s="14"/>
      <c r="B141" s="15"/>
      <c r="C141" s="15" t="s">
        <v>996</v>
      </c>
      <c r="D141" s="16"/>
      <c r="E141" s="2"/>
      <c r="F141" s="18">
        <f>Source!AN103</f>
        <v>0.27</v>
      </c>
      <c r="G141" s="17" t="str">
        <f>Source!DF103</f>
        <v/>
      </c>
      <c r="H141" s="2">
        <f>Source!AV103</f>
        <v>1</v>
      </c>
      <c r="I141" s="2">
        <f>IF(Source!BS103&lt;&gt; 0, Source!BS103, 1)</f>
        <v>1</v>
      </c>
      <c r="J141" s="23">
        <f>Source!R103</f>
        <v>0.05</v>
      </c>
      <c r="K141" s="19"/>
    </row>
    <row r="142" spans="1:22" ht="14.25" x14ac:dyDescent="0.2">
      <c r="A142" s="14"/>
      <c r="B142" s="15"/>
      <c r="C142" s="15" t="s">
        <v>990</v>
      </c>
      <c r="D142" s="16" t="s">
        <v>991</v>
      </c>
      <c r="E142" s="2">
        <f>Source!AT103</f>
        <v>70</v>
      </c>
      <c r="F142" s="18"/>
      <c r="G142" s="17"/>
      <c r="H142" s="2"/>
      <c r="I142" s="2"/>
      <c r="J142" s="19">
        <f>SUM(R138:R141)</f>
        <v>1166.9100000000001</v>
      </c>
      <c r="K142" s="19"/>
    </row>
    <row r="143" spans="1:22" ht="14.25" x14ac:dyDescent="0.2">
      <c r="A143" s="14"/>
      <c r="B143" s="15"/>
      <c r="C143" s="15" t="s">
        <v>992</v>
      </c>
      <c r="D143" s="16" t="s">
        <v>991</v>
      </c>
      <c r="E143" s="2">
        <f>Source!AU103</f>
        <v>10</v>
      </c>
      <c r="F143" s="18"/>
      <c r="G143" s="17"/>
      <c r="H143" s="2"/>
      <c r="I143" s="2"/>
      <c r="J143" s="19">
        <f>SUM(T138:T142)</f>
        <v>166.7</v>
      </c>
      <c r="K143" s="19"/>
    </row>
    <row r="144" spans="1:22" ht="14.25" x14ac:dyDescent="0.2">
      <c r="A144" s="14"/>
      <c r="B144" s="15"/>
      <c r="C144" s="15" t="s">
        <v>997</v>
      </c>
      <c r="D144" s="16" t="s">
        <v>991</v>
      </c>
      <c r="E144" s="2">
        <f>108</f>
        <v>108</v>
      </c>
      <c r="F144" s="18"/>
      <c r="G144" s="17"/>
      <c r="H144" s="2"/>
      <c r="I144" s="2"/>
      <c r="J144" s="19">
        <f>SUM(V138:V143)</f>
        <v>0.05</v>
      </c>
      <c r="K144" s="19"/>
    </row>
    <row r="145" spans="1:22" ht="14.25" x14ac:dyDescent="0.2">
      <c r="A145" s="14"/>
      <c r="B145" s="15"/>
      <c r="C145" s="15" t="s">
        <v>993</v>
      </c>
      <c r="D145" s="16" t="s">
        <v>994</v>
      </c>
      <c r="E145" s="2">
        <f>Source!AQ103</f>
        <v>63.52</v>
      </c>
      <c r="F145" s="18"/>
      <c r="G145" s="17" t="str">
        <f>Source!DI103</f>
        <v/>
      </c>
      <c r="H145" s="2">
        <f>Source!AV103</f>
        <v>1</v>
      </c>
      <c r="I145" s="2"/>
      <c r="J145" s="19"/>
      <c r="K145" s="19">
        <f>Source!U103</f>
        <v>11.4336</v>
      </c>
    </row>
    <row r="146" spans="1:22" ht="15" x14ac:dyDescent="0.25">
      <c r="A146" s="21"/>
      <c r="B146" s="21"/>
      <c r="C146" s="21"/>
      <c r="D146" s="21"/>
      <c r="E146" s="21"/>
      <c r="F146" s="21"/>
      <c r="G146" s="21"/>
      <c r="H146" s="21"/>
      <c r="I146" s="55">
        <f>J139+J140+J142+J143+J144</f>
        <v>3009.8500000000004</v>
      </c>
      <c r="J146" s="55"/>
      <c r="K146" s="22">
        <f>IF(Source!I103&lt;&gt;0, ROUND(I146/Source!I103, 2), 0)</f>
        <v>16721.39</v>
      </c>
      <c r="P146" s="20">
        <f>I146</f>
        <v>3009.8500000000004</v>
      </c>
    </row>
    <row r="147" spans="1:22" ht="28.5" x14ac:dyDescent="0.2">
      <c r="A147" s="14" t="str">
        <f>Source!E115</f>
        <v>17</v>
      </c>
      <c r="B147" s="15" t="str">
        <f>Source!F115</f>
        <v>2.1-3104-1-5/1</v>
      </c>
      <c r="C147" s="15" t="str">
        <f>Source!G115</f>
        <v>Разборка покрытий и оснований цементобетонных</v>
      </c>
      <c r="D147" s="16" t="str">
        <f>Source!H115</f>
        <v>100 м3</v>
      </c>
      <c r="E147" s="2">
        <f>Source!I115</f>
        <v>2.4E-2</v>
      </c>
      <c r="F147" s="18"/>
      <c r="G147" s="17"/>
      <c r="H147" s="2"/>
      <c r="I147" s="2"/>
      <c r="J147" s="19"/>
      <c r="K147" s="19"/>
      <c r="Q147">
        <f>ROUND((Source!BZ115/100)*ROUND((Source!AF115*Source!AV115)*Source!I115, 2), 2)</f>
        <v>204.82</v>
      </c>
      <c r="R147">
        <f>Source!X115</f>
        <v>204.82</v>
      </c>
      <c r="S147">
        <f>ROUND((Source!CA115/100)*ROUND((Source!AF115*Source!AV115)*Source!I115, 2), 2)</f>
        <v>29.26</v>
      </c>
      <c r="T147">
        <f>Source!Y115</f>
        <v>29.26</v>
      </c>
      <c r="U147">
        <f>ROUND((175/100)*ROUND((Source!AE115*Source!AV115)*Source!I115, 2), 2)</f>
        <v>202.18</v>
      </c>
      <c r="V147">
        <f>ROUND((108/100)*ROUND(Source!CS115*Source!I115, 2), 2)</f>
        <v>124.77</v>
      </c>
    </row>
    <row r="148" spans="1:22" ht="14.25" x14ac:dyDescent="0.2">
      <c r="A148" s="14"/>
      <c r="B148" s="15"/>
      <c r="C148" s="15" t="s">
        <v>989</v>
      </c>
      <c r="D148" s="16"/>
      <c r="E148" s="2"/>
      <c r="F148" s="18">
        <f>Source!AO115</f>
        <v>12191.85</v>
      </c>
      <c r="G148" s="17" t="str">
        <f>Source!DG115</f>
        <v/>
      </c>
      <c r="H148" s="2">
        <f>Source!AV115</f>
        <v>1</v>
      </c>
      <c r="I148" s="2">
        <f>IF(Source!BA115&lt;&gt; 0, Source!BA115, 1)</f>
        <v>1</v>
      </c>
      <c r="J148" s="19">
        <f>Source!S115</f>
        <v>292.60000000000002</v>
      </c>
      <c r="K148" s="19"/>
    </row>
    <row r="149" spans="1:22" ht="14.25" x14ac:dyDescent="0.2">
      <c r="A149" s="14"/>
      <c r="B149" s="15"/>
      <c r="C149" s="15" t="s">
        <v>995</v>
      </c>
      <c r="D149" s="16"/>
      <c r="E149" s="2"/>
      <c r="F149" s="18">
        <f>Source!AM115</f>
        <v>14492.21</v>
      </c>
      <c r="G149" s="17" t="str">
        <f>Source!DE115</f>
        <v/>
      </c>
      <c r="H149" s="2">
        <f>Source!AV115</f>
        <v>1</v>
      </c>
      <c r="I149" s="2">
        <f>IF(Source!BB115&lt;&gt; 0, Source!BB115, 1)</f>
        <v>1</v>
      </c>
      <c r="J149" s="19">
        <f>Source!Q115</f>
        <v>347.81</v>
      </c>
      <c r="K149" s="19"/>
    </row>
    <row r="150" spans="1:22" ht="14.25" x14ac:dyDescent="0.2">
      <c r="A150" s="14"/>
      <c r="B150" s="15"/>
      <c r="C150" s="15" t="s">
        <v>996</v>
      </c>
      <c r="D150" s="16"/>
      <c r="E150" s="2"/>
      <c r="F150" s="18">
        <f>Source!AN115</f>
        <v>4813.8999999999996</v>
      </c>
      <c r="G150" s="17" t="str">
        <f>Source!DF115</f>
        <v/>
      </c>
      <c r="H150" s="2">
        <f>Source!AV115</f>
        <v>1</v>
      </c>
      <c r="I150" s="2">
        <f>IF(Source!BS115&lt;&gt; 0, Source!BS115, 1)</f>
        <v>1</v>
      </c>
      <c r="J150" s="23">
        <f>Source!R115</f>
        <v>115.53</v>
      </c>
      <c r="K150" s="19"/>
    </row>
    <row r="151" spans="1:22" ht="14.25" x14ac:dyDescent="0.2">
      <c r="A151" s="14"/>
      <c r="B151" s="15"/>
      <c r="C151" s="15" t="s">
        <v>990</v>
      </c>
      <c r="D151" s="16" t="s">
        <v>991</v>
      </c>
      <c r="E151" s="2">
        <f>Source!AT115</f>
        <v>70</v>
      </c>
      <c r="F151" s="18"/>
      <c r="G151" s="17"/>
      <c r="H151" s="2"/>
      <c r="I151" s="2"/>
      <c r="J151" s="19">
        <f>SUM(R147:R150)</f>
        <v>204.82</v>
      </c>
      <c r="K151" s="19"/>
    </row>
    <row r="152" spans="1:22" ht="14.25" x14ac:dyDescent="0.2">
      <c r="A152" s="14"/>
      <c r="B152" s="15"/>
      <c r="C152" s="15" t="s">
        <v>992</v>
      </c>
      <c r="D152" s="16" t="s">
        <v>991</v>
      </c>
      <c r="E152" s="2">
        <f>Source!AU115</f>
        <v>10</v>
      </c>
      <c r="F152" s="18"/>
      <c r="G152" s="17"/>
      <c r="H152" s="2"/>
      <c r="I152" s="2"/>
      <c r="J152" s="19">
        <f>SUM(T147:T151)</f>
        <v>29.26</v>
      </c>
      <c r="K152" s="19"/>
    </row>
    <row r="153" spans="1:22" ht="14.25" x14ac:dyDescent="0.2">
      <c r="A153" s="14"/>
      <c r="B153" s="15"/>
      <c r="C153" s="15" t="s">
        <v>997</v>
      </c>
      <c r="D153" s="16" t="s">
        <v>991</v>
      </c>
      <c r="E153" s="2">
        <f>108</f>
        <v>108</v>
      </c>
      <c r="F153" s="18"/>
      <c r="G153" s="17"/>
      <c r="H153" s="2"/>
      <c r="I153" s="2"/>
      <c r="J153" s="19">
        <f>SUM(V147:V152)</f>
        <v>124.77</v>
      </c>
      <c r="K153" s="19"/>
    </row>
    <row r="154" spans="1:22" ht="14.25" x14ac:dyDescent="0.2">
      <c r="A154" s="14"/>
      <c r="B154" s="15"/>
      <c r="C154" s="15" t="s">
        <v>993</v>
      </c>
      <c r="D154" s="16" t="s">
        <v>994</v>
      </c>
      <c r="E154" s="2">
        <f>Source!AQ115</f>
        <v>49.5</v>
      </c>
      <c r="F154" s="18"/>
      <c r="G154" s="17" t="str">
        <f>Source!DI115</f>
        <v/>
      </c>
      <c r="H154" s="2">
        <f>Source!AV115</f>
        <v>1</v>
      </c>
      <c r="I154" s="2"/>
      <c r="J154" s="19"/>
      <c r="K154" s="19">
        <f>Source!U115</f>
        <v>1.1879999999999999</v>
      </c>
    </row>
    <row r="155" spans="1:22" ht="15" x14ac:dyDescent="0.25">
      <c r="A155" s="21"/>
      <c r="B155" s="21"/>
      <c r="C155" s="21"/>
      <c r="D155" s="21"/>
      <c r="E155" s="21"/>
      <c r="F155" s="21"/>
      <c r="G155" s="21"/>
      <c r="H155" s="21"/>
      <c r="I155" s="55">
        <f>J148+J149+J151+J152+J153</f>
        <v>999.26</v>
      </c>
      <c r="J155" s="55"/>
      <c r="K155" s="22">
        <f>IF(Source!I115&lt;&gt;0, ROUND(I155/Source!I115, 2), 0)</f>
        <v>41635.83</v>
      </c>
      <c r="P155" s="20">
        <f>I155</f>
        <v>999.26</v>
      </c>
    </row>
    <row r="156" spans="1:22" ht="42.75" x14ac:dyDescent="0.2">
      <c r="A156" s="14" t="str">
        <f>Source!E116</f>
        <v>18</v>
      </c>
      <c r="B156" s="15" t="str">
        <f>Source!F116</f>
        <v>1.49-9101-7-1/1</v>
      </c>
      <c r="C156" s="15" t="str">
        <f>Source!G116</f>
        <v>Механизированная погрузка строительного мусора в автомобили-самосвалы</v>
      </c>
      <c r="D156" s="16" t="str">
        <f>Source!H116</f>
        <v>т</v>
      </c>
      <c r="E156" s="2">
        <f>Source!I116</f>
        <v>5.9238</v>
      </c>
      <c r="F156" s="18"/>
      <c r="G156" s="17"/>
      <c r="H156" s="2"/>
      <c r="I156" s="2"/>
      <c r="J156" s="19"/>
      <c r="K156" s="19"/>
      <c r="Q156">
        <f>ROUND((Source!BZ116/100)*ROUND((Source!AF116*Source!AV116)*Source!I116, 2), 2)</f>
        <v>0</v>
      </c>
      <c r="R156">
        <f>Source!X116</f>
        <v>0</v>
      </c>
      <c r="S156">
        <f>ROUND((Source!CA116/100)*ROUND((Source!AF116*Source!AV116)*Source!I116, 2), 2)</f>
        <v>0</v>
      </c>
      <c r="T156">
        <f>Source!Y116</f>
        <v>0</v>
      </c>
      <c r="U156">
        <f>ROUND((175/100)*ROUND((Source!AE116*Source!AV116)*Source!I116, 2), 2)</f>
        <v>267.87</v>
      </c>
      <c r="V156">
        <f>ROUND((108/100)*ROUND(Source!CS116*Source!I116, 2), 2)</f>
        <v>165.32</v>
      </c>
    </row>
    <row r="157" spans="1:22" ht="14.25" x14ac:dyDescent="0.2">
      <c r="A157" s="14"/>
      <c r="B157" s="15"/>
      <c r="C157" s="15" t="s">
        <v>995</v>
      </c>
      <c r="D157" s="16"/>
      <c r="E157" s="2"/>
      <c r="F157" s="18">
        <f>Source!AM116</f>
        <v>80.25</v>
      </c>
      <c r="G157" s="17" t="str">
        <f>Source!DE116</f>
        <v/>
      </c>
      <c r="H157" s="2">
        <f>Source!AV116</f>
        <v>1</v>
      </c>
      <c r="I157" s="2">
        <f>IF(Source!BB116&lt;&gt; 0, Source!BB116, 1)</f>
        <v>1</v>
      </c>
      <c r="J157" s="19">
        <f>Source!Q116</f>
        <v>475.38</v>
      </c>
      <c r="K157" s="19"/>
    </row>
    <row r="158" spans="1:22" ht="14.25" x14ac:dyDescent="0.2">
      <c r="A158" s="14"/>
      <c r="B158" s="15"/>
      <c r="C158" s="15" t="s">
        <v>996</v>
      </c>
      <c r="D158" s="16"/>
      <c r="E158" s="2"/>
      <c r="F158" s="18">
        <f>Source!AN116</f>
        <v>25.84</v>
      </c>
      <c r="G158" s="17" t="str">
        <f>Source!DF116</f>
        <v/>
      </c>
      <c r="H158" s="2">
        <f>Source!AV116</f>
        <v>1</v>
      </c>
      <c r="I158" s="2">
        <f>IF(Source!BS116&lt;&gt; 0, Source!BS116, 1)</f>
        <v>1</v>
      </c>
      <c r="J158" s="23">
        <f>Source!R116</f>
        <v>153.07</v>
      </c>
      <c r="K158" s="19"/>
    </row>
    <row r="159" spans="1:22" ht="14.25" x14ac:dyDescent="0.2">
      <c r="A159" s="14"/>
      <c r="B159" s="15"/>
      <c r="C159" s="15" t="s">
        <v>997</v>
      </c>
      <c r="D159" s="16" t="s">
        <v>991</v>
      </c>
      <c r="E159" s="2">
        <f>108</f>
        <v>108</v>
      </c>
      <c r="F159" s="18"/>
      <c r="G159" s="17"/>
      <c r="H159" s="2"/>
      <c r="I159" s="2"/>
      <c r="J159" s="19">
        <f>SUM(V156:V158)</f>
        <v>165.32</v>
      </c>
      <c r="K159" s="19"/>
    </row>
    <row r="160" spans="1:22" ht="15" x14ac:dyDescent="0.25">
      <c r="A160" s="21"/>
      <c r="B160" s="21"/>
      <c r="C160" s="21"/>
      <c r="D160" s="21"/>
      <c r="E160" s="21"/>
      <c r="F160" s="21"/>
      <c r="G160" s="21"/>
      <c r="H160" s="21"/>
      <c r="I160" s="55">
        <f>J157+J159</f>
        <v>640.70000000000005</v>
      </c>
      <c r="J160" s="55"/>
      <c r="K160" s="22">
        <f>IF(Source!I116&lt;&gt;0, ROUND(I160/Source!I116, 2), 0)</f>
        <v>108.16</v>
      </c>
      <c r="P160" s="20">
        <f>I160</f>
        <v>640.70000000000005</v>
      </c>
    </row>
    <row r="161" spans="1:22" ht="42.75" x14ac:dyDescent="0.2">
      <c r="A161" s="14" t="str">
        <f>Source!E117</f>
        <v>19</v>
      </c>
      <c r="B161" s="15" t="str">
        <f>Source!F117</f>
        <v>1.50-3305-4-1/1</v>
      </c>
      <c r="C161" s="15" t="str">
        <f>Source!G117</f>
        <v>Погрузка и выгрузка вручную строительного мусора на транспортные средства</v>
      </c>
      <c r="D161" s="16" t="str">
        <f>Source!H117</f>
        <v>т</v>
      </c>
      <c r="E161" s="2">
        <f>Source!I117</f>
        <v>0.65820000000000001</v>
      </c>
      <c r="F161" s="18"/>
      <c r="G161" s="17"/>
      <c r="H161" s="2"/>
      <c r="I161" s="2"/>
      <c r="J161" s="19"/>
      <c r="K161" s="19"/>
      <c r="Q161">
        <f>ROUND((Source!BZ117/100)*ROUND((Source!AF117*Source!AV117)*Source!I117, 2), 2)</f>
        <v>57.55</v>
      </c>
      <c r="R161">
        <f>Source!X117</f>
        <v>57.55</v>
      </c>
      <c r="S161">
        <f>ROUND((Source!CA117/100)*ROUND((Source!AF117*Source!AV117)*Source!I117, 2), 2)</f>
        <v>8.2200000000000006</v>
      </c>
      <c r="T161">
        <f>Source!Y117</f>
        <v>8.2200000000000006</v>
      </c>
      <c r="U161">
        <f>ROUND((175/100)*ROUND((Source!AE117*Source!AV117)*Source!I117, 2), 2)</f>
        <v>0</v>
      </c>
      <c r="V161">
        <f>ROUND((108/100)*ROUND(Source!CS117*Source!I117, 2), 2)</f>
        <v>0</v>
      </c>
    </row>
    <row r="162" spans="1:22" ht="14.25" x14ac:dyDescent="0.2">
      <c r="A162" s="14"/>
      <c r="B162" s="15"/>
      <c r="C162" s="15" t="s">
        <v>989</v>
      </c>
      <c r="D162" s="16"/>
      <c r="E162" s="2"/>
      <c r="F162" s="18">
        <f>Source!AO117</f>
        <v>124.9</v>
      </c>
      <c r="G162" s="17" t="str">
        <f>Source!DG117</f>
        <v/>
      </c>
      <c r="H162" s="2">
        <f>Source!AV117</f>
        <v>1</v>
      </c>
      <c r="I162" s="2">
        <f>IF(Source!BA117&lt;&gt; 0, Source!BA117, 1)</f>
        <v>1</v>
      </c>
      <c r="J162" s="19">
        <f>Source!S117</f>
        <v>82.21</v>
      </c>
      <c r="K162" s="19"/>
    </row>
    <row r="163" spans="1:22" ht="14.25" x14ac:dyDescent="0.2">
      <c r="A163" s="14"/>
      <c r="B163" s="15"/>
      <c r="C163" s="15" t="s">
        <v>990</v>
      </c>
      <c r="D163" s="16" t="s">
        <v>991</v>
      </c>
      <c r="E163" s="2">
        <f>Source!AT117</f>
        <v>70</v>
      </c>
      <c r="F163" s="18"/>
      <c r="G163" s="17"/>
      <c r="H163" s="2"/>
      <c r="I163" s="2"/>
      <c r="J163" s="19">
        <f>SUM(R161:R162)</f>
        <v>57.55</v>
      </c>
      <c r="K163" s="19"/>
    </row>
    <row r="164" spans="1:22" ht="14.25" x14ac:dyDescent="0.2">
      <c r="A164" s="14"/>
      <c r="B164" s="15"/>
      <c r="C164" s="15" t="s">
        <v>992</v>
      </c>
      <c r="D164" s="16" t="s">
        <v>991</v>
      </c>
      <c r="E164" s="2">
        <f>Source!AU117</f>
        <v>10</v>
      </c>
      <c r="F164" s="18"/>
      <c r="G164" s="17"/>
      <c r="H164" s="2"/>
      <c r="I164" s="2"/>
      <c r="J164" s="19">
        <f>SUM(T161:T163)</f>
        <v>8.2200000000000006</v>
      </c>
      <c r="K164" s="19"/>
    </row>
    <row r="165" spans="1:22" ht="14.25" x14ac:dyDescent="0.2">
      <c r="A165" s="14"/>
      <c r="B165" s="15"/>
      <c r="C165" s="15" t="s">
        <v>993</v>
      </c>
      <c r="D165" s="16" t="s">
        <v>994</v>
      </c>
      <c r="E165" s="2">
        <f>Source!AQ117</f>
        <v>1.02</v>
      </c>
      <c r="F165" s="18"/>
      <c r="G165" s="17" t="str">
        <f>Source!DI117</f>
        <v/>
      </c>
      <c r="H165" s="2">
        <f>Source!AV117</f>
        <v>1</v>
      </c>
      <c r="I165" s="2"/>
      <c r="J165" s="19"/>
      <c r="K165" s="19">
        <f>Source!U117</f>
        <v>0.67136400000000007</v>
      </c>
    </row>
    <row r="166" spans="1:22" ht="15" x14ac:dyDescent="0.25">
      <c r="A166" s="21"/>
      <c r="B166" s="21"/>
      <c r="C166" s="21"/>
      <c r="D166" s="21"/>
      <c r="E166" s="21"/>
      <c r="F166" s="21"/>
      <c r="G166" s="21"/>
      <c r="H166" s="21"/>
      <c r="I166" s="55">
        <f>J162+J163+J164</f>
        <v>147.97999999999999</v>
      </c>
      <c r="J166" s="55"/>
      <c r="K166" s="22">
        <f>IF(Source!I117&lt;&gt;0, ROUND(I166/Source!I117, 2), 0)</f>
        <v>224.83</v>
      </c>
      <c r="P166" s="20">
        <f>I166</f>
        <v>147.97999999999999</v>
      </c>
    </row>
    <row r="167" spans="1:22" ht="57" x14ac:dyDescent="0.2">
      <c r="A167" s="14" t="str">
        <f>Source!E118</f>
        <v>20</v>
      </c>
      <c r="B167" s="15" t="str">
        <f>Source!F118</f>
        <v>1.49-9201-1-2/1</v>
      </c>
      <c r="C167" s="15" t="str">
        <f>Source!G118</f>
        <v>Перевозка строительного мусора автосамосвалами грузоподъемностью до 10 т на расстояние 1 км - при механизированной погрузке</v>
      </c>
      <c r="D167" s="16" t="str">
        <f>Source!H118</f>
        <v>т</v>
      </c>
      <c r="E167" s="2">
        <f>Source!I118</f>
        <v>5.9238</v>
      </c>
      <c r="F167" s="18"/>
      <c r="G167" s="17"/>
      <c r="H167" s="2"/>
      <c r="I167" s="2"/>
      <c r="J167" s="19"/>
      <c r="K167" s="19"/>
      <c r="Q167">
        <f>ROUND((Source!BZ118/100)*ROUND((Source!AF118*Source!AV118)*Source!I118, 2), 2)</f>
        <v>0</v>
      </c>
      <c r="R167">
        <f>Source!X118</f>
        <v>0</v>
      </c>
      <c r="S167">
        <f>ROUND((Source!CA118/100)*ROUND((Source!AF118*Source!AV118)*Source!I118, 2), 2)</f>
        <v>0</v>
      </c>
      <c r="T167">
        <f>Source!Y118</f>
        <v>0</v>
      </c>
      <c r="U167">
        <f>ROUND((175/100)*ROUND((Source!AE118*Source!AV118)*Source!I118, 2), 2)</f>
        <v>325.92</v>
      </c>
      <c r="V167">
        <f>ROUND((108/100)*ROUND(Source!CS118*Source!I118, 2), 2)</f>
        <v>201.14</v>
      </c>
    </row>
    <row r="168" spans="1:22" ht="14.25" x14ac:dyDescent="0.2">
      <c r="A168" s="14"/>
      <c r="B168" s="15"/>
      <c r="C168" s="15" t="s">
        <v>995</v>
      </c>
      <c r="D168" s="16"/>
      <c r="E168" s="2"/>
      <c r="F168" s="18">
        <f>Source!AM118</f>
        <v>57.83</v>
      </c>
      <c r="G168" s="17" t="str">
        <f>Source!DE118</f>
        <v/>
      </c>
      <c r="H168" s="2">
        <f>Source!AV118</f>
        <v>1</v>
      </c>
      <c r="I168" s="2">
        <f>IF(Source!BB118&lt;&gt; 0, Source!BB118, 1)</f>
        <v>1</v>
      </c>
      <c r="J168" s="19">
        <f>Source!Q118</f>
        <v>342.57</v>
      </c>
      <c r="K168" s="19"/>
    </row>
    <row r="169" spans="1:22" ht="14.25" x14ac:dyDescent="0.2">
      <c r="A169" s="14"/>
      <c r="B169" s="15"/>
      <c r="C169" s="15" t="s">
        <v>996</v>
      </c>
      <c r="D169" s="16"/>
      <c r="E169" s="2"/>
      <c r="F169" s="18">
        <f>Source!AN118</f>
        <v>31.44</v>
      </c>
      <c r="G169" s="17" t="str">
        <f>Source!DF118</f>
        <v/>
      </c>
      <c r="H169" s="2">
        <f>Source!AV118</f>
        <v>1</v>
      </c>
      <c r="I169" s="2">
        <f>IF(Source!BS118&lt;&gt; 0, Source!BS118, 1)</f>
        <v>1</v>
      </c>
      <c r="J169" s="23">
        <f>Source!R118</f>
        <v>186.24</v>
      </c>
      <c r="K169" s="19"/>
    </row>
    <row r="170" spans="1:22" ht="15" x14ac:dyDescent="0.25">
      <c r="A170" s="21"/>
      <c r="B170" s="21"/>
      <c r="C170" s="21"/>
      <c r="D170" s="21"/>
      <c r="E170" s="21"/>
      <c r="F170" s="21"/>
      <c r="G170" s="21"/>
      <c r="H170" s="21"/>
      <c r="I170" s="55">
        <f>J168</f>
        <v>342.57</v>
      </c>
      <c r="J170" s="55"/>
      <c r="K170" s="22">
        <f>IF(Source!I118&lt;&gt;0, ROUND(I170/Source!I118, 2), 0)</f>
        <v>57.83</v>
      </c>
      <c r="P170" s="20">
        <f>I170</f>
        <v>342.57</v>
      </c>
    </row>
    <row r="171" spans="1:22" ht="57" x14ac:dyDescent="0.2">
      <c r="A171" s="14" t="str">
        <f>Source!E119</f>
        <v>21</v>
      </c>
      <c r="B171" s="15" t="str">
        <f>Source!F119</f>
        <v>1.49-9201-1-1/1</v>
      </c>
      <c r="C171" s="15" t="str">
        <f>Source!G119</f>
        <v>Перевозка строительного мусора автосамосвалами грузоподъемностью до 10 т на расстояние 1 км - при погрузке вручную</v>
      </c>
      <c r="D171" s="16" t="str">
        <f>Source!H119</f>
        <v>т</v>
      </c>
      <c r="E171" s="2">
        <f>Source!I119</f>
        <v>0.65820000000000001</v>
      </c>
      <c r="F171" s="18"/>
      <c r="G171" s="17"/>
      <c r="H171" s="2"/>
      <c r="I171" s="2"/>
      <c r="J171" s="19"/>
      <c r="K171" s="19"/>
      <c r="Q171">
        <f>ROUND((Source!BZ119/100)*ROUND((Source!AF119*Source!AV119)*Source!I119, 2), 2)</f>
        <v>0</v>
      </c>
      <c r="R171">
        <f>Source!X119</f>
        <v>0</v>
      </c>
      <c r="S171">
        <f>ROUND((Source!CA119/100)*ROUND((Source!AF119*Source!AV119)*Source!I119, 2), 2)</f>
        <v>0</v>
      </c>
      <c r="T171">
        <f>Source!Y119</f>
        <v>0</v>
      </c>
      <c r="U171">
        <f>ROUND((175/100)*ROUND((Source!AE119*Source!AV119)*Source!I119, 2), 2)</f>
        <v>103.88</v>
      </c>
      <c r="V171">
        <f>ROUND((108/100)*ROUND(Source!CS119*Source!I119, 2), 2)</f>
        <v>64.11</v>
      </c>
    </row>
    <row r="172" spans="1:22" ht="14.25" x14ac:dyDescent="0.2">
      <c r="A172" s="14"/>
      <c r="B172" s="15"/>
      <c r="C172" s="15" t="s">
        <v>995</v>
      </c>
      <c r="D172" s="16"/>
      <c r="E172" s="2"/>
      <c r="F172" s="18">
        <f>Source!AM119</f>
        <v>165.91</v>
      </c>
      <c r="G172" s="17" t="str">
        <f>Source!DE119</f>
        <v/>
      </c>
      <c r="H172" s="2">
        <f>Source!AV119</f>
        <v>1</v>
      </c>
      <c r="I172" s="2">
        <f>IF(Source!BB119&lt;&gt; 0, Source!BB119, 1)</f>
        <v>1</v>
      </c>
      <c r="J172" s="19">
        <f>Source!Q119</f>
        <v>109.2</v>
      </c>
      <c r="K172" s="19"/>
    </row>
    <row r="173" spans="1:22" ht="14.25" x14ac:dyDescent="0.2">
      <c r="A173" s="14"/>
      <c r="B173" s="15"/>
      <c r="C173" s="15" t="s">
        <v>996</v>
      </c>
      <c r="D173" s="16"/>
      <c r="E173" s="2"/>
      <c r="F173" s="18">
        <f>Source!AN119</f>
        <v>90.18</v>
      </c>
      <c r="G173" s="17" t="str">
        <f>Source!DF119</f>
        <v/>
      </c>
      <c r="H173" s="2">
        <f>Source!AV119</f>
        <v>1</v>
      </c>
      <c r="I173" s="2">
        <f>IF(Source!BS119&lt;&gt; 0, Source!BS119, 1)</f>
        <v>1</v>
      </c>
      <c r="J173" s="23">
        <f>Source!R119</f>
        <v>59.36</v>
      </c>
      <c r="K173" s="19"/>
    </row>
    <row r="174" spans="1:22" ht="15" x14ac:dyDescent="0.25">
      <c r="A174" s="21"/>
      <c r="B174" s="21"/>
      <c r="C174" s="21"/>
      <c r="D174" s="21"/>
      <c r="E174" s="21"/>
      <c r="F174" s="21"/>
      <c r="G174" s="21"/>
      <c r="H174" s="21"/>
      <c r="I174" s="55">
        <f>J172</f>
        <v>109.2</v>
      </c>
      <c r="J174" s="55"/>
      <c r="K174" s="22">
        <f>IF(Source!I119&lt;&gt;0, ROUND(I174/Source!I119, 2), 0)</f>
        <v>165.91</v>
      </c>
      <c r="P174" s="20">
        <f>I174</f>
        <v>109.2</v>
      </c>
    </row>
    <row r="175" spans="1:22" ht="114" x14ac:dyDescent="0.2">
      <c r="A175" s="14" t="str">
        <f>Source!E120</f>
        <v>22</v>
      </c>
      <c r="B175" s="15" t="str">
        <f>Source!F120</f>
        <v>1.49-9201-1-3/1</v>
      </c>
      <c r="C175" s="15" t="str">
        <f>Source!G120</f>
        <v>Перевозка строительного мусора автосамосвалами грузоподъемностью до 10 т - добавляется на каждый последующий 1 км до 100 км к=42 до 43 км =МЕ(0,232т+0,15т)+дерево(0,3м3*0,8+(50кг+150кг)/1000)+бетон(0,024м3*100*2,4)</v>
      </c>
      <c r="D175" s="16" t="str">
        <f>Source!H120</f>
        <v>т</v>
      </c>
      <c r="E175" s="2">
        <f>Source!I120</f>
        <v>6.5819999999999999</v>
      </c>
      <c r="F175" s="18"/>
      <c r="G175" s="17"/>
      <c r="H175" s="2"/>
      <c r="I175" s="2"/>
      <c r="J175" s="19"/>
      <c r="K175" s="19"/>
      <c r="Q175">
        <f>ROUND((Source!BZ120/100)*ROUND((Source!AF120*Source!AV120)*Source!I120, 2), 2)</f>
        <v>0</v>
      </c>
      <c r="R175">
        <f>Source!X120</f>
        <v>0</v>
      </c>
      <c r="S175">
        <f>ROUND((Source!CA120/100)*ROUND((Source!AF120*Source!AV120)*Source!I120, 2), 2)</f>
        <v>0</v>
      </c>
      <c r="T175">
        <f>Source!Y120</f>
        <v>0</v>
      </c>
      <c r="U175">
        <f>ROUND((175/100)*ROUND((Source!AE120*Source!AV120)*Source!I120, 2), 2)</f>
        <v>7203.44</v>
      </c>
      <c r="V175">
        <f>ROUND((108/100)*ROUND(Source!CS120*Source!I120, 2), 2)</f>
        <v>4445.55</v>
      </c>
    </row>
    <row r="176" spans="1:22" ht="14.25" x14ac:dyDescent="0.2">
      <c r="A176" s="14"/>
      <c r="B176" s="15"/>
      <c r="C176" s="15" t="s">
        <v>995</v>
      </c>
      <c r="D176" s="16"/>
      <c r="E176" s="2"/>
      <c r="F176" s="18">
        <f>Source!AM120</f>
        <v>27.39</v>
      </c>
      <c r="G176" s="17" t="str">
        <f>Source!DE120</f>
        <v>)*42</v>
      </c>
      <c r="H176" s="2">
        <f>Source!AV120</f>
        <v>1</v>
      </c>
      <c r="I176" s="2">
        <f>IF(Source!BB120&lt;&gt; 0, Source!BB120, 1)</f>
        <v>1</v>
      </c>
      <c r="J176" s="19">
        <f>Source!Q120</f>
        <v>7571.8</v>
      </c>
      <c r="K176" s="19"/>
    </row>
    <row r="177" spans="1:22" ht="14.25" x14ac:dyDescent="0.2">
      <c r="A177" s="14"/>
      <c r="B177" s="15"/>
      <c r="C177" s="15" t="s">
        <v>996</v>
      </c>
      <c r="D177" s="16"/>
      <c r="E177" s="2"/>
      <c r="F177" s="18">
        <f>Source!AN120</f>
        <v>14.89</v>
      </c>
      <c r="G177" s="17" t="str">
        <f>Source!DF120</f>
        <v>)*42</v>
      </c>
      <c r="H177" s="2">
        <f>Source!AV120</f>
        <v>1</v>
      </c>
      <c r="I177" s="2">
        <f>IF(Source!BS120&lt;&gt; 0, Source!BS120, 1)</f>
        <v>1</v>
      </c>
      <c r="J177" s="23">
        <f>Source!R120</f>
        <v>4116.25</v>
      </c>
      <c r="K177" s="19"/>
    </row>
    <row r="178" spans="1:22" ht="15" x14ac:dyDescent="0.25">
      <c r="A178" s="21"/>
      <c r="B178" s="21"/>
      <c r="C178" s="21"/>
      <c r="D178" s="21"/>
      <c r="E178" s="21"/>
      <c r="F178" s="21"/>
      <c r="G178" s="21"/>
      <c r="H178" s="21"/>
      <c r="I178" s="55">
        <f>J176</f>
        <v>7571.8</v>
      </c>
      <c r="J178" s="55"/>
      <c r="K178" s="22">
        <f>IF(Source!I120&lt;&gt;0, ROUND(I178/Source!I120, 2), 0)</f>
        <v>1150.3800000000001</v>
      </c>
      <c r="P178" s="20">
        <f>I178</f>
        <v>7571.8</v>
      </c>
    </row>
    <row r="179" spans="1:22" ht="82.5" x14ac:dyDescent="0.2">
      <c r="A179" s="14" t="str">
        <f>Source!E121</f>
        <v>23</v>
      </c>
      <c r="B179" s="15" t="str">
        <f>Source!F121</f>
        <v>Цена поставщика</v>
      </c>
      <c r="C179" s="15" t="s">
        <v>999</v>
      </c>
      <c r="D179" s="16" t="str">
        <f>Source!H121</f>
        <v>т</v>
      </c>
      <c r="E179" s="2">
        <f>Source!I121</f>
        <v>6.2</v>
      </c>
      <c r="F179" s="18">
        <f>Source!AL121</f>
        <v>100.3</v>
      </c>
      <c r="G179" s="17" t="str">
        <f>Source!DD121</f>
        <v/>
      </c>
      <c r="H179" s="2">
        <f>Source!AW121</f>
        <v>1</v>
      </c>
      <c r="I179" s="2">
        <f>IF(Source!BC121&lt;&gt; 0, Source!BC121, 1)</f>
        <v>1</v>
      </c>
      <c r="J179" s="19">
        <f>Source!P121</f>
        <v>621.86</v>
      </c>
      <c r="K179" s="19"/>
      <c r="Q179">
        <f>ROUND((Source!BZ121/100)*ROUND(Source!AF121*Source!I121, 2), 2)</f>
        <v>0</v>
      </c>
      <c r="R179">
        <f>Source!X121</f>
        <v>0</v>
      </c>
      <c r="S179">
        <f>ROUND((Source!CA121/100)*ROUND(Source!AF121*Source!I121, 2), 2)</f>
        <v>0</v>
      </c>
      <c r="T179">
        <f>Source!Y121</f>
        <v>0</v>
      </c>
      <c r="U179">
        <f>ROUND((175/100)*ROUND(Source!AE121*Source!I121, 2), 2)</f>
        <v>0</v>
      </c>
      <c r="V179">
        <f>ROUND((108/100)*ROUND(Source!CS121*Source!I121, 2), 2)</f>
        <v>0</v>
      </c>
    </row>
    <row r="180" spans="1:22" ht="15" x14ac:dyDescent="0.25">
      <c r="A180" s="21"/>
      <c r="B180" s="21"/>
      <c r="C180" s="21"/>
      <c r="D180" s="21"/>
      <c r="E180" s="21"/>
      <c r="F180" s="21"/>
      <c r="G180" s="21"/>
      <c r="H180" s="21"/>
      <c r="I180" s="55">
        <f>J179</f>
        <v>621.86</v>
      </c>
      <c r="J180" s="55"/>
      <c r="K180" s="22">
        <f>IF(Source!I121&lt;&gt;0, ROUND(I180/Source!I121, 2), 0)</f>
        <v>100.3</v>
      </c>
      <c r="P180" s="20">
        <f>I180</f>
        <v>621.86</v>
      </c>
    </row>
    <row r="182" spans="1:22" ht="15" x14ac:dyDescent="0.25">
      <c r="A182" s="57" t="str">
        <f>CONCATENATE("Итого по разделу: ",IF(Source!G128&lt;&gt;"Новый раздел", Source!G128, ""))</f>
        <v>Итого по разделу: Демонтаж МАФ</v>
      </c>
      <c r="B182" s="57"/>
      <c r="C182" s="57"/>
      <c r="D182" s="57"/>
      <c r="E182" s="57"/>
      <c r="F182" s="57"/>
      <c r="G182" s="57"/>
      <c r="H182" s="57"/>
      <c r="I182" s="58">
        <f>SUM(P119:P181)</f>
        <v>17911.440000000002</v>
      </c>
      <c r="J182" s="59"/>
      <c r="K182" s="24"/>
    </row>
    <row r="185" spans="1:22" ht="16.5" x14ac:dyDescent="0.25">
      <c r="A185" s="56" t="str">
        <f>CONCATENATE("Раздел: ",IF(Source!G158&lt;&gt;"Новый раздел", Source!G158, ""))</f>
        <v>Раздел: Устройство покрытия из резиновой крошки  на детских площадках(ТИП I)</v>
      </c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spans="1:22" ht="42.75" x14ac:dyDescent="0.2">
      <c r="A186" s="14" t="str">
        <f>Source!E162</f>
        <v>24</v>
      </c>
      <c r="B186" s="15" t="str">
        <f>Source!F162</f>
        <v>2.1-3303-1-1/1</v>
      </c>
      <c r="C186" s="15" t="str">
        <f>Source!G162</f>
        <v>Устройство подстилающих и выравнивающих слоев оснований из песка (290м2*0,2м)</v>
      </c>
      <c r="D186" s="16" t="str">
        <f>Source!H162</f>
        <v>100 м3</v>
      </c>
      <c r="E186" s="2">
        <f>Source!I162</f>
        <v>0.57999999999999996</v>
      </c>
      <c r="F186" s="18"/>
      <c r="G186" s="17"/>
      <c r="H186" s="2"/>
      <c r="I186" s="2"/>
      <c r="J186" s="19"/>
      <c r="K186" s="19"/>
      <c r="Q186">
        <f>ROUND((Source!BZ162/100)*ROUND((Source!AF162*Source!AV162)*Source!I162, 2), 2)</f>
        <v>1258.4100000000001</v>
      </c>
      <c r="R186">
        <f>Source!X162</f>
        <v>1258.4100000000001</v>
      </c>
      <c r="S186">
        <f>ROUND((Source!CA162/100)*ROUND((Source!AF162*Source!AV162)*Source!I162, 2), 2)</f>
        <v>179.77</v>
      </c>
      <c r="T186">
        <f>Source!Y162</f>
        <v>179.77</v>
      </c>
      <c r="U186">
        <f>ROUND((175/100)*ROUND((Source!AE162*Source!AV162)*Source!I162, 2), 2)</f>
        <v>3271.33</v>
      </c>
      <c r="V186">
        <f>ROUND((108/100)*ROUND(Source!CS162*Source!I162, 2), 2)</f>
        <v>2018.88</v>
      </c>
    </row>
    <row r="187" spans="1:22" ht="14.25" x14ac:dyDescent="0.2">
      <c r="A187" s="14"/>
      <c r="B187" s="15"/>
      <c r="C187" s="15" t="s">
        <v>989</v>
      </c>
      <c r="D187" s="16"/>
      <c r="E187" s="2"/>
      <c r="F187" s="18">
        <f>Source!AO162</f>
        <v>3099.54</v>
      </c>
      <c r="G187" s="17" t="str">
        <f>Source!DG162</f>
        <v/>
      </c>
      <c r="H187" s="2">
        <f>Source!AV162</f>
        <v>1</v>
      </c>
      <c r="I187" s="2">
        <f>IF(Source!BA162&lt;&gt; 0, Source!BA162, 1)</f>
        <v>1</v>
      </c>
      <c r="J187" s="19">
        <f>Source!S162</f>
        <v>1797.73</v>
      </c>
      <c r="K187" s="19"/>
    </row>
    <row r="188" spans="1:22" ht="14.25" x14ac:dyDescent="0.2">
      <c r="A188" s="14"/>
      <c r="B188" s="15"/>
      <c r="C188" s="15" t="s">
        <v>995</v>
      </c>
      <c r="D188" s="16"/>
      <c r="E188" s="2"/>
      <c r="F188" s="18">
        <f>Source!AM162</f>
        <v>7602.23</v>
      </c>
      <c r="G188" s="17" t="str">
        <f>Source!DE162</f>
        <v/>
      </c>
      <c r="H188" s="2">
        <f>Source!AV162</f>
        <v>1</v>
      </c>
      <c r="I188" s="2">
        <f>IF(Source!BB162&lt;&gt; 0, Source!BB162, 1)</f>
        <v>1</v>
      </c>
      <c r="J188" s="19">
        <f>Source!Q162</f>
        <v>4409.29</v>
      </c>
      <c r="K188" s="19"/>
    </row>
    <row r="189" spans="1:22" ht="14.25" x14ac:dyDescent="0.2">
      <c r="A189" s="14"/>
      <c r="B189" s="15"/>
      <c r="C189" s="15" t="s">
        <v>996</v>
      </c>
      <c r="D189" s="16"/>
      <c r="E189" s="2"/>
      <c r="F189" s="18">
        <f>Source!AN162</f>
        <v>3222.98</v>
      </c>
      <c r="G189" s="17" t="str">
        <f>Source!DF162</f>
        <v/>
      </c>
      <c r="H189" s="2">
        <f>Source!AV162</f>
        <v>1</v>
      </c>
      <c r="I189" s="2">
        <f>IF(Source!BS162&lt;&gt; 0, Source!BS162, 1)</f>
        <v>1</v>
      </c>
      <c r="J189" s="23">
        <f>Source!R162</f>
        <v>1869.33</v>
      </c>
      <c r="K189" s="19"/>
    </row>
    <row r="190" spans="1:22" ht="14.25" x14ac:dyDescent="0.2">
      <c r="A190" s="14"/>
      <c r="B190" s="15"/>
      <c r="C190" s="15" t="s">
        <v>1000</v>
      </c>
      <c r="D190" s="16"/>
      <c r="E190" s="2"/>
      <c r="F190" s="18">
        <f>Source!AL162</f>
        <v>65162.05</v>
      </c>
      <c r="G190" s="17" t="str">
        <f>Source!DD162</f>
        <v/>
      </c>
      <c r="H190" s="2">
        <f>Source!AW162</f>
        <v>1</v>
      </c>
      <c r="I190" s="2">
        <f>IF(Source!BC162&lt;&gt; 0, Source!BC162, 1)</f>
        <v>1</v>
      </c>
      <c r="J190" s="19">
        <f>Source!P162</f>
        <v>37793.99</v>
      </c>
      <c r="K190" s="19"/>
    </row>
    <row r="191" spans="1:22" ht="14.25" x14ac:dyDescent="0.2">
      <c r="A191" s="14"/>
      <c r="B191" s="15"/>
      <c r="C191" s="15" t="s">
        <v>990</v>
      </c>
      <c r="D191" s="16" t="s">
        <v>991</v>
      </c>
      <c r="E191" s="2">
        <f>Source!AT162</f>
        <v>70</v>
      </c>
      <c r="F191" s="18"/>
      <c r="G191" s="17"/>
      <c r="H191" s="2"/>
      <c r="I191" s="2"/>
      <c r="J191" s="19">
        <f>SUM(R186:R190)</f>
        <v>1258.4100000000001</v>
      </c>
      <c r="K191" s="19"/>
    </row>
    <row r="192" spans="1:22" ht="14.25" x14ac:dyDescent="0.2">
      <c r="A192" s="14"/>
      <c r="B192" s="15"/>
      <c r="C192" s="15" t="s">
        <v>992</v>
      </c>
      <c r="D192" s="16" t="s">
        <v>991</v>
      </c>
      <c r="E192" s="2">
        <f>Source!AU162</f>
        <v>10</v>
      </c>
      <c r="F192" s="18"/>
      <c r="G192" s="17"/>
      <c r="H192" s="2"/>
      <c r="I192" s="2"/>
      <c r="J192" s="19">
        <f>SUM(T186:T191)</f>
        <v>179.77</v>
      </c>
      <c r="K192" s="19"/>
    </row>
    <row r="193" spans="1:22" ht="14.25" x14ac:dyDescent="0.2">
      <c r="A193" s="14"/>
      <c r="B193" s="15"/>
      <c r="C193" s="15" t="s">
        <v>997</v>
      </c>
      <c r="D193" s="16" t="s">
        <v>991</v>
      </c>
      <c r="E193" s="2">
        <f>108</f>
        <v>108</v>
      </c>
      <c r="F193" s="18"/>
      <c r="G193" s="17"/>
      <c r="H193" s="2"/>
      <c r="I193" s="2"/>
      <c r="J193" s="19">
        <f>SUM(V186:V192)</f>
        <v>2018.88</v>
      </c>
      <c r="K193" s="19"/>
    </row>
    <row r="194" spans="1:22" ht="14.25" x14ac:dyDescent="0.2">
      <c r="A194" s="14"/>
      <c r="B194" s="15"/>
      <c r="C194" s="15" t="s">
        <v>993</v>
      </c>
      <c r="D194" s="16" t="s">
        <v>994</v>
      </c>
      <c r="E194" s="2">
        <f>Source!AQ162</f>
        <v>16.559999999999999</v>
      </c>
      <c r="F194" s="18"/>
      <c r="G194" s="17" t="str">
        <f>Source!DI162</f>
        <v/>
      </c>
      <c r="H194" s="2">
        <f>Source!AV162</f>
        <v>1</v>
      </c>
      <c r="I194" s="2"/>
      <c r="J194" s="19"/>
      <c r="K194" s="19">
        <f>Source!U162</f>
        <v>9.6047999999999991</v>
      </c>
    </row>
    <row r="195" spans="1:22" ht="15" x14ac:dyDescent="0.25">
      <c r="A195" s="21"/>
      <c r="B195" s="21"/>
      <c r="C195" s="21"/>
      <c r="D195" s="21"/>
      <c r="E195" s="21"/>
      <c r="F195" s="21"/>
      <c r="G195" s="21"/>
      <c r="H195" s="21"/>
      <c r="I195" s="55">
        <f>J187+J188+J190+J191+J192+J193</f>
        <v>47458.069999999992</v>
      </c>
      <c r="J195" s="55"/>
      <c r="K195" s="22">
        <f>IF(Source!I162&lt;&gt;0, ROUND(I195/Source!I162, 2), 0)</f>
        <v>81824.259999999995</v>
      </c>
      <c r="P195" s="20">
        <f>I195</f>
        <v>47458.069999999992</v>
      </c>
    </row>
    <row r="196" spans="1:22" ht="42.75" x14ac:dyDescent="0.2">
      <c r="A196" s="14" t="str">
        <f>Source!E163</f>
        <v>25</v>
      </c>
      <c r="B196" s="15" t="str">
        <f>Source!F163</f>
        <v>2.1-3303-1-2/1</v>
      </c>
      <c r="C196" s="15" t="str">
        <f>Source!G163</f>
        <v>Устройство подстилающих и выравнивающих слоев оснований из щебня (290м2*0,12м)</v>
      </c>
      <c r="D196" s="16" t="str">
        <f>Source!H163</f>
        <v>100 м3</v>
      </c>
      <c r="E196" s="2">
        <f>Source!I163</f>
        <v>0.34799999999999998</v>
      </c>
      <c r="F196" s="18"/>
      <c r="G196" s="17"/>
      <c r="H196" s="2"/>
      <c r="I196" s="2"/>
      <c r="J196" s="19"/>
      <c r="K196" s="19"/>
      <c r="Q196">
        <f>ROUND((Source!BZ163/100)*ROUND((Source!AF163*Source!AV163)*Source!I163, 2), 2)</f>
        <v>1132.57</v>
      </c>
      <c r="R196">
        <f>Source!X163</f>
        <v>1132.57</v>
      </c>
      <c r="S196">
        <f>ROUND((Source!CA163/100)*ROUND((Source!AF163*Source!AV163)*Source!I163, 2), 2)</f>
        <v>161.80000000000001</v>
      </c>
      <c r="T196">
        <f>Source!Y163</f>
        <v>161.80000000000001</v>
      </c>
      <c r="U196">
        <f>ROUND((175/100)*ROUND((Source!AE163*Source!AV163)*Source!I163, 2), 2)</f>
        <v>12920.02</v>
      </c>
      <c r="V196">
        <f>ROUND((108/100)*ROUND(Source!CS163*Source!I163, 2), 2)</f>
        <v>7973.5</v>
      </c>
    </row>
    <row r="197" spans="1:22" ht="14.25" x14ac:dyDescent="0.2">
      <c r="A197" s="14"/>
      <c r="B197" s="15"/>
      <c r="C197" s="15" t="s">
        <v>989</v>
      </c>
      <c r="D197" s="16"/>
      <c r="E197" s="2"/>
      <c r="F197" s="18">
        <f>Source!AO163</f>
        <v>4649.3</v>
      </c>
      <c r="G197" s="17" t="str">
        <f>Source!DG163</f>
        <v/>
      </c>
      <c r="H197" s="2">
        <f>Source!AV163</f>
        <v>1</v>
      </c>
      <c r="I197" s="2">
        <f>IF(Source!BA163&lt;&gt; 0, Source!BA163, 1)</f>
        <v>1</v>
      </c>
      <c r="J197" s="19">
        <f>Source!S163</f>
        <v>1617.96</v>
      </c>
      <c r="K197" s="19"/>
    </row>
    <row r="198" spans="1:22" ht="14.25" x14ac:dyDescent="0.2">
      <c r="A198" s="14"/>
      <c r="B198" s="15"/>
      <c r="C198" s="15" t="s">
        <v>995</v>
      </c>
      <c r="D198" s="16"/>
      <c r="E198" s="2"/>
      <c r="F198" s="18">
        <f>Source!AM163</f>
        <v>53736.02</v>
      </c>
      <c r="G198" s="17" t="str">
        <f>Source!DE163</f>
        <v/>
      </c>
      <c r="H198" s="2">
        <f>Source!AV163</f>
        <v>1</v>
      </c>
      <c r="I198" s="2">
        <f>IF(Source!BB163&lt;&gt; 0, Source!BB163, 1)</f>
        <v>1</v>
      </c>
      <c r="J198" s="19">
        <f>Source!Q163</f>
        <v>18700.13</v>
      </c>
      <c r="K198" s="19"/>
    </row>
    <row r="199" spans="1:22" ht="14.25" x14ac:dyDescent="0.2">
      <c r="A199" s="14"/>
      <c r="B199" s="15"/>
      <c r="C199" s="15" t="s">
        <v>996</v>
      </c>
      <c r="D199" s="16"/>
      <c r="E199" s="2"/>
      <c r="F199" s="18">
        <f>Source!AN163</f>
        <v>21215.13</v>
      </c>
      <c r="G199" s="17" t="str">
        <f>Source!DF163</f>
        <v/>
      </c>
      <c r="H199" s="2">
        <f>Source!AV163</f>
        <v>1</v>
      </c>
      <c r="I199" s="2">
        <f>IF(Source!BS163&lt;&gt; 0, Source!BS163, 1)</f>
        <v>1</v>
      </c>
      <c r="J199" s="23">
        <f>Source!R163</f>
        <v>7382.87</v>
      </c>
      <c r="K199" s="19"/>
    </row>
    <row r="200" spans="1:22" ht="14.25" x14ac:dyDescent="0.2">
      <c r="A200" s="14"/>
      <c r="B200" s="15"/>
      <c r="C200" s="15" t="s">
        <v>1000</v>
      </c>
      <c r="D200" s="16"/>
      <c r="E200" s="2"/>
      <c r="F200" s="18">
        <f>Source!AL163</f>
        <v>222479.25</v>
      </c>
      <c r="G200" s="17" t="str">
        <f>Source!DD163</f>
        <v/>
      </c>
      <c r="H200" s="2">
        <f>Source!AW163</f>
        <v>1</v>
      </c>
      <c r="I200" s="2">
        <f>IF(Source!BC163&lt;&gt; 0, Source!BC163, 1)</f>
        <v>1</v>
      </c>
      <c r="J200" s="19">
        <f>Source!P163</f>
        <v>77422.78</v>
      </c>
      <c r="K200" s="19"/>
    </row>
    <row r="201" spans="1:22" ht="14.25" x14ac:dyDescent="0.2">
      <c r="A201" s="14"/>
      <c r="B201" s="15"/>
      <c r="C201" s="15" t="s">
        <v>990</v>
      </c>
      <c r="D201" s="16" t="s">
        <v>991</v>
      </c>
      <c r="E201" s="2">
        <f>Source!AT163</f>
        <v>70</v>
      </c>
      <c r="F201" s="18"/>
      <c r="G201" s="17"/>
      <c r="H201" s="2"/>
      <c r="I201" s="2"/>
      <c r="J201" s="19">
        <f>SUM(R196:R200)</f>
        <v>1132.57</v>
      </c>
      <c r="K201" s="19"/>
    </row>
    <row r="202" spans="1:22" ht="14.25" x14ac:dyDescent="0.2">
      <c r="A202" s="14"/>
      <c r="B202" s="15"/>
      <c r="C202" s="15" t="s">
        <v>992</v>
      </c>
      <c r="D202" s="16" t="s">
        <v>991</v>
      </c>
      <c r="E202" s="2">
        <f>Source!AU163</f>
        <v>10</v>
      </c>
      <c r="F202" s="18"/>
      <c r="G202" s="17"/>
      <c r="H202" s="2"/>
      <c r="I202" s="2"/>
      <c r="J202" s="19">
        <f>SUM(T196:T201)</f>
        <v>161.80000000000001</v>
      </c>
      <c r="K202" s="19"/>
    </row>
    <row r="203" spans="1:22" ht="14.25" x14ac:dyDescent="0.2">
      <c r="A203" s="14"/>
      <c r="B203" s="15"/>
      <c r="C203" s="15" t="s">
        <v>997</v>
      </c>
      <c r="D203" s="16" t="s">
        <v>991</v>
      </c>
      <c r="E203" s="2">
        <f>108</f>
        <v>108</v>
      </c>
      <c r="F203" s="18"/>
      <c r="G203" s="17"/>
      <c r="H203" s="2"/>
      <c r="I203" s="2"/>
      <c r="J203" s="19">
        <f>SUM(V196:V202)</f>
        <v>7973.5</v>
      </c>
      <c r="K203" s="19"/>
    </row>
    <row r="204" spans="1:22" ht="14.25" x14ac:dyDescent="0.2">
      <c r="A204" s="14"/>
      <c r="B204" s="15"/>
      <c r="C204" s="15" t="s">
        <v>993</v>
      </c>
      <c r="D204" s="16" t="s">
        <v>994</v>
      </c>
      <c r="E204" s="2">
        <f>Source!AQ163</f>
        <v>24.84</v>
      </c>
      <c r="F204" s="18"/>
      <c r="G204" s="17" t="str">
        <f>Source!DI163</f>
        <v/>
      </c>
      <c r="H204" s="2">
        <f>Source!AV163</f>
        <v>1</v>
      </c>
      <c r="I204" s="2"/>
      <c r="J204" s="19"/>
      <c r="K204" s="19">
        <f>Source!U163</f>
        <v>8.6443199999999987</v>
      </c>
    </row>
    <row r="205" spans="1:22" ht="15" x14ac:dyDescent="0.25">
      <c r="A205" s="21"/>
      <c r="B205" s="21"/>
      <c r="C205" s="21"/>
      <c r="D205" s="21"/>
      <c r="E205" s="21"/>
      <c r="F205" s="21"/>
      <c r="G205" s="21"/>
      <c r="H205" s="21"/>
      <c r="I205" s="55">
        <f>J197+J198+J200+J201+J202+J203</f>
        <v>107008.74</v>
      </c>
      <c r="J205" s="55"/>
      <c r="K205" s="22">
        <f>IF(Source!I163&lt;&gt;0, ROUND(I205/Source!I163, 2), 0)</f>
        <v>307496.38</v>
      </c>
      <c r="P205" s="20">
        <f>I205</f>
        <v>107008.74</v>
      </c>
    </row>
    <row r="206" spans="1:22" ht="71.25" x14ac:dyDescent="0.2">
      <c r="A206" s="14" t="str">
        <f>Source!E164</f>
        <v>26</v>
      </c>
      <c r="B206" s="15" t="str">
        <f>Source!F164</f>
        <v>2.1-3103-19-4/1</v>
      </c>
      <c r="C206" s="15" t="str">
        <f>Source!G164</f>
        <v>Устройство асфальтобетонных покрытий дорожек и тротуаров двухслойных, верхний слой из песчаной асфальтобетонной смеси толщиной 3 см до 5 см</v>
      </c>
      <c r="D206" s="16" t="str">
        <f>Source!H164</f>
        <v>100 м2</v>
      </c>
      <c r="E206" s="2">
        <f>Source!I164</f>
        <v>2.9</v>
      </c>
      <c r="F206" s="18"/>
      <c r="G206" s="17"/>
      <c r="H206" s="2"/>
      <c r="I206" s="2"/>
      <c r="J206" s="19"/>
      <c r="K206" s="19"/>
      <c r="Q206">
        <f>ROUND((Source!BZ164/100)*ROUND((Source!AF164*Source!AV164)*Source!I164, 2), 2)</f>
        <v>4780.63</v>
      </c>
      <c r="R206">
        <f>Source!X164</f>
        <v>4780.63</v>
      </c>
      <c r="S206">
        <f>ROUND((Source!CA164/100)*ROUND((Source!AF164*Source!AV164)*Source!I164, 2), 2)</f>
        <v>682.95</v>
      </c>
      <c r="T206">
        <f>Source!Y164</f>
        <v>682.95</v>
      </c>
      <c r="U206">
        <f>ROUND((175/100)*ROUND((Source!AE164*Source!AV164)*Source!I164, 2), 2)</f>
        <v>2393.98</v>
      </c>
      <c r="V206">
        <f>ROUND((108/100)*ROUND(Source!CS164*Source!I164, 2), 2)</f>
        <v>1477.43</v>
      </c>
    </row>
    <row r="207" spans="1:22" ht="14.25" x14ac:dyDescent="0.2">
      <c r="A207" s="14"/>
      <c r="B207" s="15"/>
      <c r="C207" s="15" t="s">
        <v>989</v>
      </c>
      <c r="D207" s="16"/>
      <c r="E207" s="2"/>
      <c r="F207" s="18">
        <f>Source!AO164</f>
        <v>2354.9899999999998</v>
      </c>
      <c r="G207" s="17" t="str">
        <f>Source!DG164</f>
        <v/>
      </c>
      <c r="H207" s="2">
        <f>Source!AV164</f>
        <v>1</v>
      </c>
      <c r="I207" s="2">
        <f>IF(Source!BA164&lt;&gt; 0, Source!BA164, 1)</f>
        <v>1</v>
      </c>
      <c r="J207" s="19">
        <f>Source!S164</f>
        <v>6829.47</v>
      </c>
      <c r="K207" s="19"/>
    </row>
    <row r="208" spans="1:22" ht="14.25" x14ac:dyDescent="0.2">
      <c r="A208" s="14"/>
      <c r="B208" s="15"/>
      <c r="C208" s="15" t="s">
        <v>995</v>
      </c>
      <c r="D208" s="16"/>
      <c r="E208" s="2"/>
      <c r="F208" s="18">
        <f>Source!AM164</f>
        <v>1123.06</v>
      </c>
      <c r="G208" s="17" t="str">
        <f>Source!DE164</f>
        <v/>
      </c>
      <c r="H208" s="2">
        <f>Source!AV164</f>
        <v>1</v>
      </c>
      <c r="I208" s="2">
        <f>IF(Source!BB164&lt;&gt; 0, Source!BB164, 1)</f>
        <v>1</v>
      </c>
      <c r="J208" s="19">
        <f>Source!Q164</f>
        <v>3256.87</v>
      </c>
      <c r="K208" s="19"/>
    </row>
    <row r="209" spans="1:22" ht="14.25" x14ac:dyDescent="0.2">
      <c r="A209" s="14"/>
      <c r="B209" s="15"/>
      <c r="C209" s="15" t="s">
        <v>996</v>
      </c>
      <c r="D209" s="16"/>
      <c r="E209" s="2"/>
      <c r="F209" s="18">
        <f>Source!AN164</f>
        <v>471.72</v>
      </c>
      <c r="G209" s="17" t="str">
        <f>Source!DF164</f>
        <v/>
      </c>
      <c r="H209" s="2">
        <f>Source!AV164</f>
        <v>1</v>
      </c>
      <c r="I209" s="2">
        <f>IF(Source!BS164&lt;&gt; 0, Source!BS164, 1)</f>
        <v>1</v>
      </c>
      <c r="J209" s="23">
        <f>Source!R164</f>
        <v>1367.99</v>
      </c>
      <c r="K209" s="19"/>
    </row>
    <row r="210" spans="1:22" ht="14.25" x14ac:dyDescent="0.2">
      <c r="A210" s="14"/>
      <c r="B210" s="15"/>
      <c r="C210" s="15" t="s">
        <v>1000</v>
      </c>
      <c r="D210" s="16"/>
      <c r="E210" s="2"/>
      <c r="F210" s="18">
        <f>Source!AL164</f>
        <v>20488.849999999999</v>
      </c>
      <c r="G210" s="17" t="str">
        <f>Source!DD164</f>
        <v/>
      </c>
      <c r="H210" s="2">
        <f>Source!AW164</f>
        <v>1</v>
      </c>
      <c r="I210" s="2">
        <f>IF(Source!BC164&lt;&gt; 0, Source!BC164, 1)</f>
        <v>1</v>
      </c>
      <c r="J210" s="19">
        <f>Source!P164</f>
        <v>59417.67</v>
      </c>
      <c r="K210" s="19"/>
    </row>
    <row r="211" spans="1:22" ht="28.5" x14ac:dyDescent="0.2">
      <c r="A211" s="14" t="str">
        <f>Source!E165</f>
        <v>26,1</v>
      </c>
      <c r="B211" s="15" t="str">
        <f>Source!F165</f>
        <v>21.3-3-34</v>
      </c>
      <c r="C211" s="15" t="str">
        <f>Source!G165</f>
        <v>Смеси асфальтобетонные дорожные горячие песчаные, тип Д, марка III</v>
      </c>
      <c r="D211" s="16" t="str">
        <f>Source!H165</f>
        <v>т</v>
      </c>
      <c r="E211" s="2">
        <f>Source!I165</f>
        <v>-20.706</v>
      </c>
      <c r="F211" s="18">
        <f>Source!AK165</f>
        <v>2652.04</v>
      </c>
      <c r="G211" s="26" t="s">
        <v>3</v>
      </c>
      <c r="H211" s="2">
        <f>Source!AW165</f>
        <v>1</v>
      </c>
      <c r="I211" s="2">
        <f>IF(Source!BC165&lt;&gt; 0, Source!BC165, 1)</f>
        <v>1</v>
      </c>
      <c r="J211" s="19">
        <f>Source!O165</f>
        <v>-54913.14</v>
      </c>
      <c r="K211" s="19"/>
      <c r="Q211">
        <f>ROUND((Source!BZ165/100)*ROUND((Source!AF165*Source!AV165)*Source!I165, 2), 2)</f>
        <v>0</v>
      </c>
      <c r="R211">
        <f>Source!X165</f>
        <v>0</v>
      </c>
      <c r="S211">
        <f>ROUND((Source!CA165/100)*ROUND((Source!AF165*Source!AV165)*Source!I165, 2), 2)</f>
        <v>0</v>
      </c>
      <c r="T211">
        <f>Source!Y165</f>
        <v>0</v>
      </c>
      <c r="U211">
        <f>ROUND((175/100)*ROUND((Source!AE165*Source!AV165)*Source!I165, 2), 2)</f>
        <v>0</v>
      </c>
      <c r="V211">
        <f>ROUND((108/100)*ROUND(Source!CS165*Source!I165, 2), 2)</f>
        <v>0</v>
      </c>
    </row>
    <row r="212" spans="1:22" ht="42.75" x14ac:dyDescent="0.2">
      <c r="A212" s="14" t="str">
        <f>Source!E166</f>
        <v>26,2</v>
      </c>
      <c r="B212" s="15" t="str">
        <f>Source!F166</f>
        <v>21.3-3-34</v>
      </c>
      <c r="C212" s="15" t="str">
        <f>Source!G166</f>
        <v>Смеси асфальтобетонные дорожные горячие песчаные, тип Д, марка III (норма расхода 7,14/3*5=11,9)</v>
      </c>
      <c r="D212" s="16" t="str">
        <f>Source!H166</f>
        <v>т</v>
      </c>
      <c r="E212" s="2">
        <f>Source!I166</f>
        <v>34.51</v>
      </c>
      <c r="F212" s="18">
        <f>Source!AK166</f>
        <v>2652.04</v>
      </c>
      <c r="G212" s="26" t="s">
        <v>3</v>
      </c>
      <c r="H212" s="2">
        <f>Source!AW166</f>
        <v>1</v>
      </c>
      <c r="I212" s="2">
        <f>IF(Source!BC166&lt;&gt; 0, Source!BC166, 1)</f>
        <v>1</v>
      </c>
      <c r="J212" s="19">
        <f>Source!O166</f>
        <v>91521.9</v>
      </c>
      <c r="K212" s="19"/>
      <c r="Q212">
        <f>ROUND((Source!BZ166/100)*ROUND((Source!AF166*Source!AV166)*Source!I166, 2), 2)</f>
        <v>0</v>
      </c>
      <c r="R212">
        <f>Source!X166</f>
        <v>0</v>
      </c>
      <c r="S212">
        <f>ROUND((Source!CA166/100)*ROUND((Source!AF166*Source!AV166)*Source!I166, 2), 2)</f>
        <v>0</v>
      </c>
      <c r="T212">
        <f>Source!Y166</f>
        <v>0</v>
      </c>
      <c r="U212">
        <f>ROUND((175/100)*ROUND((Source!AE166*Source!AV166)*Source!I166, 2), 2)</f>
        <v>0</v>
      </c>
      <c r="V212">
        <f>ROUND((108/100)*ROUND(Source!CS166*Source!I166, 2), 2)</f>
        <v>0</v>
      </c>
    </row>
    <row r="213" spans="1:22" ht="14.25" x14ac:dyDescent="0.2">
      <c r="A213" s="14"/>
      <c r="B213" s="15"/>
      <c r="C213" s="15" t="s">
        <v>990</v>
      </c>
      <c r="D213" s="16" t="s">
        <v>991</v>
      </c>
      <c r="E213" s="2">
        <f>Source!AT164</f>
        <v>70</v>
      </c>
      <c r="F213" s="18"/>
      <c r="G213" s="17"/>
      <c r="H213" s="2"/>
      <c r="I213" s="2"/>
      <c r="J213" s="19">
        <f>SUM(R206:R212)</f>
        <v>4780.63</v>
      </c>
      <c r="K213" s="19"/>
    </row>
    <row r="214" spans="1:22" ht="14.25" x14ac:dyDescent="0.2">
      <c r="A214" s="14"/>
      <c r="B214" s="15"/>
      <c r="C214" s="15" t="s">
        <v>992</v>
      </c>
      <c r="D214" s="16" t="s">
        <v>991</v>
      </c>
      <c r="E214" s="2">
        <f>Source!AU164</f>
        <v>10</v>
      </c>
      <c r="F214" s="18"/>
      <c r="G214" s="17"/>
      <c r="H214" s="2"/>
      <c r="I214" s="2"/>
      <c r="J214" s="19">
        <f>SUM(T206:T213)</f>
        <v>682.95</v>
      </c>
      <c r="K214" s="19"/>
    </row>
    <row r="215" spans="1:22" ht="14.25" x14ac:dyDescent="0.2">
      <c r="A215" s="14"/>
      <c r="B215" s="15"/>
      <c r="C215" s="15" t="s">
        <v>997</v>
      </c>
      <c r="D215" s="16" t="s">
        <v>991</v>
      </c>
      <c r="E215" s="2">
        <f>108</f>
        <v>108</v>
      </c>
      <c r="F215" s="18"/>
      <c r="G215" s="17"/>
      <c r="H215" s="2"/>
      <c r="I215" s="2"/>
      <c r="J215" s="19">
        <f>SUM(V206:V214)</f>
        <v>1477.43</v>
      </c>
      <c r="K215" s="19"/>
    </row>
    <row r="216" spans="1:22" ht="14.25" x14ac:dyDescent="0.2">
      <c r="A216" s="14"/>
      <c r="B216" s="15"/>
      <c r="C216" s="15" t="s">
        <v>993</v>
      </c>
      <c r="D216" s="16" t="s">
        <v>994</v>
      </c>
      <c r="E216" s="2">
        <f>Source!AQ164</f>
        <v>10.3</v>
      </c>
      <c r="F216" s="18"/>
      <c r="G216" s="17" t="str">
        <f>Source!DI164</f>
        <v/>
      </c>
      <c r="H216" s="2">
        <f>Source!AV164</f>
        <v>1</v>
      </c>
      <c r="I216" s="2"/>
      <c r="J216" s="19"/>
      <c r="K216" s="19">
        <f>Source!U164</f>
        <v>29.87</v>
      </c>
    </row>
    <row r="217" spans="1:22" ht="15" x14ac:dyDescent="0.25">
      <c r="A217" s="21"/>
      <c r="B217" s="21"/>
      <c r="C217" s="21"/>
      <c r="D217" s="21"/>
      <c r="E217" s="21"/>
      <c r="F217" s="21"/>
      <c r="G217" s="21"/>
      <c r="H217" s="21"/>
      <c r="I217" s="55">
        <f>J207+J208+J210+J213+J214+J215+SUM(J211:J212)</f>
        <v>113053.77999999998</v>
      </c>
      <c r="J217" s="55"/>
      <c r="K217" s="22">
        <f>IF(Source!I164&lt;&gt;0, ROUND(I217/Source!I164, 2), 0)</f>
        <v>38984.06</v>
      </c>
      <c r="P217" s="20">
        <f>I217</f>
        <v>113053.77999999998</v>
      </c>
    </row>
    <row r="218" spans="1:22" ht="57" x14ac:dyDescent="0.2">
      <c r="A218" s="14" t="str">
        <f>Source!E167</f>
        <v>27</v>
      </c>
      <c r="B218" s="15" t="str">
        <f>Source!F167</f>
        <v>5.3-3103-11-1/1</v>
      </c>
      <c r="C218" s="15" t="str">
        <f>Source!G167</f>
        <v>Устройство наливного полиуретанового покрытия спортивных площадок и беговых дорожек толщиной 10 мм</v>
      </c>
      <c r="D218" s="16" t="str">
        <f>Source!H167</f>
        <v>100 м2</v>
      </c>
      <c r="E218" s="2">
        <f>Source!I167</f>
        <v>2.9</v>
      </c>
      <c r="F218" s="18"/>
      <c r="G218" s="17"/>
      <c r="H218" s="2"/>
      <c r="I218" s="2"/>
      <c r="J218" s="19"/>
      <c r="K218" s="19"/>
      <c r="Q218">
        <f>ROUND((Source!BZ167/100)*ROUND((Source!AF167*Source!AV167)*Source!I167, 2), 2)</f>
        <v>8275.56</v>
      </c>
      <c r="R218">
        <f>Source!X167</f>
        <v>8275.56</v>
      </c>
      <c r="S218">
        <f>ROUND((Source!CA167/100)*ROUND((Source!AF167*Source!AV167)*Source!I167, 2), 2)</f>
        <v>1182.22</v>
      </c>
      <c r="T218">
        <f>Source!Y167</f>
        <v>1182.22</v>
      </c>
      <c r="U218">
        <f>ROUND((175/100)*ROUND((Source!AE167*Source!AV167)*Source!I167, 2), 2)</f>
        <v>10472.049999999999</v>
      </c>
      <c r="V218">
        <f>ROUND((108/100)*ROUND(Source!CS167*Source!I167, 2), 2)</f>
        <v>6462.75</v>
      </c>
    </row>
    <row r="219" spans="1:22" ht="14.25" x14ac:dyDescent="0.2">
      <c r="A219" s="14"/>
      <c r="B219" s="15"/>
      <c r="C219" s="15" t="s">
        <v>989</v>
      </c>
      <c r="D219" s="16"/>
      <c r="E219" s="2"/>
      <c r="F219" s="18">
        <f>Source!AO167</f>
        <v>4076.63</v>
      </c>
      <c r="G219" s="17" t="str">
        <f>Source!DG167</f>
        <v/>
      </c>
      <c r="H219" s="2">
        <f>Source!AV167</f>
        <v>1</v>
      </c>
      <c r="I219" s="2">
        <f>IF(Source!BA167&lt;&gt; 0, Source!BA167, 1)</f>
        <v>1</v>
      </c>
      <c r="J219" s="19">
        <f>Source!S167</f>
        <v>11822.23</v>
      </c>
      <c r="K219" s="19"/>
    </row>
    <row r="220" spans="1:22" ht="14.25" x14ac:dyDescent="0.2">
      <c r="A220" s="14"/>
      <c r="B220" s="15"/>
      <c r="C220" s="15" t="s">
        <v>995</v>
      </c>
      <c r="D220" s="16"/>
      <c r="E220" s="2"/>
      <c r="F220" s="18">
        <f>Source!AM167</f>
        <v>2617.25</v>
      </c>
      <c r="G220" s="17" t="str">
        <f>Source!DE167</f>
        <v/>
      </c>
      <c r="H220" s="2">
        <f>Source!AV167</f>
        <v>1</v>
      </c>
      <c r="I220" s="2">
        <f>IF(Source!BB167&lt;&gt; 0, Source!BB167, 1)</f>
        <v>1</v>
      </c>
      <c r="J220" s="19">
        <f>Source!Q167</f>
        <v>7590.03</v>
      </c>
      <c r="K220" s="19"/>
    </row>
    <row r="221" spans="1:22" ht="14.25" x14ac:dyDescent="0.2">
      <c r="A221" s="14"/>
      <c r="B221" s="15"/>
      <c r="C221" s="15" t="s">
        <v>996</v>
      </c>
      <c r="D221" s="16"/>
      <c r="E221" s="2"/>
      <c r="F221" s="18">
        <f>Source!AN167</f>
        <v>2063.46</v>
      </c>
      <c r="G221" s="17" t="str">
        <f>Source!DF167</f>
        <v/>
      </c>
      <c r="H221" s="2">
        <f>Source!AV167</f>
        <v>1</v>
      </c>
      <c r="I221" s="2">
        <f>IF(Source!BS167&lt;&gt; 0, Source!BS167, 1)</f>
        <v>1</v>
      </c>
      <c r="J221" s="23">
        <f>Source!R167</f>
        <v>5984.03</v>
      </c>
      <c r="K221" s="19"/>
    </row>
    <row r="222" spans="1:22" ht="14.25" x14ac:dyDescent="0.2">
      <c r="A222" s="14"/>
      <c r="B222" s="15"/>
      <c r="C222" s="15" t="s">
        <v>1000</v>
      </c>
      <c r="D222" s="16"/>
      <c r="E222" s="2"/>
      <c r="F222" s="18">
        <f>Source!AL167</f>
        <v>102359.62</v>
      </c>
      <c r="G222" s="17" t="str">
        <f>Source!DD167</f>
        <v/>
      </c>
      <c r="H222" s="2">
        <f>Source!AW167</f>
        <v>1</v>
      </c>
      <c r="I222" s="2">
        <f>IF(Source!BC167&lt;&gt; 0, Source!BC167, 1)</f>
        <v>1</v>
      </c>
      <c r="J222" s="19">
        <f>Source!P167</f>
        <v>296842.90000000002</v>
      </c>
      <c r="K222" s="19"/>
    </row>
    <row r="223" spans="1:22" ht="28.5" x14ac:dyDescent="0.2">
      <c r="A223" s="14" t="str">
        <f>Source!E168</f>
        <v>27,1</v>
      </c>
      <c r="B223" s="15" t="str">
        <f>Source!F168</f>
        <v>21.1-6-101</v>
      </c>
      <c r="C223" s="15" t="str">
        <f>Source!G168</f>
        <v>Пигменты сухие для красок, кислотный желтый</v>
      </c>
      <c r="D223" s="16" t="str">
        <f>Source!H168</f>
        <v>т</v>
      </c>
      <c r="E223" s="2">
        <f>Source!I168</f>
        <v>-0.15225</v>
      </c>
      <c r="F223" s="18">
        <f>Source!AK168</f>
        <v>748299.67</v>
      </c>
      <c r="G223" s="26" t="s">
        <v>3</v>
      </c>
      <c r="H223" s="2">
        <f>Source!AW168</f>
        <v>1</v>
      </c>
      <c r="I223" s="2">
        <f>IF(Source!BC168&lt;&gt; 0, Source!BC168, 1)</f>
        <v>1</v>
      </c>
      <c r="J223" s="19">
        <f>Source!O168</f>
        <v>-113928.62</v>
      </c>
      <c r="K223" s="19"/>
      <c r="Q223">
        <f>ROUND((Source!BZ168/100)*ROUND((Source!AF168*Source!AV168)*Source!I168, 2), 2)</f>
        <v>0</v>
      </c>
      <c r="R223">
        <f>Source!X168</f>
        <v>0</v>
      </c>
      <c r="S223">
        <f>ROUND((Source!CA168/100)*ROUND((Source!AF168*Source!AV168)*Source!I168, 2), 2)</f>
        <v>0</v>
      </c>
      <c r="T223">
        <f>Source!Y168</f>
        <v>0</v>
      </c>
      <c r="U223">
        <f>ROUND((175/100)*ROUND((Source!AE168*Source!AV168)*Source!I168, 2), 2)</f>
        <v>0</v>
      </c>
      <c r="V223">
        <f>ROUND((108/100)*ROUND(Source!CS168*Source!I168, 2), 2)</f>
        <v>0</v>
      </c>
    </row>
    <row r="224" spans="1:22" ht="14.25" x14ac:dyDescent="0.2">
      <c r="A224" s="14"/>
      <c r="B224" s="15"/>
      <c r="C224" s="15" t="s">
        <v>990</v>
      </c>
      <c r="D224" s="16" t="s">
        <v>991</v>
      </c>
      <c r="E224" s="2">
        <f>Source!AT167</f>
        <v>70</v>
      </c>
      <c r="F224" s="18"/>
      <c r="G224" s="17"/>
      <c r="H224" s="2"/>
      <c r="I224" s="2"/>
      <c r="J224" s="19">
        <f>SUM(R218:R223)</f>
        <v>8275.56</v>
      </c>
      <c r="K224" s="19"/>
    </row>
    <row r="225" spans="1:22" ht="14.25" x14ac:dyDescent="0.2">
      <c r="A225" s="14"/>
      <c r="B225" s="15"/>
      <c r="C225" s="15" t="s">
        <v>992</v>
      </c>
      <c r="D225" s="16" t="s">
        <v>991</v>
      </c>
      <c r="E225" s="2">
        <f>Source!AU167</f>
        <v>10</v>
      </c>
      <c r="F225" s="18"/>
      <c r="G225" s="17"/>
      <c r="H225" s="2"/>
      <c r="I225" s="2"/>
      <c r="J225" s="19">
        <f>SUM(T218:T224)</f>
        <v>1182.22</v>
      </c>
      <c r="K225" s="19"/>
    </row>
    <row r="226" spans="1:22" ht="14.25" x14ac:dyDescent="0.2">
      <c r="A226" s="14"/>
      <c r="B226" s="15"/>
      <c r="C226" s="15" t="s">
        <v>997</v>
      </c>
      <c r="D226" s="16" t="s">
        <v>991</v>
      </c>
      <c r="E226" s="2">
        <f>108</f>
        <v>108</v>
      </c>
      <c r="F226" s="18"/>
      <c r="G226" s="17"/>
      <c r="H226" s="2"/>
      <c r="I226" s="2"/>
      <c r="J226" s="19">
        <f>SUM(V218:V225)</f>
        <v>6462.75</v>
      </c>
      <c r="K226" s="19"/>
    </row>
    <row r="227" spans="1:22" ht="14.25" x14ac:dyDescent="0.2">
      <c r="A227" s="14"/>
      <c r="B227" s="15"/>
      <c r="C227" s="15" t="s">
        <v>993</v>
      </c>
      <c r="D227" s="16" t="s">
        <v>994</v>
      </c>
      <c r="E227" s="2">
        <f>Source!AQ167</f>
        <v>18.440000000000001</v>
      </c>
      <c r="F227" s="18"/>
      <c r="G227" s="17" t="str">
        <f>Source!DI167</f>
        <v/>
      </c>
      <c r="H227" s="2">
        <f>Source!AV167</f>
        <v>1</v>
      </c>
      <c r="I227" s="2"/>
      <c r="J227" s="19"/>
      <c r="K227" s="19">
        <f>Source!U167</f>
        <v>53.475999999999999</v>
      </c>
    </row>
    <row r="228" spans="1:22" ht="15" x14ac:dyDescent="0.25">
      <c r="A228" s="21"/>
      <c r="B228" s="21"/>
      <c r="C228" s="21"/>
      <c r="D228" s="21"/>
      <c r="E228" s="21"/>
      <c r="F228" s="21"/>
      <c r="G228" s="21"/>
      <c r="H228" s="21"/>
      <c r="I228" s="55">
        <f>J219+J220+J222+J224+J225+J226+SUM(J223:J223)</f>
        <v>218247.07</v>
      </c>
      <c r="J228" s="55"/>
      <c r="K228" s="22">
        <f>IF(Source!I167&lt;&gt;0, ROUND(I228/Source!I167, 2), 0)</f>
        <v>75257.61</v>
      </c>
      <c r="P228" s="20">
        <f>I228</f>
        <v>218247.07</v>
      </c>
    </row>
    <row r="229" spans="1:22" ht="71.25" x14ac:dyDescent="0.2">
      <c r="A229" s="14" t="str">
        <f>Source!E169</f>
        <v>28</v>
      </c>
      <c r="B229" s="15" t="str">
        <f>Source!F169</f>
        <v>5.3-3103-11-2/1</v>
      </c>
      <c r="C229" s="15" t="str">
        <f>Source!G169</f>
        <v>Устройство наливного полиуретанового покрытия спортивных площадок и беговых дорожек, добавляется на 2 мм толщины покрытия к=5 до 20 см</v>
      </c>
      <c r="D229" s="16" t="str">
        <f>Source!H169</f>
        <v>100 м2</v>
      </c>
      <c r="E229" s="2">
        <f>Source!I169</f>
        <v>2.9</v>
      </c>
      <c r="F229" s="18"/>
      <c r="G229" s="17"/>
      <c r="H229" s="2"/>
      <c r="I229" s="2"/>
      <c r="J229" s="19"/>
      <c r="K229" s="19"/>
      <c r="Q229">
        <f>ROUND((Source!BZ169/100)*ROUND((Source!AF169*Source!AV169)*Source!I169, 2), 2)</f>
        <v>6116.8</v>
      </c>
      <c r="R229">
        <f>Source!X169</f>
        <v>6116.8</v>
      </c>
      <c r="S229">
        <f>ROUND((Source!CA169/100)*ROUND((Source!AF169*Source!AV169)*Source!I169, 2), 2)</f>
        <v>873.83</v>
      </c>
      <c r="T229">
        <f>Source!Y169</f>
        <v>873.83</v>
      </c>
      <c r="U229">
        <f>ROUND((175/100)*ROUND((Source!AE169*Source!AV169)*Source!I169, 2), 2)</f>
        <v>9886.61</v>
      </c>
      <c r="V229">
        <f>ROUND((108/100)*ROUND(Source!CS169*Source!I169, 2), 2)</f>
        <v>6101.45</v>
      </c>
    </row>
    <row r="230" spans="1:22" ht="14.25" x14ac:dyDescent="0.2">
      <c r="A230" s="14"/>
      <c r="B230" s="15"/>
      <c r="C230" s="15" t="s">
        <v>989</v>
      </c>
      <c r="D230" s="16"/>
      <c r="E230" s="2"/>
      <c r="F230" s="18">
        <f>Source!AO169</f>
        <v>602.64</v>
      </c>
      <c r="G230" s="17" t="str">
        <f>Source!DG169</f>
        <v>)*5</v>
      </c>
      <c r="H230" s="2">
        <f>Source!AV169</f>
        <v>1</v>
      </c>
      <c r="I230" s="2">
        <f>IF(Source!BA169&lt;&gt; 0, Source!BA169, 1)</f>
        <v>1</v>
      </c>
      <c r="J230" s="19">
        <f>Source!S169</f>
        <v>8738.2800000000007</v>
      </c>
      <c r="K230" s="19"/>
    </row>
    <row r="231" spans="1:22" ht="14.25" x14ac:dyDescent="0.2">
      <c r="A231" s="14"/>
      <c r="B231" s="15"/>
      <c r="C231" s="15" t="s">
        <v>995</v>
      </c>
      <c r="D231" s="16"/>
      <c r="E231" s="2"/>
      <c r="F231" s="18">
        <f>Source!AM169</f>
        <v>492.86</v>
      </c>
      <c r="G231" s="17" t="str">
        <f>Source!DE169</f>
        <v>)*5</v>
      </c>
      <c r="H231" s="2">
        <f>Source!AV169</f>
        <v>1</v>
      </c>
      <c r="I231" s="2">
        <f>IF(Source!BB169&lt;&gt; 0, Source!BB169, 1)</f>
        <v>1</v>
      </c>
      <c r="J231" s="19">
        <f>Source!Q169</f>
        <v>7146.47</v>
      </c>
      <c r="K231" s="19"/>
    </row>
    <row r="232" spans="1:22" ht="14.25" x14ac:dyDescent="0.2">
      <c r="A232" s="14"/>
      <c r="B232" s="15"/>
      <c r="C232" s="15" t="s">
        <v>996</v>
      </c>
      <c r="D232" s="16"/>
      <c r="E232" s="2"/>
      <c r="F232" s="18">
        <f>Source!AN169</f>
        <v>389.62</v>
      </c>
      <c r="G232" s="17" t="str">
        <f>Source!DF169</f>
        <v>)*5</v>
      </c>
      <c r="H232" s="2">
        <f>Source!AV169</f>
        <v>1</v>
      </c>
      <c r="I232" s="2">
        <f>IF(Source!BS169&lt;&gt; 0, Source!BS169, 1)</f>
        <v>1</v>
      </c>
      <c r="J232" s="23">
        <f>Source!R169</f>
        <v>5649.49</v>
      </c>
      <c r="K232" s="19"/>
    </row>
    <row r="233" spans="1:22" ht="14.25" x14ac:dyDescent="0.2">
      <c r="A233" s="14"/>
      <c r="B233" s="15"/>
      <c r="C233" s="15" t="s">
        <v>1000</v>
      </c>
      <c r="D233" s="16"/>
      <c r="E233" s="2"/>
      <c r="F233" s="18">
        <f>Source!AL169</f>
        <v>18967.62</v>
      </c>
      <c r="G233" s="17" t="str">
        <f>Source!DD169</f>
        <v>)*5</v>
      </c>
      <c r="H233" s="2">
        <f>Source!AW169</f>
        <v>1</v>
      </c>
      <c r="I233" s="2">
        <f>IF(Source!BC169&lt;&gt; 0, Source!BC169, 1)</f>
        <v>1</v>
      </c>
      <c r="J233" s="19">
        <f>Source!P169</f>
        <v>275030.49</v>
      </c>
      <c r="K233" s="19"/>
    </row>
    <row r="234" spans="1:22" ht="28.5" x14ac:dyDescent="0.2">
      <c r="A234" s="14" t="str">
        <f>Source!E170</f>
        <v>28,1</v>
      </c>
      <c r="B234" s="15" t="str">
        <f>Source!F170</f>
        <v>21.1-6-101</v>
      </c>
      <c r="C234" s="15" t="str">
        <f>Source!G170</f>
        <v>Пигменты сухие для красок, кислотный желтый</v>
      </c>
      <c r="D234" s="16" t="str">
        <f>Source!H170</f>
        <v>т</v>
      </c>
      <c r="E234" s="2">
        <f>Source!I170</f>
        <v>-0.30449999999999999</v>
      </c>
      <c r="F234" s="18">
        <f>Source!AK170</f>
        <v>748299.67</v>
      </c>
      <c r="G234" s="26" t="s">
        <v>3</v>
      </c>
      <c r="H234" s="2">
        <f>Source!AW170</f>
        <v>1</v>
      </c>
      <c r="I234" s="2">
        <f>IF(Source!BC170&lt;&gt; 0, Source!BC170, 1)</f>
        <v>1</v>
      </c>
      <c r="J234" s="19">
        <f>Source!O170</f>
        <v>-227857.25</v>
      </c>
      <c r="K234" s="19"/>
      <c r="Q234">
        <f>ROUND((Source!BZ170/100)*ROUND((Source!AF170*Source!AV170)*Source!I170, 2), 2)</f>
        <v>0</v>
      </c>
      <c r="R234">
        <f>Source!X170</f>
        <v>0</v>
      </c>
      <c r="S234">
        <f>ROUND((Source!CA170/100)*ROUND((Source!AF170*Source!AV170)*Source!I170, 2), 2)</f>
        <v>0</v>
      </c>
      <c r="T234">
        <f>Source!Y170</f>
        <v>0</v>
      </c>
      <c r="U234">
        <f>ROUND((175/100)*ROUND((Source!AE170*Source!AV170)*Source!I170, 2), 2)</f>
        <v>0</v>
      </c>
      <c r="V234">
        <f>ROUND((108/100)*ROUND(Source!CS170*Source!I170, 2), 2)</f>
        <v>0</v>
      </c>
    </row>
    <row r="235" spans="1:22" ht="14.25" x14ac:dyDescent="0.2">
      <c r="A235" s="14"/>
      <c r="B235" s="15"/>
      <c r="C235" s="15" t="s">
        <v>990</v>
      </c>
      <c r="D235" s="16" t="s">
        <v>991</v>
      </c>
      <c r="E235" s="2">
        <f>Source!AT169</f>
        <v>70</v>
      </c>
      <c r="F235" s="18"/>
      <c r="G235" s="17"/>
      <c r="H235" s="2"/>
      <c r="I235" s="2"/>
      <c r="J235" s="19">
        <f>SUM(R229:R234)</f>
        <v>6116.8</v>
      </c>
      <c r="K235" s="19"/>
    </row>
    <row r="236" spans="1:22" ht="14.25" x14ac:dyDescent="0.2">
      <c r="A236" s="14"/>
      <c r="B236" s="15"/>
      <c r="C236" s="15" t="s">
        <v>992</v>
      </c>
      <c r="D236" s="16" t="s">
        <v>991</v>
      </c>
      <c r="E236" s="2">
        <f>Source!AU169</f>
        <v>10</v>
      </c>
      <c r="F236" s="18"/>
      <c r="G236" s="17"/>
      <c r="H236" s="2"/>
      <c r="I236" s="2"/>
      <c r="J236" s="19">
        <f>SUM(T229:T235)</f>
        <v>873.83</v>
      </c>
      <c r="K236" s="19"/>
    </row>
    <row r="237" spans="1:22" ht="14.25" x14ac:dyDescent="0.2">
      <c r="A237" s="14"/>
      <c r="B237" s="15"/>
      <c r="C237" s="15" t="s">
        <v>997</v>
      </c>
      <c r="D237" s="16" t="s">
        <v>991</v>
      </c>
      <c r="E237" s="2">
        <f>108</f>
        <v>108</v>
      </c>
      <c r="F237" s="18"/>
      <c r="G237" s="17"/>
      <c r="H237" s="2"/>
      <c r="I237" s="2"/>
      <c r="J237" s="19">
        <f>SUM(V229:V236)</f>
        <v>6101.45</v>
      </c>
      <c r="K237" s="19"/>
    </row>
    <row r="238" spans="1:22" ht="14.25" x14ac:dyDescent="0.2">
      <c r="A238" s="14"/>
      <c r="B238" s="15"/>
      <c r="C238" s="15" t="s">
        <v>993</v>
      </c>
      <c r="D238" s="16" t="s">
        <v>994</v>
      </c>
      <c r="E238" s="2">
        <f>Source!AQ169</f>
        <v>2.65</v>
      </c>
      <c r="F238" s="18"/>
      <c r="G238" s="17" t="str">
        <f>Source!DI169</f>
        <v>)*5</v>
      </c>
      <c r="H238" s="2">
        <f>Source!AV169</f>
        <v>1</v>
      </c>
      <c r="I238" s="2"/>
      <c r="J238" s="19"/>
      <c r="K238" s="19">
        <f>Source!U169</f>
        <v>38.424999999999997</v>
      </c>
    </row>
    <row r="239" spans="1:22" ht="15" x14ac:dyDescent="0.25">
      <c r="A239" s="21"/>
      <c r="B239" s="21"/>
      <c r="C239" s="21"/>
      <c r="D239" s="21"/>
      <c r="E239" s="21"/>
      <c r="F239" s="21"/>
      <c r="G239" s="21"/>
      <c r="H239" s="21"/>
      <c r="I239" s="55">
        <f>J230+J231+J233+J235+J236+J237+SUM(J234:J234)</f>
        <v>76150.070000000007</v>
      </c>
      <c r="J239" s="55"/>
      <c r="K239" s="22">
        <f>IF(Source!I169&lt;&gt;0, ROUND(I239/Source!I169, 2), 0)</f>
        <v>26258.639999999999</v>
      </c>
      <c r="P239" s="20">
        <f>I239</f>
        <v>76150.070000000007</v>
      </c>
    </row>
    <row r="240" spans="1:22" ht="71.25" x14ac:dyDescent="0.2">
      <c r="A240" s="14" t="str">
        <f>Source!E171</f>
        <v>29</v>
      </c>
      <c r="B240" s="15" t="str">
        <f>Source!F171</f>
        <v>5.3-3103-11-2/1</v>
      </c>
      <c r="C240" s="15" t="str">
        <f>Source!G171</f>
        <v>Устройство наливного полиуретанового покрытия спортивных площадок и беговых дорожек, добавляется на 2 мм толщины покрытия к=5 до 10 см цветной</v>
      </c>
      <c r="D240" s="16" t="str">
        <f>Source!H171</f>
        <v>100 м2</v>
      </c>
      <c r="E240" s="2">
        <f>Source!I171</f>
        <v>2.9</v>
      </c>
      <c r="F240" s="18"/>
      <c r="G240" s="17"/>
      <c r="H240" s="2"/>
      <c r="I240" s="2"/>
      <c r="J240" s="19"/>
      <c r="K240" s="19"/>
      <c r="Q240">
        <f>ROUND((Source!BZ171/100)*ROUND((Source!AF171*Source!AV171)*Source!I171, 2), 2)</f>
        <v>6116.8</v>
      </c>
      <c r="R240">
        <f>Source!X171</f>
        <v>6116.8</v>
      </c>
      <c r="S240">
        <f>ROUND((Source!CA171/100)*ROUND((Source!AF171*Source!AV171)*Source!I171, 2), 2)</f>
        <v>873.83</v>
      </c>
      <c r="T240">
        <f>Source!Y171</f>
        <v>873.83</v>
      </c>
      <c r="U240">
        <f>ROUND((175/100)*ROUND((Source!AE171*Source!AV171)*Source!I171, 2), 2)</f>
        <v>9886.61</v>
      </c>
      <c r="V240">
        <f>ROUND((108/100)*ROUND(Source!CS171*Source!I171, 2), 2)</f>
        <v>6101.45</v>
      </c>
    </row>
    <row r="241" spans="1:32" ht="14.25" x14ac:dyDescent="0.2">
      <c r="A241" s="14"/>
      <c r="B241" s="15"/>
      <c r="C241" s="15" t="s">
        <v>989</v>
      </c>
      <c r="D241" s="16"/>
      <c r="E241" s="2"/>
      <c r="F241" s="18">
        <f>Source!AO171</f>
        <v>602.64</v>
      </c>
      <c r="G241" s="17" t="str">
        <f>Source!DG171</f>
        <v>)*5</v>
      </c>
      <c r="H241" s="2">
        <f>Source!AV171</f>
        <v>1</v>
      </c>
      <c r="I241" s="2">
        <f>IF(Source!BA171&lt;&gt; 0, Source!BA171, 1)</f>
        <v>1</v>
      </c>
      <c r="J241" s="19">
        <f>Source!S171</f>
        <v>8738.2800000000007</v>
      </c>
      <c r="K241" s="19"/>
    </row>
    <row r="242" spans="1:32" ht="14.25" x14ac:dyDescent="0.2">
      <c r="A242" s="14"/>
      <c r="B242" s="15"/>
      <c r="C242" s="15" t="s">
        <v>995</v>
      </c>
      <c r="D242" s="16"/>
      <c r="E242" s="2"/>
      <c r="F242" s="18">
        <f>Source!AM171</f>
        <v>492.86</v>
      </c>
      <c r="G242" s="17" t="str">
        <f>Source!DE171</f>
        <v>)*5</v>
      </c>
      <c r="H242" s="2">
        <f>Source!AV171</f>
        <v>1</v>
      </c>
      <c r="I242" s="2">
        <f>IF(Source!BB171&lt;&gt; 0, Source!BB171, 1)</f>
        <v>1</v>
      </c>
      <c r="J242" s="19">
        <f>Source!Q171</f>
        <v>7146.47</v>
      </c>
      <c r="K242" s="19"/>
    </row>
    <row r="243" spans="1:32" ht="14.25" x14ac:dyDescent="0.2">
      <c r="A243" s="14"/>
      <c r="B243" s="15"/>
      <c r="C243" s="15" t="s">
        <v>996</v>
      </c>
      <c r="D243" s="16"/>
      <c r="E243" s="2"/>
      <c r="F243" s="18">
        <f>Source!AN171</f>
        <v>389.62</v>
      </c>
      <c r="G243" s="17" t="str">
        <f>Source!DF171</f>
        <v>)*5</v>
      </c>
      <c r="H243" s="2">
        <f>Source!AV171</f>
        <v>1</v>
      </c>
      <c r="I243" s="2">
        <f>IF(Source!BS171&lt;&gt; 0, Source!BS171, 1)</f>
        <v>1</v>
      </c>
      <c r="J243" s="23">
        <f>Source!R171</f>
        <v>5649.49</v>
      </c>
      <c r="K243" s="19"/>
    </row>
    <row r="244" spans="1:32" ht="14.25" x14ac:dyDescent="0.2">
      <c r="A244" s="14"/>
      <c r="B244" s="15"/>
      <c r="C244" s="15" t="s">
        <v>1000</v>
      </c>
      <c r="D244" s="16"/>
      <c r="E244" s="2"/>
      <c r="F244" s="18">
        <f>Source!AL171</f>
        <v>18967.62</v>
      </c>
      <c r="G244" s="17" t="str">
        <f>Source!DD171</f>
        <v>)*5</v>
      </c>
      <c r="H244" s="2">
        <f>Source!AW171</f>
        <v>1</v>
      </c>
      <c r="I244" s="2">
        <f>IF(Source!BC171&lt;&gt; 0, Source!BC171, 1)</f>
        <v>1</v>
      </c>
      <c r="J244" s="19">
        <f>Source!P171</f>
        <v>275030.49</v>
      </c>
      <c r="K244" s="19"/>
    </row>
    <row r="245" spans="1:32" ht="14.25" x14ac:dyDescent="0.2">
      <c r="A245" s="14"/>
      <c r="B245" s="15"/>
      <c r="C245" s="15" t="s">
        <v>990</v>
      </c>
      <c r="D245" s="16" t="s">
        <v>991</v>
      </c>
      <c r="E245" s="2">
        <f>Source!AT171</f>
        <v>70</v>
      </c>
      <c r="F245" s="18"/>
      <c r="G245" s="17"/>
      <c r="H245" s="2"/>
      <c r="I245" s="2"/>
      <c r="J245" s="19">
        <f>SUM(R240:R244)</f>
        <v>6116.8</v>
      </c>
      <c r="K245" s="19"/>
    </row>
    <row r="246" spans="1:32" ht="14.25" x14ac:dyDescent="0.2">
      <c r="A246" s="14"/>
      <c r="B246" s="15"/>
      <c r="C246" s="15" t="s">
        <v>992</v>
      </c>
      <c r="D246" s="16" t="s">
        <v>991</v>
      </c>
      <c r="E246" s="2">
        <f>Source!AU171</f>
        <v>10</v>
      </c>
      <c r="F246" s="18"/>
      <c r="G246" s="17"/>
      <c r="H246" s="2"/>
      <c r="I246" s="2"/>
      <c r="J246" s="19">
        <f>SUM(T240:T245)</f>
        <v>873.83</v>
      </c>
      <c r="K246" s="19"/>
    </row>
    <row r="247" spans="1:32" ht="14.25" x14ac:dyDescent="0.2">
      <c r="A247" s="14"/>
      <c r="B247" s="15"/>
      <c r="C247" s="15" t="s">
        <v>997</v>
      </c>
      <c r="D247" s="16" t="s">
        <v>991</v>
      </c>
      <c r="E247" s="2">
        <f>108</f>
        <v>108</v>
      </c>
      <c r="F247" s="18"/>
      <c r="G247" s="17"/>
      <c r="H247" s="2"/>
      <c r="I247" s="2"/>
      <c r="J247" s="19">
        <f>SUM(V240:V246)</f>
        <v>6101.45</v>
      </c>
      <c r="K247" s="19"/>
    </row>
    <row r="248" spans="1:32" ht="14.25" x14ac:dyDescent="0.2">
      <c r="A248" s="14"/>
      <c r="B248" s="15"/>
      <c r="C248" s="15" t="s">
        <v>993</v>
      </c>
      <c r="D248" s="16" t="s">
        <v>994</v>
      </c>
      <c r="E248" s="2">
        <f>Source!AQ171</f>
        <v>2.65</v>
      </c>
      <c r="F248" s="18"/>
      <c r="G248" s="17" t="str">
        <f>Source!DI171</f>
        <v>)*5</v>
      </c>
      <c r="H248" s="2">
        <f>Source!AV171</f>
        <v>1</v>
      </c>
      <c r="I248" s="2"/>
      <c r="J248" s="19"/>
      <c r="K248" s="19">
        <f>Source!U171</f>
        <v>38.424999999999997</v>
      </c>
    </row>
    <row r="249" spans="1:32" ht="15" x14ac:dyDescent="0.25">
      <c r="A249" s="21"/>
      <c r="B249" s="21"/>
      <c r="C249" s="21"/>
      <c r="D249" s="21"/>
      <c r="E249" s="21"/>
      <c r="F249" s="21"/>
      <c r="G249" s="21"/>
      <c r="H249" s="21"/>
      <c r="I249" s="55">
        <f>J241+J242+J244+J245+J246+J247</f>
        <v>304007.32</v>
      </c>
      <c r="J249" s="55"/>
      <c r="K249" s="22">
        <f>IF(Source!I171&lt;&gt;0, ROUND(I249/Source!I171, 2), 0)</f>
        <v>104830.11</v>
      </c>
      <c r="P249" s="20">
        <f>I249</f>
        <v>304007.32</v>
      </c>
    </row>
    <row r="251" spans="1:32" ht="15" x14ac:dyDescent="0.25">
      <c r="A251" s="57" t="str">
        <f>CONCATENATE("Итого по разделу: ",IF(Source!G175&lt;&gt;"Новый раздел", Source!G175, ""))</f>
        <v>Итого по разделу: Устройство покрытия из резиновой крошки  на детских площадках(ТИП I)</v>
      </c>
      <c r="B251" s="57"/>
      <c r="C251" s="57"/>
      <c r="D251" s="57"/>
      <c r="E251" s="57"/>
      <c r="F251" s="57"/>
      <c r="G251" s="57"/>
      <c r="H251" s="57"/>
      <c r="I251" s="58">
        <f>SUM(P185:P250)</f>
        <v>865925.05</v>
      </c>
      <c r="J251" s="59"/>
      <c r="K251" s="24"/>
      <c r="AF251" s="27" t="str">
        <f>CONCATENATE("Итого по разделу: ",IF(Source!G175&lt;&gt;"Новый раздел", Source!G175, ""))</f>
        <v>Итого по разделу: Устройство покрытия из резиновой крошки  на детских площадках(ТИП I)</v>
      </c>
    </row>
    <row r="254" spans="1:32" ht="16.5" x14ac:dyDescent="0.25">
      <c r="A254" s="56" t="str">
        <f>CONCATENATE("Раздел: ",IF(Source!G205&lt;&gt;"Новый раздел", Source!G205, ""))</f>
        <v>Раздел: Ремонт плиточного покрытия (ТИП II)</v>
      </c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spans="1:32" ht="57" x14ac:dyDescent="0.2">
      <c r="A255" s="14" t="str">
        <f>Source!E213</f>
        <v>30</v>
      </c>
      <c r="B255" s="15" t="str">
        <f>Source!F213</f>
        <v>2.1-3103-14-1/2</v>
      </c>
      <c r="C255" s="15" t="str">
        <f>Source!G213</f>
        <v>Устройство плитных тротуаров из гладких бетонных плит с заполнением швов цементным раствором, толщина плит 70 мм, цвет плит разный</v>
      </c>
      <c r="D255" s="16" t="str">
        <f>Source!H213</f>
        <v>100 м2</v>
      </c>
      <c r="E255" s="2">
        <f>Source!I213</f>
        <v>0.69</v>
      </c>
      <c r="F255" s="18"/>
      <c r="G255" s="17"/>
      <c r="H255" s="2"/>
      <c r="I255" s="2"/>
      <c r="J255" s="19"/>
      <c r="K255" s="19"/>
      <c r="Q255">
        <f>ROUND((Source!BZ213/100)*ROUND((Source!AF213*Source!AV213)*Source!I213, 2), 2)</f>
        <v>4870.41</v>
      </c>
      <c r="R255">
        <f>Source!X213</f>
        <v>4870.41</v>
      </c>
      <c r="S255">
        <f>ROUND((Source!CA213/100)*ROUND((Source!AF213*Source!AV213)*Source!I213, 2), 2)</f>
        <v>695.77</v>
      </c>
      <c r="T255">
        <f>Source!Y213</f>
        <v>695.77</v>
      </c>
      <c r="U255">
        <f>ROUND((175/100)*ROUND((Source!AE213*Source!AV213)*Source!I213, 2), 2)</f>
        <v>36.869999999999997</v>
      </c>
      <c r="V255">
        <f>ROUND((108/100)*ROUND(Source!CS213*Source!I213, 2), 2)</f>
        <v>22.76</v>
      </c>
    </row>
    <row r="256" spans="1:32" ht="14.25" x14ac:dyDescent="0.2">
      <c r="A256" s="14"/>
      <c r="B256" s="15"/>
      <c r="C256" s="15" t="s">
        <v>989</v>
      </c>
      <c r="D256" s="16"/>
      <c r="E256" s="2"/>
      <c r="F256" s="18">
        <f>Source!AO213</f>
        <v>10083.67</v>
      </c>
      <c r="G256" s="17" t="str">
        <f>Source!DG213</f>
        <v/>
      </c>
      <c r="H256" s="2">
        <f>Source!AV213</f>
        <v>1</v>
      </c>
      <c r="I256" s="2">
        <f>IF(Source!BA213&lt;&gt; 0, Source!BA213, 1)</f>
        <v>1</v>
      </c>
      <c r="J256" s="19">
        <f>Source!S213</f>
        <v>6957.73</v>
      </c>
      <c r="K256" s="19"/>
    </row>
    <row r="257" spans="1:22" ht="14.25" x14ac:dyDescent="0.2">
      <c r="A257" s="14"/>
      <c r="B257" s="15"/>
      <c r="C257" s="15" t="s">
        <v>995</v>
      </c>
      <c r="D257" s="16"/>
      <c r="E257" s="2"/>
      <c r="F257" s="18">
        <f>Source!AM213</f>
        <v>660.3</v>
      </c>
      <c r="G257" s="17" t="str">
        <f>Source!DE213</f>
        <v/>
      </c>
      <c r="H257" s="2">
        <f>Source!AV213</f>
        <v>1</v>
      </c>
      <c r="I257" s="2">
        <f>IF(Source!BB213&lt;&gt; 0, Source!BB213, 1)</f>
        <v>1</v>
      </c>
      <c r="J257" s="19">
        <f>Source!Q213</f>
        <v>455.61</v>
      </c>
      <c r="K257" s="19"/>
    </row>
    <row r="258" spans="1:22" ht="14.25" x14ac:dyDescent="0.2">
      <c r="A258" s="14"/>
      <c r="B258" s="15"/>
      <c r="C258" s="15" t="s">
        <v>996</v>
      </c>
      <c r="D258" s="16"/>
      <c r="E258" s="2"/>
      <c r="F258" s="18">
        <f>Source!AN213</f>
        <v>30.54</v>
      </c>
      <c r="G258" s="17" t="str">
        <f>Source!DF213</f>
        <v/>
      </c>
      <c r="H258" s="2">
        <f>Source!AV213</f>
        <v>1</v>
      </c>
      <c r="I258" s="2">
        <f>IF(Source!BS213&lt;&gt; 0, Source!BS213, 1)</f>
        <v>1</v>
      </c>
      <c r="J258" s="23">
        <f>Source!R213</f>
        <v>21.07</v>
      </c>
      <c r="K258" s="19"/>
    </row>
    <row r="259" spans="1:22" ht="14.25" x14ac:dyDescent="0.2">
      <c r="A259" s="14"/>
      <c r="B259" s="15"/>
      <c r="C259" s="15" t="s">
        <v>1000</v>
      </c>
      <c r="D259" s="16"/>
      <c r="E259" s="2"/>
      <c r="F259" s="18">
        <f>Source!AL213</f>
        <v>91375.95</v>
      </c>
      <c r="G259" s="17" t="str">
        <f>Source!DD213</f>
        <v/>
      </c>
      <c r="H259" s="2">
        <f>Source!AW213</f>
        <v>1</v>
      </c>
      <c r="I259" s="2">
        <f>IF(Source!BC213&lt;&gt; 0, Source!BC213, 1)</f>
        <v>1</v>
      </c>
      <c r="J259" s="19">
        <f>Source!P213</f>
        <v>63049.41</v>
      </c>
      <c r="K259" s="19"/>
    </row>
    <row r="260" spans="1:22" ht="14.25" x14ac:dyDescent="0.2">
      <c r="A260" s="14"/>
      <c r="B260" s="15"/>
      <c r="C260" s="15" t="s">
        <v>990</v>
      </c>
      <c r="D260" s="16" t="s">
        <v>991</v>
      </c>
      <c r="E260" s="2">
        <f>Source!AT213</f>
        <v>70</v>
      </c>
      <c r="F260" s="18"/>
      <c r="G260" s="17"/>
      <c r="H260" s="2"/>
      <c r="I260" s="2"/>
      <c r="J260" s="19">
        <f>SUM(R255:R259)</f>
        <v>4870.41</v>
      </c>
      <c r="K260" s="19"/>
    </row>
    <row r="261" spans="1:22" ht="14.25" x14ac:dyDescent="0.2">
      <c r="A261" s="14"/>
      <c r="B261" s="15"/>
      <c r="C261" s="15" t="s">
        <v>992</v>
      </c>
      <c r="D261" s="16" t="s">
        <v>991</v>
      </c>
      <c r="E261" s="2">
        <f>Source!AU213</f>
        <v>10</v>
      </c>
      <c r="F261" s="18"/>
      <c r="G261" s="17"/>
      <c r="H261" s="2"/>
      <c r="I261" s="2"/>
      <c r="J261" s="19">
        <f>SUM(T255:T260)</f>
        <v>695.77</v>
      </c>
      <c r="K261" s="19"/>
    </row>
    <row r="262" spans="1:22" ht="14.25" x14ac:dyDescent="0.2">
      <c r="A262" s="14"/>
      <c r="B262" s="15"/>
      <c r="C262" s="15" t="s">
        <v>997</v>
      </c>
      <c r="D262" s="16" t="s">
        <v>991</v>
      </c>
      <c r="E262" s="2">
        <f>108</f>
        <v>108</v>
      </c>
      <c r="F262" s="18"/>
      <c r="G262" s="17"/>
      <c r="H262" s="2"/>
      <c r="I262" s="2"/>
      <c r="J262" s="19">
        <f>SUM(V255:V261)</f>
        <v>22.76</v>
      </c>
      <c r="K262" s="19"/>
    </row>
    <row r="263" spans="1:22" ht="14.25" x14ac:dyDescent="0.2">
      <c r="A263" s="14"/>
      <c r="B263" s="15"/>
      <c r="C263" s="15" t="s">
        <v>993</v>
      </c>
      <c r="D263" s="16" t="s">
        <v>994</v>
      </c>
      <c r="E263" s="2">
        <f>Source!AQ213</f>
        <v>52.67</v>
      </c>
      <c r="F263" s="18"/>
      <c r="G263" s="17" t="str">
        <f>Source!DI213</f>
        <v/>
      </c>
      <c r="H263" s="2">
        <f>Source!AV213</f>
        <v>1</v>
      </c>
      <c r="I263" s="2"/>
      <c r="J263" s="19"/>
      <c r="K263" s="19">
        <f>Source!U213</f>
        <v>36.342300000000002</v>
      </c>
    </row>
    <row r="264" spans="1:22" ht="15" x14ac:dyDescent="0.25">
      <c r="A264" s="21"/>
      <c r="B264" s="21"/>
      <c r="C264" s="21"/>
      <c r="D264" s="21"/>
      <c r="E264" s="21"/>
      <c r="F264" s="21"/>
      <c r="G264" s="21"/>
      <c r="H264" s="21"/>
      <c r="I264" s="55">
        <f>J256+J257+J259+J260+J261+J262</f>
        <v>76051.69</v>
      </c>
      <c r="J264" s="55"/>
      <c r="K264" s="22">
        <f>IF(Source!I213&lt;&gt;0, ROUND(I264/Source!I213, 2), 0)</f>
        <v>110219.84</v>
      </c>
      <c r="P264" s="20">
        <f>I264</f>
        <v>76051.69</v>
      </c>
    </row>
    <row r="266" spans="1:22" ht="15" x14ac:dyDescent="0.25">
      <c r="A266" s="57" t="str">
        <f>CONCATENATE("Итого по разделу: ",IF(Source!G216&lt;&gt;"Новый раздел", Source!G216, ""))</f>
        <v>Итого по разделу: Ремонт плиточного покрытия (ТИП II)</v>
      </c>
      <c r="B266" s="57"/>
      <c r="C266" s="57"/>
      <c r="D266" s="57"/>
      <c r="E266" s="57"/>
      <c r="F266" s="57"/>
      <c r="G266" s="57"/>
      <c r="H266" s="57"/>
      <c r="I266" s="58">
        <f>SUM(P254:P265)</f>
        <v>76051.69</v>
      </c>
      <c r="J266" s="59"/>
      <c r="K266" s="24"/>
    </row>
    <row r="269" spans="1:22" ht="16.5" x14ac:dyDescent="0.25">
      <c r="A269" s="56" t="str">
        <f>CONCATENATE("Раздел: ",IF(Source!G246&lt;&gt;"Новый раздел", Source!G246, ""))</f>
        <v>Раздел: Устройство плиточного покрытия (ТИП  III)</v>
      </c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spans="1:22" ht="42.75" x14ac:dyDescent="0.2">
      <c r="A270" s="14" t="str">
        <f>Source!E252</f>
        <v>31</v>
      </c>
      <c r="B270" s="15" t="str">
        <f>Source!F252</f>
        <v>2.1-3103-17-1/1</v>
      </c>
      <c r="C270" s="15" t="str">
        <f>Source!G252</f>
        <v>Устройство покрытий тротуаров из бетонной плитки типа "Брусчатка" рядовым или паркетным мощением</v>
      </c>
      <c r="D270" s="16" t="str">
        <f>Source!H252</f>
        <v>100 м2</v>
      </c>
      <c r="E270" s="2">
        <f>Source!I252</f>
        <v>0.20200000000000001</v>
      </c>
      <c r="F270" s="18"/>
      <c r="G270" s="17"/>
      <c r="H270" s="2"/>
      <c r="I270" s="2"/>
      <c r="J270" s="19"/>
      <c r="K270" s="19"/>
      <c r="Q270">
        <f>ROUND((Source!BZ252/100)*ROUND((Source!AF252*Source!AV252)*Source!I252, 2), 2)</f>
        <v>3842.29</v>
      </c>
      <c r="R270">
        <f>Source!X252</f>
        <v>3842.29</v>
      </c>
      <c r="S270">
        <f>ROUND((Source!CA252/100)*ROUND((Source!AF252*Source!AV252)*Source!I252, 2), 2)</f>
        <v>548.9</v>
      </c>
      <c r="T270">
        <f>Source!Y252</f>
        <v>548.9</v>
      </c>
      <c r="U270">
        <f>ROUND((175/100)*ROUND((Source!AE252*Source!AV252)*Source!I252, 2), 2)</f>
        <v>6.32</v>
      </c>
      <c r="V270">
        <f>ROUND((108/100)*ROUND(Source!CS252*Source!I252, 2), 2)</f>
        <v>3.9</v>
      </c>
    </row>
    <row r="271" spans="1:22" ht="14.25" x14ac:dyDescent="0.2">
      <c r="A271" s="14"/>
      <c r="B271" s="15"/>
      <c r="C271" s="15" t="s">
        <v>989</v>
      </c>
      <c r="D271" s="16"/>
      <c r="E271" s="2"/>
      <c r="F271" s="18">
        <f>Source!AO252</f>
        <v>27173.15</v>
      </c>
      <c r="G271" s="17" t="str">
        <f>Source!DG252</f>
        <v/>
      </c>
      <c r="H271" s="2">
        <f>Source!AV252</f>
        <v>1</v>
      </c>
      <c r="I271" s="2">
        <f>IF(Source!BA252&lt;&gt; 0, Source!BA252, 1)</f>
        <v>1</v>
      </c>
      <c r="J271" s="19">
        <f>Source!S252</f>
        <v>5488.98</v>
      </c>
      <c r="K271" s="19"/>
    </row>
    <row r="272" spans="1:22" ht="14.25" x14ac:dyDescent="0.2">
      <c r="A272" s="14"/>
      <c r="B272" s="15"/>
      <c r="C272" s="15" t="s">
        <v>995</v>
      </c>
      <c r="D272" s="16"/>
      <c r="E272" s="2"/>
      <c r="F272" s="18">
        <f>Source!AM252</f>
        <v>394.71</v>
      </c>
      <c r="G272" s="17" t="str">
        <f>Source!DE252</f>
        <v/>
      </c>
      <c r="H272" s="2">
        <f>Source!AV252</f>
        <v>1</v>
      </c>
      <c r="I272" s="2">
        <f>IF(Source!BB252&lt;&gt; 0, Source!BB252, 1)</f>
        <v>1</v>
      </c>
      <c r="J272" s="19">
        <f>Source!Q252</f>
        <v>79.73</v>
      </c>
      <c r="K272" s="19"/>
    </row>
    <row r="273" spans="1:22" ht="14.25" x14ac:dyDescent="0.2">
      <c r="A273" s="14"/>
      <c r="B273" s="15"/>
      <c r="C273" s="15" t="s">
        <v>996</v>
      </c>
      <c r="D273" s="16"/>
      <c r="E273" s="2"/>
      <c r="F273" s="18">
        <f>Source!AN252</f>
        <v>17.86</v>
      </c>
      <c r="G273" s="17" t="str">
        <f>Source!DF252</f>
        <v/>
      </c>
      <c r="H273" s="2">
        <f>Source!AV252</f>
        <v>1</v>
      </c>
      <c r="I273" s="2">
        <f>IF(Source!BS252&lt;&gt; 0, Source!BS252, 1)</f>
        <v>1</v>
      </c>
      <c r="J273" s="23">
        <f>Source!R252</f>
        <v>3.61</v>
      </c>
      <c r="K273" s="19"/>
    </row>
    <row r="274" spans="1:22" ht="14.25" x14ac:dyDescent="0.2">
      <c r="A274" s="14"/>
      <c r="B274" s="15"/>
      <c r="C274" s="15" t="s">
        <v>1000</v>
      </c>
      <c r="D274" s="16"/>
      <c r="E274" s="2"/>
      <c r="F274" s="18">
        <f>Source!AL252</f>
        <v>41101.42</v>
      </c>
      <c r="G274" s="17" t="str">
        <f>Source!DD252</f>
        <v/>
      </c>
      <c r="H274" s="2">
        <f>Source!AW252</f>
        <v>1</v>
      </c>
      <c r="I274" s="2">
        <f>IF(Source!BC252&lt;&gt; 0, Source!BC252, 1)</f>
        <v>1</v>
      </c>
      <c r="J274" s="19">
        <f>Source!P252</f>
        <v>8302.49</v>
      </c>
      <c r="K274" s="19"/>
    </row>
    <row r="275" spans="1:22" ht="42.75" x14ac:dyDescent="0.2">
      <c r="A275" s="14" t="str">
        <f>Source!E253</f>
        <v>31,1</v>
      </c>
      <c r="B275" s="15" t="str">
        <f>Source!F253</f>
        <v>21.5-3-6</v>
      </c>
      <c r="C275" s="15" t="str">
        <f>Source!G253</f>
        <v>Брусчатка бетонная прямая, марка 1ПБ 20.10.7, цвет светло-серый  (плитка бетонная серая 200х100х80)</v>
      </c>
      <c r="D275" s="16" t="str">
        <f>Source!H253</f>
        <v>м2</v>
      </c>
      <c r="E275" s="2">
        <f>Source!I253</f>
        <v>20.2</v>
      </c>
      <c r="F275" s="18">
        <f>Source!AK253</f>
        <v>968.56</v>
      </c>
      <c r="G275" s="26" t="s">
        <v>3</v>
      </c>
      <c r="H275" s="2">
        <f>Source!AW253</f>
        <v>1</v>
      </c>
      <c r="I275" s="2">
        <f>IF(Source!BC253&lt;&gt; 0, Source!BC253, 1)</f>
        <v>1</v>
      </c>
      <c r="J275" s="19">
        <f>Source!O253</f>
        <v>19564.91</v>
      </c>
      <c r="K275" s="19"/>
      <c r="Q275">
        <f>ROUND((Source!BZ253/100)*ROUND((Source!AF253*Source!AV253)*Source!I253, 2), 2)</f>
        <v>0</v>
      </c>
      <c r="R275">
        <f>Source!X253</f>
        <v>0</v>
      </c>
      <c r="S275">
        <f>ROUND((Source!CA253/100)*ROUND((Source!AF253*Source!AV253)*Source!I253, 2), 2)</f>
        <v>0</v>
      </c>
      <c r="T275">
        <f>Source!Y253</f>
        <v>0</v>
      </c>
      <c r="U275">
        <f>ROUND((175/100)*ROUND((Source!AE253*Source!AV253)*Source!I253, 2), 2)</f>
        <v>0</v>
      </c>
      <c r="V275">
        <f>ROUND((108/100)*ROUND(Source!CS253*Source!I253, 2), 2)</f>
        <v>0</v>
      </c>
    </row>
    <row r="276" spans="1:22" ht="14.25" x14ac:dyDescent="0.2">
      <c r="A276" s="14"/>
      <c r="B276" s="15"/>
      <c r="C276" s="15" t="s">
        <v>990</v>
      </c>
      <c r="D276" s="16" t="s">
        <v>991</v>
      </c>
      <c r="E276" s="2">
        <f>Source!AT252</f>
        <v>70</v>
      </c>
      <c r="F276" s="18"/>
      <c r="G276" s="17"/>
      <c r="H276" s="2"/>
      <c r="I276" s="2"/>
      <c r="J276" s="19">
        <f>SUM(R270:R275)</f>
        <v>3842.29</v>
      </c>
      <c r="K276" s="19"/>
    </row>
    <row r="277" spans="1:22" ht="14.25" x14ac:dyDescent="0.2">
      <c r="A277" s="14"/>
      <c r="B277" s="15"/>
      <c r="C277" s="15" t="s">
        <v>992</v>
      </c>
      <c r="D277" s="16" t="s">
        <v>991</v>
      </c>
      <c r="E277" s="2">
        <f>Source!AU252</f>
        <v>10</v>
      </c>
      <c r="F277" s="18"/>
      <c r="G277" s="17"/>
      <c r="H277" s="2"/>
      <c r="I277" s="2"/>
      <c r="J277" s="19">
        <f>SUM(T270:T276)</f>
        <v>548.9</v>
      </c>
      <c r="K277" s="19"/>
    </row>
    <row r="278" spans="1:22" ht="14.25" x14ac:dyDescent="0.2">
      <c r="A278" s="14"/>
      <c r="B278" s="15"/>
      <c r="C278" s="15" t="s">
        <v>997</v>
      </c>
      <c r="D278" s="16" t="s">
        <v>991</v>
      </c>
      <c r="E278" s="2">
        <f>108</f>
        <v>108</v>
      </c>
      <c r="F278" s="18"/>
      <c r="G278" s="17"/>
      <c r="H278" s="2"/>
      <c r="I278" s="2"/>
      <c r="J278" s="19">
        <f>SUM(V270:V277)</f>
        <v>3.9</v>
      </c>
      <c r="K278" s="19"/>
    </row>
    <row r="279" spans="1:22" ht="14.25" x14ac:dyDescent="0.2">
      <c r="A279" s="14"/>
      <c r="B279" s="15"/>
      <c r="C279" s="15" t="s">
        <v>993</v>
      </c>
      <c r="D279" s="16" t="s">
        <v>994</v>
      </c>
      <c r="E279" s="2">
        <f>Source!AQ252</f>
        <v>134.08000000000001</v>
      </c>
      <c r="F279" s="18"/>
      <c r="G279" s="17" t="str">
        <f>Source!DI252</f>
        <v/>
      </c>
      <c r="H279" s="2">
        <f>Source!AV252</f>
        <v>1</v>
      </c>
      <c r="I279" s="2"/>
      <c r="J279" s="19"/>
      <c r="K279" s="19">
        <f>Source!U252</f>
        <v>27.084160000000004</v>
      </c>
    </row>
    <row r="280" spans="1:22" ht="15" x14ac:dyDescent="0.25">
      <c r="A280" s="21"/>
      <c r="B280" s="21"/>
      <c r="C280" s="21"/>
      <c r="D280" s="21"/>
      <c r="E280" s="21"/>
      <c r="F280" s="21"/>
      <c r="G280" s="21"/>
      <c r="H280" s="21"/>
      <c r="I280" s="55">
        <f>J271+J272+J274+J276+J277+J278+SUM(J275:J275)</f>
        <v>37831.199999999997</v>
      </c>
      <c r="J280" s="55"/>
      <c r="K280" s="22">
        <f>IF(Source!I252&lt;&gt;0, ROUND(I280/Source!I252, 2), 0)</f>
        <v>187283.17</v>
      </c>
      <c r="P280" s="20">
        <f>I280</f>
        <v>37831.199999999997</v>
      </c>
    </row>
    <row r="282" spans="1:22" ht="15" x14ac:dyDescent="0.25">
      <c r="A282" s="57" t="str">
        <f>CONCATENATE("Итого по разделу: ",IF(Source!G255&lt;&gt;"Новый раздел", Source!G255, ""))</f>
        <v>Итого по разделу: Устройство плиточного покрытия (ТИП  III)</v>
      </c>
      <c r="B282" s="57"/>
      <c r="C282" s="57"/>
      <c r="D282" s="57"/>
      <c r="E282" s="57"/>
      <c r="F282" s="57"/>
      <c r="G282" s="57"/>
      <c r="H282" s="57"/>
      <c r="I282" s="58">
        <f>SUM(P269:P281)</f>
        <v>37831.199999999997</v>
      </c>
      <c r="J282" s="59"/>
      <c r="K282" s="24"/>
    </row>
    <row r="285" spans="1:22" ht="16.5" x14ac:dyDescent="0.25">
      <c r="A285" s="56" t="str">
        <f>CONCATENATE("Раздел: ",IF(Source!G285&lt;&gt;"Новый раздел", Source!G285, ""))</f>
        <v>Раздел: Ремонт лестницы</v>
      </c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spans="1:22" ht="42.75" x14ac:dyDescent="0.2">
      <c r="A286" s="14" t="str">
        <f>Source!E291</f>
        <v>32</v>
      </c>
      <c r="B286" s="15" t="str">
        <f>Source!F291</f>
        <v>2.1-3103-17-1/1</v>
      </c>
      <c r="C286" s="15" t="str">
        <f>Source!G291</f>
        <v>Устройство покрытий тротуаров из бетонной плитки типа "Брусчатка" рядовым или паркетным мощением</v>
      </c>
      <c r="D286" s="16" t="str">
        <f>Source!H291</f>
        <v>100 м2</v>
      </c>
      <c r="E286" s="2">
        <f>Source!I291</f>
        <v>5.2999999999999999E-2</v>
      </c>
      <c r="F286" s="18"/>
      <c r="G286" s="17"/>
      <c r="H286" s="2"/>
      <c r="I286" s="2"/>
      <c r="J286" s="19"/>
      <c r="K286" s="19"/>
      <c r="Q286">
        <f>ROUND((Source!BZ291/100)*ROUND((Source!AF291*Source!AV291)*Source!I291, 2), 2)</f>
        <v>1008.13</v>
      </c>
      <c r="R286">
        <f>Source!X291</f>
        <v>1008.13</v>
      </c>
      <c r="S286">
        <f>ROUND((Source!CA291/100)*ROUND((Source!AF291*Source!AV291)*Source!I291, 2), 2)</f>
        <v>144.02000000000001</v>
      </c>
      <c r="T286">
        <f>Source!Y291</f>
        <v>144.02000000000001</v>
      </c>
      <c r="U286">
        <f>ROUND((175/100)*ROUND((Source!AE291*Source!AV291)*Source!I291, 2), 2)</f>
        <v>1.66</v>
      </c>
      <c r="V286">
        <f>ROUND((108/100)*ROUND(Source!CS291*Source!I291, 2), 2)</f>
        <v>1.03</v>
      </c>
    </row>
    <row r="287" spans="1:22" ht="14.25" x14ac:dyDescent="0.2">
      <c r="A287" s="14"/>
      <c r="B287" s="15"/>
      <c r="C287" s="15" t="s">
        <v>989</v>
      </c>
      <c r="D287" s="16"/>
      <c r="E287" s="2"/>
      <c r="F287" s="18">
        <f>Source!AO291</f>
        <v>27173.15</v>
      </c>
      <c r="G287" s="17" t="str">
        <f>Source!DG291</f>
        <v/>
      </c>
      <c r="H287" s="2">
        <f>Source!AV291</f>
        <v>1</v>
      </c>
      <c r="I287" s="2">
        <f>IF(Source!BA291&lt;&gt; 0, Source!BA291, 1)</f>
        <v>1</v>
      </c>
      <c r="J287" s="19">
        <f>Source!S291</f>
        <v>1440.18</v>
      </c>
      <c r="K287" s="19"/>
    </row>
    <row r="288" spans="1:22" ht="14.25" x14ac:dyDescent="0.2">
      <c r="A288" s="14"/>
      <c r="B288" s="15"/>
      <c r="C288" s="15" t="s">
        <v>995</v>
      </c>
      <c r="D288" s="16"/>
      <c r="E288" s="2"/>
      <c r="F288" s="18">
        <f>Source!AM291</f>
        <v>394.71</v>
      </c>
      <c r="G288" s="17" t="str">
        <f>Source!DE291</f>
        <v/>
      </c>
      <c r="H288" s="2">
        <f>Source!AV291</f>
        <v>1</v>
      </c>
      <c r="I288" s="2">
        <f>IF(Source!BB291&lt;&gt; 0, Source!BB291, 1)</f>
        <v>1</v>
      </c>
      <c r="J288" s="19">
        <f>Source!Q291</f>
        <v>20.92</v>
      </c>
      <c r="K288" s="19"/>
    </row>
    <row r="289" spans="1:22" ht="14.25" x14ac:dyDescent="0.2">
      <c r="A289" s="14"/>
      <c r="B289" s="15"/>
      <c r="C289" s="15" t="s">
        <v>996</v>
      </c>
      <c r="D289" s="16"/>
      <c r="E289" s="2"/>
      <c r="F289" s="18">
        <f>Source!AN291</f>
        <v>17.86</v>
      </c>
      <c r="G289" s="17" t="str">
        <f>Source!DF291</f>
        <v/>
      </c>
      <c r="H289" s="2">
        <f>Source!AV291</f>
        <v>1</v>
      </c>
      <c r="I289" s="2">
        <f>IF(Source!BS291&lt;&gt; 0, Source!BS291, 1)</f>
        <v>1</v>
      </c>
      <c r="J289" s="23">
        <f>Source!R291</f>
        <v>0.95</v>
      </c>
      <c r="K289" s="19"/>
    </row>
    <row r="290" spans="1:22" ht="14.25" x14ac:dyDescent="0.2">
      <c r="A290" s="14"/>
      <c r="B290" s="15"/>
      <c r="C290" s="15" t="s">
        <v>1000</v>
      </c>
      <c r="D290" s="16"/>
      <c r="E290" s="2"/>
      <c r="F290" s="18">
        <f>Source!AL291</f>
        <v>41101.42</v>
      </c>
      <c r="G290" s="17" t="str">
        <f>Source!DD291</f>
        <v/>
      </c>
      <c r="H290" s="2">
        <f>Source!AW291</f>
        <v>1</v>
      </c>
      <c r="I290" s="2">
        <f>IF(Source!BC291&lt;&gt; 0, Source!BC291, 1)</f>
        <v>1</v>
      </c>
      <c r="J290" s="19">
        <f>Source!P291</f>
        <v>2178.38</v>
      </c>
      <c r="K290" s="19"/>
    </row>
    <row r="291" spans="1:22" ht="42.75" x14ac:dyDescent="0.2">
      <c r="A291" s="14" t="str">
        <f>Source!E292</f>
        <v>32,1</v>
      </c>
      <c r="B291" s="15" t="str">
        <f>Source!F292</f>
        <v>21.5-3-6</v>
      </c>
      <c r="C291" s="15" t="str">
        <f>Source!G292</f>
        <v>Брусчатка бетонная прямая, марка 1ПБ 20.10.7, цвет светло-серый  (плитка бетонная серая 200х100х80)</v>
      </c>
      <c r="D291" s="16" t="str">
        <f>Source!H292</f>
        <v>м2</v>
      </c>
      <c r="E291" s="2">
        <f>Source!I292</f>
        <v>5.5650000000000004</v>
      </c>
      <c r="F291" s="18">
        <f>Source!AK292</f>
        <v>968.56</v>
      </c>
      <c r="G291" s="26" t="s">
        <v>3</v>
      </c>
      <c r="H291" s="2">
        <f>Source!AW292</f>
        <v>1</v>
      </c>
      <c r="I291" s="2">
        <f>IF(Source!BC292&lt;&gt; 0, Source!BC292, 1)</f>
        <v>1</v>
      </c>
      <c r="J291" s="19">
        <f>Source!O292</f>
        <v>5390.04</v>
      </c>
      <c r="K291" s="19"/>
      <c r="Q291">
        <f>ROUND((Source!BZ292/100)*ROUND((Source!AF292*Source!AV292)*Source!I292, 2), 2)</f>
        <v>0</v>
      </c>
      <c r="R291">
        <f>Source!X292</f>
        <v>0</v>
      </c>
      <c r="S291">
        <f>ROUND((Source!CA292/100)*ROUND((Source!AF292*Source!AV292)*Source!I292, 2), 2)</f>
        <v>0</v>
      </c>
      <c r="T291">
        <f>Source!Y292</f>
        <v>0</v>
      </c>
      <c r="U291">
        <f>ROUND((175/100)*ROUND((Source!AE292*Source!AV292)*Source!I292, 2), 2)</f>
        <v>0</v>
      </c>
      <c r="V291">
        <f>ROUND((108/100)*ROUND(Source!CS292*Source!I292, 2), 2)</f>
        <v>0</v>
      </c>
    </row>
    <row r="292" spans="1:22" ht="14.25" x14ac:dyDescent="0.2">
      <c r="A292" s="14"/>
      <c r="B292" s="15"/>
      <c r="C292" s="15" t="s">
        <v>990</v>
      </c>
      <c r="D292" s="16" t="s">
        <v>991</v>
      </c>
      <c r="E292" s="2">
        <f>Source!AT291</f>
        <v>70</v>
      </c>
      <c r="F292" s="18"/>
      <c r="G292" s="17"/>
      <c r="H292" s="2"/>
      <c r="I292" s="2"/>
      <c r="J292" s="19">
        <f>SUM(R286:R291)</f>
        <v>1008.13</v>
      </c>
      <c r="K292" s="19"/>
    </row>
    <row r="293" spans="1:22" ht="14.25" x14ac:dyDescent="0.2">
      <c r="A293" s="14"/>
      <c r="B293" s="15"/>
      <c r="C293" s="15" t="s">
        <v>992</v>
      </c>
      <c r="D293" s="16" t="s">
        <v>991</v>
      </c>
      <c r="E293" s="2">
        <f>Source!AU291</f>
        <v>10</v>
      </c>
      <c r="F293" s="18"/>
      <c r="G293" s="17"/>
      <c r="H293" s="2"/>
      <c r="I293" s="2"/>
      <c r="J293" s="19">
        <f>SUM(T286:T292)</f>
        <v>144.02000000000001</v>
      </c>
      <c r="K293" s="19"/>
    </row>
    <row r="294" spans="1:22" ht="14.25" x14ac:dyDescent="0.2">
      <c r="A294" s="14"/>
      <c r="B294" s="15"/>
      <c r="C294" s="15" t="s">
        <v>997</v>
      </c>
      <c r="D294" s="16" t="s">
        <v>991</v>
      </c>
      <c r="E294" s="2">
        <f>108</f>
        <v>108</v>
      </c>
      <c r="F294" s="18"/>
      <c r="G294" s="17"/>
      <c r="H294" s="2"/>
      <c r="I294" s="2"/>
      <c r="J294" s="19">
        <f>SUM(V286:V293)</f>
        <v>1.03</v>
      </c>
      <c r="K294" s="19"/>
    </row>
    <row r="295" spans="1:22" ht="14.25" x14ac:dyDescent="0.2">
      <c r="A295" s="14"/>
      <c r="B295" s="15"/>
      <c r="C295" s="15" t="s">
        <v>993</v>
      </c>
      <c r="D295" s="16" t="s">
        <v>994</v>
      </c>
      <c r="E295" s="2">
        <f>Source!AQ291</f>
        <v>134.08000000000001</v>
      </c>
      <c r="F295" s="18"/>
      <c r="G295" s="17" t="str">
        <f>Source!DI291</f>
        <v/>
      </c>
      <c r="H295" s="2">
        <f>Source!AV291</f>
        <v>1</v>
      </c>
      <c r="I295" s="2"/>
      <c r="J295" s="19"/>
      <c r="K295" s="19">
        <f>Source!U291</f>
        <v>7.1062400000000006</v>
      </c>
    </row>
    <row r="296" spans="1:22" ht="15" x14ac:dyDescent="0.25">
      <c r="A296" s="21"/>
      <c r="B296" s="21"/>
      <c r="C296" s="21"/>
      <c r="D296" s="21"/>
      <c r="E296" s="21"/>
      <c r="F296" s="21"/>
      <c r="G296" s="21"/>
      <c r="H296" s="21"/>
      <c r="I296" s="55">
        <f>J287+J288+J290+J292+J293+J294+SUM(J291:J291)</f>
        <v>10182.700000000001</v>
      </c>
      <c r="J296" s="55"/>
      <c r="K296" s="22">
        <f>IF(Source!I291&lt;&gt;0, ROUND(I296/Source!I291, 2), 0)</f>
        <v>192126.42</v>
      </c>
      <c r="P296" s="20">
        <f>I296</f>
        <v>10182.700000000001</v>
      </c>
    </row>
    <row r="297" spans="1:22" ht="42.75" x14ac:dyDescent="0.2">
      <c r="A297" s="14" t="str">
        <f>Source!E295</f>
        <v>33</v>
      </c>
      <c r="B297" s="15" t="str">
        <f>Source!F295</f>
        <v>2.1-3203-1-2/1</v>
      </c>
      <c r="C297" s="15" t="str">
        <f>Source!G295</f>
        <v>Установка бортовых камней бетонных марки БР 100.30.15 при других видах покрытий</v>
      </c>
      <c r="D297" s="16" t="str">
        <f>Source!H295</f>
        <v>100 м</v>
      </c>
      <c r="E297" s="2">
        <f>Source!I295</f>
        <v>0.19</v>
      </c>
      <c r="F297" s="18"/>
      <c r="G297" s="17"/>
      <c r="H297" s="2"/>
      <c r="I297" s="2"/>
      <c r="J297" s="19"/>
      <c r="K297" s="19"/>
      <c r="Q297">
        <f>ROUND((Source!BZ295/100)*ROUND((Source!AF295*Source!AV295)*Source!I295, 2), 2)</f>
        <v>2112.5500000000002</v>
      </c>
      <c r="R297">
        <f>Source!X295</f>
        <v>2112.5500000000002</v>
      </c>
      <c r="S297">
        <f>ROUND((Source!CA295/100)*ROUND((Source!AF295*Source!AV295)*Source!I295, 2), 2)</f>
        <v>301.79000000000002</v>
      </c>
      <c r="T297">
        <f>Source!Y295</f>
        <v>301.79000000000002</v>
      </c>
      <c r="U297">
        <f>ROUND((175/100)*ROUND((Source!AE295*Source!AV295)*Source!I295, 2), 2)</f>
        <v>0</v>
      </c>
      <c r="V297">
        <f>ROUND((108/100)*ROUND(Source!CS295*Source!I295, 2), 2)</f>
        <v>0</v>
      </c>
    </row>
    <row r="298" spans="1:22" ht="14.25" x14ac:dyDescent="0.2">
      <c r="A298" s="14"/>
      <c r="B298" s="15"/>
      <c r="C298" s="15" t="s">
        <v>989</v>
      </c>
      <c r="D298" s="16"/>
      <c r="E298" s="2"/>
      <c r="F298" s="18">
        <f>Source!AO295</f>
        <v>15883.83</v>
      </c>
      <c r="G298" s="17" t="str">
        <f>Source!DG295</f>
        <v/>
      </c>
      <c r="H298" s="2">
        <f>Source!AV295</f>
        <v>1</v>
      </c>
      <c r="I298" s="2">
        <f>IF(Source!BA295&lt;&gt; 0, Source!BA295, 1)</f>
        <v>1</v>
      </c>
      <c r="J298" s="19">
        <f>Source!S295</f>
        <v>3017.93</v>
      </c>
      <c r="K298" s="19"/>
    </row>
    <row r="299" spans="1:22" ht="14.25" x14ac:dyDescent="0.2">
      <c r="A299" s="14"/>
      <c r="B299" s="15"/>
      <c r="C299" s="15" t="s">
        <v>1000</v>
      </c>
      <c r="D299" s="16"/>
      <c r="E299" s="2"/>
      <c r="F299" s="18">
        <f>Source!AL295</f>
        <v>55802.41</v>
      </c>
      <c r="G299" s="17" t="str">
        <f>Source!DD295</f>
        <v/>
      </c>
      <c r="H299" s="2">
        <f>Source!AW295</f>
        <v>1</v>
      </c>
      <c r="I299" s="2">
        <f>IF(Source!BC295&lt;&gt; 0, Source!BC295, 1)</f>
        <v>1</v>
      </c>
      <c r="J299" s="19">
        <f>Source!P295</f>
        <v>10602.46</v>
      </c>
      <c r="K299" s="19"/>
    </row>
    <row r="300" spans="1:22" ht="14.25" x14ac:dyDescent="0.2">
      <c r="A300" s="14"/>
      <c r="B300" s="15"/>
      <c r="C300" s="15" t="s">
        <v>990</v>
      </c>
      <c r="D300" s="16" t="s">
        <v>991</v>
      </c>
      <c r="E300" s="2">
        <f>Source!AT295</f>
        <v>70</v>
      </c>
      <c r="F300" s="18"/>
      <c r="G300" s="17"/>
      <c r="H300" s="2"/>
      <c r="I300" s="2"/>
      <c r="J300" s="19">
        <f>SUM(R297:R299)</f>
        <v>2112.5500000000002</v>
      </c>
      <c r="K300" s="19"/>
    </row>
    <row r="301" spans="1:22" ht="14.25" x14ac:dyDescent="0.2">
      <c r="A301" s="14"/>
      <c r="B301" s="15"/>
      <c r="C301" s="15" t="s">
        <v>992</v>
      </c>
      <c r="D301" s="16" t="s">
        <v>991</v>
      </c>
      <c r="E301" s="2">
        <f>Source!AU295</f>
        <v>10</v>
      </c>
      <c r="F301" s="18"/>
      <c r="G301" s="17"/>
      <c r="H301" s="2"/>
      <c r="I301" s="2"/>
      <c r="J301" s="19">
        <f>SUM(T297:T300)</f>
        <v>301.79000000000002</v>
      </c>
      <c r="K301" s="19"/>
    </row>
    <row r="302" spans="1:22" ht="14.25" x14ac:dyDescent="0.2">
      <c r="A302" s="14"/>
      <c r="B302" s="15"/>
      <c r="C302" s="15" t="s">
        <v>993</v>
      </c>
      <c r="D302" s="16" t="s">
        <v>994</v>
      </c>
      <c r="E302" s="2">
        <f>Source!AQ295</f>
        <v>80.27</v>
      </c>
      <c r="F302" s="18"/>
      <c r="G302" s="17" t="str">
        <f>Source!DI295</f>
        <v/>
      </c>
      <c r="H302" s="2">
        <f>Source!AV295</f>
        <v>1</v>
      </c>
      <c r="I302" s="2"/>
      <c r="J302" s="19"/>
      <c r="K302" s="19">
        <f>Source!U295</f>
        <v>15.251299999999999</v>
      </c>
    </row>
    <row r="303" spans="1:22" ht="15" x14ac:dyDescent="0.25">
      <c r="A303" s="21"/>
      <c r="B303" s="21"/>
      <c r="C303" s="21"/>
      <c r="D303" s="21"/>
      <c r="E303" s="21"/>
      <c r="F303" s="21"/>
      <c r="G303" s="21"/>
      <c r="H303" s="21"/>
      <c r="I303" s="55">
        <f>J298+J299+J300+J301</f>
        <v>16034.73</v>
      </c>
      <c r="J303" s="55"/>
      <c r="K303" s="22">
        <f>IF(Source!I295&lt;&gt;0, ROUND(I303/Source!I295, 2), 0)</f>
        <v>84393.32</v>
      </c>
      <c r="P303" s="20">
        <f>I303</f>
        <v>16034.73</v>
      </c>
    </row>
    <row r="305" spans="1:22" ht="15" x14ac:dyDescent="0.25">
      <c r="A305" s="57" t="str">
        <f>CONCATENATE("Итого по разделу: ",IF(Source!G298&lt;&gt;"Новый раздел", Source!G298, ""))</f>
        <v>Итого по разделу: Ремонт лестницы</v>
      </c>
      <c r="B305" s="57"/>
      <c r="C305" s="57"/>
      <c r="D305" s="57"/>
      <c r="E305" s="57"/>
      <c r="F305" s="57"/>
      <c r="G305" s="57"/>
      <c r="H305" s="57"/>
      <c r="I305" s="58">
        <f>SUM(P285:P304)</f>
        <v>26217.43</v>
      </c>
      <c r="J305" s="59"/>
      <c r="K305" s="24"/>
    </row>
    <row r="308" spans="1:22" ht="16.5" x14ac:dyDescent="0.25">
      <c r="A308" s="56" t="str">
        <f>CONCATENATE("Раздел: ",IF(Source!G328&lt;&gt;"Новый раздел", Source!G328, ""))</f>
        <v>Раздел: Установка садового бортового камня БР 100.20.8 на бетонное основание</v>
      </c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spans="1:22" ht="42.75" x14ac:dyDescent="0.2">
      <c r="A309" s="14" t="str">
        <f>Source!E332</f>
        <v>34</v>
      </c>
      <c r="B309" s="15" t="str">
        <f>Source!F332</f>
        <v>2.1-3303-1-1/1</v>
      </c>
      <c r="C309" s="15" t="str">
        <f>Source!G332</f>
        <v>Устройство подстилающих и выравнивающих слоев оснований из песка</v>
      </c>
      <c r="D309" s="16" t="str">
        <f>Source!H332</f>
        <v>100 м3</v>
      </c>
      <c r="E309" s="2">
        <f>Source!I332</f>
        <v>9.8400000000000001E-2</v>
      </c>
      <c r="F309" s="18"/>
      <c r="G309" s="17"/>
      <c r="H309" s="2"/>
      <c r="I309" s="2"/>
      <c r="J309" s="19"/>
      <c r="K309" s="19"/>
      <c r="Q309">
        <f>ROUND((Source!BZ332/100)*ROUND((Source!AF332*Source!AV332)*Source!I332, 2), 2)</f>
        <v>213.49</v>
      </c>
      <c r="R309">
        <f>Source!X332</f>
        <v>213.49</v>
      </c>
      <c r="S309">
        <f>ROUND((Source!CA332/100)*ROUND((Source!AF332*Source!AV332)*Source!I332, 2), 2)</f>
        <v>30.5</v>
      </c>
      <c r="T309">
        <f>Source!Y332</f>
        <v>30.5</v>
      </c>
      <c r="U309">
        <f>ROUND((175/100)*ROUND((Source!AE332*Source!AV332)*Source!I332, 2), 2)</f>
        <v>555</v>
      </c>
      <c r="V309">
        <f>ROUND((108/100)*ROUND(Source!CS332*Source!I332, 2), 2)</f>
        <v>342.51</v>
      </c>
    </row>
    <row r="310" spans="1:22" ht="14.25" x14ac:dyDescent="0.2">
      <c r="A310" s="14"/>
      <c r="B310" s="15"/>
      <c r="C310" s="15" t="s">
        <v>989</v>
      </c>
      <c r="D310" s="16"/>
      <c r="E310" s="2"/>
      <c r="F310" s="18">
        <f>Source!AO332</f>
        <v>3099.54</v>
      </c>
      <c r="G310" s="17" t="str">
        <f>Source!DG332</f>
        <v/>
      </c>
      <c r="H310" s="2">
        <f>Source!AV332</f>
        <v>1</v>
      </c>
      <c r="I310" s="2">
        <f>IF(Source!BA332&lt;&gt; 0, Source!BA332, 1)</f>
        <v>1</v>
      </c>
      <c r="J310" s="19">
        <f>Source!S332</f>
        <v>304.99</v>
      </c>
      <c r="K310" s="19"/>
    </row>
    <row r="311" spans="1:22" ht="14.25" x14ac:dyDescent="0.2">
      <c r="A311" s="14"/>
      <c r="B311" s="15"/>
      <c r="C311" s="15" t="s">
        <v>995</v>
      </c>
      <c r="D311" s="16"/>
      <c r="E311" s="2"/>
      <c r="F311" s="18">
        <f>Source!AM332</f>
        <v>7602.23</v>
      </c>
      <c r="G311" s="17" t="str">
        <f>Source!DE332</f>
        <v/>
      </c>
      <c r="H311" s="2">
        <f>Source!AV332</f>
        <v>1</v>
      </c>
      <c r="I311" s="2">
        <f>IF(Source!BB332&lt;&gt; 0, Source!BB332, 1)</f>
        <v>1</v>
      </c>
      <c r="J311" s="19">
        <f>Source!Q332</f>
        <v>748.06</v>
      </c>
      <c r="K311" s="19"/>
    </row>
    <row r="312" spans="1:22" ht="14.25" x14ac:dyDescent="0.2">
      <c r="A312" s="14"/>
      <c r="B312" s="15"/>
      <c r="C312" s="15" t="s">
        <v>996</v>
      </c>
      <c r="D312" s="16"/>
      <c r="E312" s="2"/>
      <c r="F312" s="18">
        <f>Source!AN332</f>
        <v>3222.98</v>
      </c>
      <c r="G312" s="17" t="str">
        <f>Source!DF332</f>
        <v/>
      </c>
      <c r="H312" s="2">
        <f>Source!AV332</f>
        <v>1</v>
      </c>
      <c r="I312" s="2">
        <f>IF(Source!BS332&lt;&gt; 0, Source!BS332, 1)</f>
        <v>1</v>
      </c>
      <c r="J312" s="23">
        <f>Source!R332</f>
        <v>317.14</v>
      </c>
      <c r="K312" s="19"/>
    </row>
    <row r="313" spans="1:22" ht="14.25" x14ac:dyDescent="0.2">
      <c r="A313" s="14"/>
      <c r="B313" s="15"/>
      <c r="C313" s="15" t="s">
        <v>1000</v>
      </c>
      <c r="D313" s="16"/>
      <c r="E313" s="2"/>
      <c r="F313" s="18">
        <f>Source!AL332</f>
        <v>65162.05</v>
      </c>
      <c r="G313" s="17" t="str">
        <f>Source!DD332</f>
        <v/>
      </c>
      <c r="H313" s="2">
        <f>Source!AW332</f>
        <v>1</v>
      </c>
      <c r="I313" s="2">
        <f>IF(Source!BC332&lt;&gt; 0, Source!BC332, 1)</f>
        <v>1</v>
      </c>
      <c r="J313" s="19">
        <f>Source!P332</f>
        <v>6411.95</v>
      </c>
      <c r="K313" s="19"/>
    </row>
    <row r="314" spans="1:22" ht="14.25" x14ac:dyDescent="0.2">
      <c r="A314" s="14"/>
      <c r="B314" s="15"/>
      <c r="C314" s="15" t="s">
        <v>990</v>
      </c>
      <c r="D314" s="16" t="s">
        <v>991</v>
      </c>
      <c r="E314" s="2">
        <f>Source!AT332</f>
        <v>70</v>
      </c>
      <c r="F314" s="18"/>
      <c r="G314" s="17"/>
      <c r="H314" s="2"/>
      <c r="I314" s="2"/>
      <c r="J314" s="19">
        <f>SUM(R309:R313)</f>
        <v>213.49</v>
      </c>
      <c r="K314" s="19"/>
    </row>
    <row r="315" spans="1:22" ht="14.25" x14ac:dyDescent="0.2">
      <c r="A315" s="14"/>
      <c r="B315" s="15"/>
      <c r="C315" s="15" t="s">
        <v>992</v>
      </c>
      <c r="D315" s="16" t="s">
        <v>991</v>
      </c>
      <c r="E315" s="2">
        <f>Source!AU332</f>
        <v>10</v>
      </c>
      <c r="F315" s="18"/>
      <c r="G315" s="17"/>
      <c r="H315" s="2"/>
      <c r="I315" s="2"/>
      <c r="J315" s="19">
        <f>SUM(T309:T314)</f>
        <v>30.5</v>
      </c>
      <c r="K315" s="19"/>
    </row>
    <row r="316" spans="1:22" ht="14.25" x14ac:dyDescent="0.2">
      <c r="A316" s="14"/>
      <c r="B316" s="15"/>
      <c r="C316" s="15" t="s">
        <v>997</v>
      </c>
      <c r="D316" s="16" t="s">
        <v>991</v>
      </c>
      <c r="E316" s="2">
        <f>108</f>
        <v>108</v>
      </c>
      <c r="F316" s="18"/>
      <c r="G316" s="17"/>
      <c r="H316" s="2"/>
      <c r="I316" s="2"/>
      <c r="J316" s="19">
        <f>SUM(V309:V315)</f>
        <v>342.51</v>
      </c>
      <c r="K316" s="19"/>
    </row>
    <row r="317" spans="1:22" ht="14.25" x14ac:dyDescent="0.2">
      <c r="A317" s="14"/>
      <c r="B317" s="15"/>
      <c r="C317" s="15" t="s">
        <v>993</v>
      </c>
      <c r="D317" s="16" t="s">
        <v>994</v>
      </c>
      <c r="E317" s="2">
        <f>Source!AQ332</f>
        <v>16.559999999999999</v>
      </c>
      <c r="F317" s="18"/>
      <c r="G317" s="17" t="str">
        <f>Source!DI332</f>
        <v/>
      </c>
      <c r="H317" s="2">
        <f>Source!AV332</f>
        <v>1</v>
      </c>
      <c r="I317" s="2"/>
      <c r="J317" s="19"/>
      <c r="K317" s="19">
        <f>Source!U332</f>
        <v>1.6295039999999998</v>
      </c>
    </row>
    <row r="318" spans="1:22" ht="15" x14ac:dyDescent="0.25">
      <c r="A318" s="21"/>
      <c r="B318" s="21"/>
      <c r="C318" s="21"/>
      <c r="D318" s="21"/>
      <c r="E318" s="21"/>
      <c r="F318" s="21"/>
      <c r="G318" s="21"/>
      <c r="H318" s="21"/>
      <c r="I318" s="55">
        <f>J310+J311+J313+J314+J315+J316</f>
        <v>8051.5</v>
      </c>
      <c r="J318" s="55"/>
      <c r="K318" s="22">
        <f>IF(Source!I332&lt;&gt;0, ROUND(I318/Source!I332, 2), 0)</f>
        <v>81824.19</v>
      </c>
      <c r="P318" s="20">
        <f>I318</f>
        <v>8051.5</v>
      </c>
    </row>
    <row r="319" spans="1:22" ht="42.75" x14ac:dyDescent="0.2">
      <c r="A319" s="14" t="str">
        <f>Source!E334</f>
        <v>35</v>
      </c>
      <c r="B319" s="15" t="str">
        <f>Source!F334</f>
        <v>2.1-3203-1-6/2</v>
      </c>
      <c r="C319" s="15" t="str">
        <f>Source!G334</f>
        <v>Установка бортовых камней бетонных газонных и садовых марка БР60.20.8, при других видах покрытий</v>
      </c>
      <c r="D319" s="16" t="str">
        <f>Source!H334</f>
        <v>100 м</v>
      </c>
      <c r="E319" s="2">
        <f>Source!I334</f>
        <v>1.64</v>
      </c>
      <c r="F319" s="18"/>
      <c r="G319" s="17"/>
      <c r="H319" s="2"/>
      <c r="I319" s="2"/>
      <c r="J319" s="19"/>
      <c r="K319" s="19"/>
      <c r="Q319">
        <f>ROUND((Source!BZ334/100)*ROUND((Source!AF334*Source!AV334)*Source!I334, 2), 2)</f>
        <v>16972.73</v>
      </c>
      <c r="R319">
        <f>Source!X334</f>
        <v>16972.73</v>
      </c>
      <c r="S319">
        <f>ROUND((Source!CA334/100)*ROUND((Source!AF334*Source!AV334)*Source!I334, 2), 2)</f>
        <v>2424.6799999999998</v>
      </c>
      <c r="T319">
        <f>Source!Y334</f>
        <v>2424.6799999999998</v>
      </c>
      <c r="U319">
        <f>ROUND((175/100)*ROUND((Source!AE334*Source!AV334)*Source!I334, 2), 2)</f>
        <v>298.36</v>
      </c>
      <c r="V319">
        <f>ROUND((108/100)*ROUND(Source!CS334*Source!I334, 2), 2)</f>
        <v>184.13</v>
      </c>
    </row>
    <row r="320" spans="1:22" ht="14.25" x14ac:dyDescent="0.2">
      <c r="A320" s="14"/>
      <c r="B320" s="15"/>
      <c r="C320" s="15" t="s">
        <v>989</v>
      </c>
      <c r="D320" s="16"/>
      <c r="E320" s="2"/>
      <c r="F320" s="18">
        <f>Source!AO334</f>
        <v>14784.61</v>
      </c>
      <c r="G320" s="17" t="str">
        <f>Source!DG334</f>
        <v/>
      </c>
      <c r="H320" s="2">
        <f>Source!AV334</f>
        <v>1</v>
      </c>
      <c r="I320" s="2">
        <f>IF(Source!BA334&lt;&gt; 0, Source!BA334, 1)</f>
        <v>1</v>
      </c>
      <c r="J320" s="19">
        <f>Source!S334</f>
        <v>24246.76</v>
      </c>
      <c r="K320" s="19"/>
    </row>
    <row r="321" spans="1:32" ht="14.25" x14ac:dyDescent="0.2">
      <c r="A321" s="14"/>
      <c r="B321" s="15"/>
      <c r="C321" s="15" t="s">
        <v>995</v>
      </c>
      <c r="D321" s="16"/>
      <c r="E321" s="2"/>
      <c r="F321" s="18">
        <f>Source!AM334</f>
        <v>191.49</v>
      </c>
      <c r="G321" s="17" t="str">
        <f>Source!DE334</f>
        <v/>
      </c>
      <c r="H321" s="2">
        <f>Source!AV334</f>
        <v>1</v>
      </c>
      <c r="I321" s="2">
        <f>IF(Source!BB334&lt;&gt; 0, Source!BB334, 1)</f>
        <v>1</v>
      </c>
      <c r="J321" s="19">
        <f>Source!Q334</f>
        <v>314.04000000000002</v>
      </c>
      <c r="K321" s="19"/>
    </row>
    <row r="322" spans="1:32" ht="14.25" x14ac:dyDescent="0.2">
      <c r="A322" s="14"/>
      <c r="B322" s="15"/>
      <c r="C322" s="15" t="s">
        <v>996</v>
      </c>
      <c r="D322" s="16"/>
      <c r="E322" s="2"/>
      <c r="F322" s="18">
        <f>Source!AN334</f>
        <v>103.96</v>
      </c>
      <c r="G322" s="17" t="str">
        <f>Source!DF334</f>
        <v/>
      </c>
      <c r="H322" s="2">
        <f>Source!AV334</f>
        <v>1</v>
      </c>
      <c r="I322" s="2">
        <f>IF(Source!BS334&lt;&gt; 0, Source!BS334, 1)</f>
        <v>1</v>
      </c>
      <c r="J322" s="23">
        <f>Source!R334</f>
        <v>170.49</v>
      </c>
      <c r="K322" s="19"/>
    </row>
    <row r="323" spans="1:32" ht="14.25" x14ac:dyDescent="0.2">
      <c r="A323" s="14"/>
      <c r="B323" s="15"/>
      <c r="C323" s="15" t="s">
        <v>1000</v>
      </c>
      <c r="D323" s="16"/>
      <c r="E323" s="2"/>
      <c r="F323" s="18">
        <f>Source!AL334</f>
        <v>32322.400000000001</v>
      </c>
      <c r="G323" s="17" t="str">
        <f>Source!DD334</f>
        <v/>
      </c>
      <c r="H323" s="2">
        <f>Source!AW334</f>
        <v>1</v>
      </c>
      <c r="I323" s="2">
        <f>IF(Source!BC334&lt;&gt; 0, Source!BC334, 1)</f>
        <v>1</v>
      </c>
      <c r="J323" s="19">
        <f>Source!P334</f>
        <v>53008.74</v>
      </c>
      <c r="K323" s="19"/>
    </row>
    <row r="324" spans="1:32" ht="14.25" x14ac:dyDescent="0.2">
      <c r="A324" s="14"/>
      <c r="B324" s="15"/>
      <c r="C324" s="15" t="s">
        <v>990</v>
      </c>
      <c r="D324" s="16" t="s">
        <v>991</v>
      </c>
      <c r="E324" s="2">
        <f>Source!AT334</f>
        <v>70</v>
      </c>
      <c r="F324" s="18"/>
      <c r="G324" s="17"/>
      <c r="H324" s="2"/>
      <c r="I324" s="2"/>
      <c r="J324" s="19">
        <f>SUM(R319:R323)</f>
        <v>16972.73</v>
      </c>
      <c r="K324" s="19"/>
    </row>
    <row r="325" spans="1:32" ht="14.25" x14ac:dyDescent="0.2">
      <c r="A325" s="14"/>
      <c r="B325" s="15"/>
      <c r="C325" s="15" t="s">
        <v>992</v>
      </c>
      <c r="D325" s="16" t="s">
        <v>991</v>
      </c>
      <c r="E325" s="2">
        <f>Source!AU334</f>
        <v>10</v>
      </c>
      <c r="F325" s="18"/>
      <c r="G325" s="17"/>
      <c r="H325" s="2"/>
      <c r="I325" s="2"/>
      <c r="J325" s="19">
        <f>SUM(T319:T324)</f>
        <v>2424.6799999999998</v>
      </c>
      <c r="K325" s="19"/>
    </row>
    <row r="326" spans="1:32" ht="14.25" x14ac:dyDescent="0.2">
      <c r="A326" s="14"/>
      <c r="B326" s="15"/>
      <c r="C326" s="15" t="s">
        <v>997</v>
      </c>
      <c r="D326" s="16" t="s">
        <v>991</v>
      </c>
      <c r="E326" s="2">
        <f>108</f>
        <v>108</v>
      </c>
      <c r="F326" s="18"/>
      <c r="G326" s="17"/>
      <c r="H326" s="2"/>
      <c r="I326" s="2"/>
      <c r="J326" s="19">
        <f>SUM(V319:V325)</f>
        <v>184.13</v>
      </c>
      <c r="K326" s="19"/>
    </row>
    <row r="327" spans="1:32" ht="14.25" x14ac:dyDescent="0.2">
      <c r="A327" s="14"/>
      <c r="B327" s="15"/>
      <c r="C327" s="15" t="s">
        <v>993</v>
      </c>
      <c r="D327" s="16" t="s">
        <v>994</v>
      </c>
      <c r="E327" s="2">
        <f>Source!AQ334</f>
        <v>72.959999999999994</v>
      </c>
      <c r="F327" s="18"/>
      <c r="G327" s="17" t="str">
        <f>Source!DI334</f>
        <v/>
      </c>
      <c r="H327" s="2">
        <f>Source!AV334</f>
        <v>1</v>
      </c>
      <c r="I327" s="2"/>
      <c r="J327" s="19"/>
      <c r="K327" s="19">
        <f>Source!U334</f>
        <v>119.65439999999998</v>
      </c>
    </row>
    <row r="328" spans="1:32" ht="15" x14ac:dyDescent="0.25">
      <c r="A328" s="21"/>
      <c r="B328" s="21"/>
      <c r="C328" s="21"/>
      <c r="D328" s="21"/>
      <c r="E328" s="21"/>
      <c r="F328" s="21"/>
      <c r="G328" s="21"/>
      <c r="H328" s="21"/>
      <c r="I328" s="55">
        <f>J320+J321+J323+J324+J325+J326</f>
        <v>97151.079999999987</v>
      </c>
      <c r="J328" s="55"/>
      <c r="K328" s="22">
        <f>IF(Source!I334&lt;&gt;0, ROUND(I328/Source!I334, 2), 0)</f>
        <v>59238.46</v>
      </c>
      <c r="P328" s="20">
        <f>I328</f>
        <v>97151.079999999987</v>
      </c>
    </row>
    <row r="330" spans="1:32" ht="15" x14ac:dyDescent="0.25">
      <c r="A330" s="57" t="str">
        <f>CONCATENATE("Итого по разделу: ",IF(Source!G336&lt;&gt;"Новый раздел", Source!G336, ""))</f>
        <v>Итого по разделу: Установка садового бортового камня БР 100.20.8 на бетонное основание</v>
      </c>
      <c r="B330" s="57"/>
      <c r="C330" s="57"/>
      <c r="D330" s="57"/>
      <c r="E330" s="57"/>
      <c r="F330" s="57"/>
      <c r="G330" s="57"/>
      <c r="H330" s="57"/>
      <c r="I330" s="58">
        <f>SUM(P308:P329)</f>
        <v>105202.57999999999</v>
      </c>
      <c r="J330" s="59"/>
      <c r="K330" s="24"/>
      <c r="AF330" s="27" t="str">
        <f>CONCATENATE("Итого по разделу: ",IF(Source!G336&lt;&gt;"Новый раздел", Source!G336, ""))</f>
        <v>Итого по разделу: Установка садового бортового камня БР 100.20.8 на бетонное основание</v>
      </c>
    </row>
    <row r="333" spans="1:32" ht="16.5" x14ac:dyDescent="0.25">
      <c r="A333" s="56" t="str">
        <f>CONCATENATE("Раздел: ",IF(Source!G366&lt;&gt;"Новый раздел", Source!G366, ""))</f>
        <v>Раздел: Установка магистрального бортового камня  на бетонное основание БР 100.60.20</v>
      </c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spans="1:32" ht="42.75" x14ac:dyDescent="0.2">
      <c r="A334" s="14" t="str">
        <f>Source!E370</f>
        <v>36</v>
      </c>
      <c r="B334" s="15" t="str">
        <f>Source!F370</f>
        <v>2.1-3303-1-1/1</v>
      </c>
      <c r="C334" s="15" t="str">
        <f>Source!G370</f>
        <v>Устройство подстилающих и выравнивающих слоев оснований из песка</v>
      </c>
      <c r="D334" s="16" t="str">
        <f>Source!H370</f>
        <v>100 м3</v>
      </c>
      <c r="E334" s="2">
        <f>Source!I370</f>
        <v>1.7399999999999999E-2</v>
      </c>
      <c r="F334" s="18"/>
      <c r="G334" s="17"/>
      <c r="H334" s="2"/>
      <c r="I334" s="2"/>
      <c r="J334" s="19"/>
      <c r="K334" s="19"/>
      <c r="Q334">
        <f>ROUND((Source!BZ370/100)*ROUND((Source!AF370*Source!AV370)*Source!I370, 2), 2)</f>
        <v>37.75</v>
      </c>
      <c r="R334">
        <f>Source!X370</f>
        <v>37.75</v>
      </c>
      <c r="S334">
        <f>ROUND((Source!CA370/100)*ROUND((Source!AF370*Source!AV370)*Source!I370, 2), 2)</f>
        <v>5.39</v>
      </c>
      <c r="T334">
        <f>Source!Y370</f>
        <v>5.39</v>
      </c>
      <c r="U334">
        <f>ROUND((175/100)*ROUND((Source!AE370*Source!AV370)*Source!I370, 2), 2)</f>
        <v>98.14</v>
      </c>
      <c r="V334">
        <f>ROUND((108/100)*ROUND(Source!CS370*Source!I370, 2), 2)</f>
        <v>60.57</v>
      </c>
    </row>
    <row r="335" spans="1:32" ht="14.25" x14ac:dyDescent="0.2">
      <c r="A335" s="14"/>
      <c r="B335" s="15"/>
      <c r="C335" s="15" t="s">
        <v>989</v>
      </c>
      <c r="D335" s="16"/>
      <c r="E335" s="2"/>
      <c r="F335" s="18">
        <f>Source!AO370</f>
        <v>3099.54</v>
      </c>
      <c r="G335" s="17" t="str">
        <f>Source!DG370</f>
        <v/>
      </c>
      <c r="H335" s="2">
        <f>Source!AV370</f>
        <v>1</v>
      </c>
      <c r="I335" s="2">
        <f>IF(Source!BA370&lt;&gt; 0, Source!BA370, 1)</f>
        <v>1</v>
      </c>
      <c r="J335" s="19">
        <f>Source!S370</f>
        <v>53.93</v>
      </c>
      <c r="K335" s="19"/>
    </row>
    <row r="336" spans="1:32" ht="14.25" x14ac:dyDescent="0.2">
      <c r="A336" s="14"/>
      <c r="B336" s="15"/>
      <c r="C336" s="15" t="s">
        <v>995</v>
      </c>
      <c r="D336" s="16"/>
      <c r="E336" s="2"/>
      <c r="F336" s="18">
        <f>Source!AM370</f>
        <v>7602.23</v>
      </c>
      <c r="G336" s="17" t="str">
        <f>Source!DE370</f>
        <v/>
      </c>
      <c r="H336" s="2">
        <f>Source!AV370</f>
        <v>1</v>
      </c>
      <c r="I336" s="2">
        <f>IF(Source!BB370&lt;&gt; 0, Source!BB370, 1)</f>
        <v>1</v>
      </c>
      <c r="J336" s="19">
        <f>Source!Q370</f>
        <v>132.28</v>
      </c>
      <c r="K336" s="19"/>
    </row>
    <row r="337" spans="1:22" ht="14.25" x14ac:dyDescent="0.2">
      <c r="A337" s="14"/>
      <c r="B337" s="15"/>
      <c r="C337" s="15" t="s">
        <v>996</v>
      </c>
      <c r="D337" s="16"/>
      <c r="E337" s="2"/>
      <c r="F337" s="18">
        <f>Source!AN370</f>
        <v>3222.98</v>
      </c>
      <c r="G337" s="17" t="str">
        <f>Source!DF370</f>
        <v/>
      </c>
      <c r="H337" s="2">
        <f>Source!AV370</f>
        <v>1</v>
      </c>
      <c r="I337" s="2">
        <f>IF(Source!BS370&lt;&gt; 0, Source!BS370, 1)</f>
        <v>1</v>
      </c>
      <c r="J337" s="23">
        <f>Source!R370</f>
        <v>56.08</v>
      </c>
      <c r="K337" s="19"/>
    </row>
    <row r="338" spans="1:22" ht="14.25" x14ac:dyDescent="0.2">
      <c r="A338" s="14"/>
      <c r="B338" s="15"/>
      <c r="C338" s="15" t="s">
        <v>1000</v>
      </c>
      <c r="D338" s="16"/>
      <c r="E338" s="2"/>
      <c r="F338" s="18">
        <f>Source!AL370</f>
        <v>65162.05</v>
      </c>
      <c r="G338" s="17" t="str">
        <f>Source!DD370</f>
        <v/>
      </c>
      <c r="H338" s="2">
        <f>Source!AW370</f>
        <v>1</v>
      </c>
      <c r="I338" s="2">
        <f>IF(Source!BC370&lt;&gt; 0, Source!BC370, 1)</f>
        <v>1</v>
      </c>
      <c r="J338" s="19">
        <f>Source!P370</f>
        <v>1133.82</v>
      </c>
      <c r="K338" s="19"/>
    </row>
    <row r="339" spans="1:22" ht="14.25" x14ac:dyDescent="0.2">
      <c r="A339" s="14"/>
      <c r="B339" s="15"/>
      <c r="C339" s="15" t="s">
        <v>990</v>
      </c>
      <c r="D339" s="16" t="s">
        <v>991</v>
      </c>
      <c r="E339" s="2">
        <f>Source!AT370</f>
        <v>70</v>
      </c>
      <c r="F339" s="18"/>
      <c r="G339" s="17"/>
      <c r="H339" s="2"/>
      <c r="I339" s="2"/>
      <c r="J339" s="19">
        <f>SUM(R334:R338)</f>
        <v>37.75</v>
      </c>
      <c r="K339" s="19"/>
    </row>
    <row r="340" spans="1:22" ht="14.25" x14ac:dyDescent="0.2">
      <c r="A340" s="14"/>
      <c r="B340" s="15"/>
      <c r="C340" s="15" t="s">
        <v>992</v>
      </c>
      <c r="D340" s="16" t="s">
        <v>991</v>
      </c>
      <c r="E340" s="2">
        <f>Source!AU370</f>
        <v>10</v>
      </c>
      <c r="F340" s="18"/>
      <c r="G340" s="17"/>
      <c r="H340" s="2"/>
      <c r="I340" s="2"/>
      <c r="J340" s="19">
        <f>SUM(T334:T339)</f>
        <v>5.39</v>
      </c>
      <c r="K340" s="19"/>
    </row>
    <row r="341" spans="1:22" ht="14.25" x14ac:dyDescent="0.2">
      <c r="A341" s="14"/>
      <c r="B341" s="15"/>
      <c r="C341" s="15" t="s">
        <v>997</v>
      </c>
      <c r="D341" s="16" t="s">
        <v>991</v>
      </c>
      <c r="E341" s="2">
        <f>108</f>
        <v>108</v>
      </c>
      <c r="F341" s="18"/>
      <c r="G341" s="17"/>
      <c r="H341" s="2"/>
      <c r="I341" s="2"/>
      <c r="J341" s="19">
        <f>SUM(V334:V340)</f>
        <v>60.57</v>
      </c>
      <c r="K341" s="19"/>
    </row>
    <row r="342" spans="1:22" ht="14.25" x14ac:dyDescent="0.2">
      <c r="A342" s="14"/>
      <c r="B342" s="15"/>
      <c r="C342" s="15" t="s">
        <v>993</v>
      </c>
      <c r="D342" s="16" t="s">
        <v>994</v>
      </c>
      <c r="E342" s="2">
        <f>Source!AQ370</f>
        <v>16.559999999999999</v>
      </c>
      <c r="F342" s="18"/>
      <c r="G342" s="17" t="str">
        <f>Source!DI370</f>
        <v/>
      </c>
      <c r="H342" s="2">
        <f>Source!AV370</f>
        <v>1</v>
      </c>
      <c r="I342" s="2"/>
      <c r="J342" s="19"/>
      <c r="K342" s="19">
        <f>Source!U370</f>
        <v>0.28814399999999996</v>
      </c>
    </row>
    <row r="343" spans="1:22" ht="15" x14ac:dyDescent="0.25">
      <c r="A343" s="21"/>
      <c r="B343" s="21"/>
      <c r="C343" s="21"/>
      <c r="D343" s="21"/>
      <c r="E343" s="21"/>
      <c r="F343" s="21"/>
      <c r="G343" s="21"/>
      <c r="H343" s="21"/>
      <c r="I343" s="55">
        <f>J335+J336+J338+J339+J340+J341</f>
        <v>1423.74</v>
      </c>
      <c r="J343" s="55"/>
      <c r="K343" s="22">
        <f>IF(Source!I370&lt;&gt;0, ROUND(I343/Source!I370, 2), 0)</f>
        <v>81824.14</v>
      </c>
      <c r="P343" s="20">
        <f>I343</f>
        <v>1423.74</v>
      </c>
    </row>
    <row r="344" spans="1:22" ht="42.75" x14ac:dyDescent="0.2">
      <c r="A344" s="14" t="str">
        <f>Source!E371</f>
        <v>37</v>
      </c>
      <c r="B344" s="15" t="str">
        <f>Source!F371</f>
        <v>2.1-3203-1-2/1</v>
      </c>
      <c r="C344" s="15" t="str">
        <f>Source!G371</f>
        <v>Установка бортовых камней бетонных марки БР 100.30.15 при других видах покрытий</v>
      </c>
      <c r="D344" s="16" t="str">
        <f>Source!H371</f>
        <v>100 м</v>
      </c>
      <c r="E344" s="2">
        <f>Source!I371</f>
        <v>0.28999999999999998</v>
      </c>
      <c r="F344" s="18"/>
      <c r="G344" s="17"/>
      <c r="H344" s="2"/>
      <c r="I344" s="2"/>
      <c r="J344" s="19"/>
      <c r="K344" s="19"/>
      <c r="Q344">
        <f>ROUND((Source!BZ371/100)*ROUND((Source!AF371*Source!AV371)*Source!I371, 2), 2)</f>
        <v>3224.42</v>
      </c>
      <c r="R344">
        <f>Source!X371</f>
        <v>3224.42</v>
      </c>
      <c r="S344">
        <f>ROUND((Source!CA371/100)*ROUND((Source!AF371*Source!AV371)*Source!I371, 2), 2)</f>
        <v>460.63</v>
      </c>
      <c r="T344">
        <f>Source!Y371</f>
        <v>460.63</v>
      </c>
      <c r="U344">
        <f>ROUND((175/100)*ROUND((Source!AE371*Source!AV371)*Source!I371, 2), 2)</f>
        <v>0</v>
      </c>
      <c r="V344">
        <f>ROUND((108/100)*ROUND(Source!CS371*Source!I371, 2), 2)</f>
        <v>0</v>
      </c>
    </row>
    <row r="345" spans="1:22" ht="14.25" x14ac:dyDescent="0.2">
      <c r="A345" s="14"/>
      <c r="B345" s="15"/>
      <c r="C345" s="15" t="s">
        <v>989</v>
      </c>
      <c r="D345" s="16"/>
      <c r="E345" s="2"/>
      <c r="F345" s="18">
        <f>Source!AO371</f>
        <v>15883.83</v>
      </c>
      <c r="G345" s="17" t="str">
        <f>Source!DG371</f>
        <v/>
      </c>
      <c r="H345" s="2">
        <f>Source!AV371</f>
        <v>1</v>
      </c>
      <c r="I345" s="2">
        <f>IF(Source!BA371&lt;&gt; 0, Source!BA371, 1)</f>
        <v>1</v>
      </c>
      <c r="J345" s="19">
        <f>Source!S371</f>
        <v>4606.3100000000004</v>
      </c>
      <c r="K345" s="19"/>
    </row>
    <row r="346" spans="1:22" ht="14.25" x14ac:dyDescent="0.2">
      <c r="A346" s="14"/>
      <c r="B346" s="15"/>
      <c r="C346" s="15" t="s">
        <v>1000</v>
      </c>
      <c r="D346" s="16"/>
      <c r="E346" s="2"/>
      <c r="F346" s="18">
        <f>Source!AL371</f>
        <v>55802.41</v>
      </c>
      <c r="G346" s="17" t="str">
        <f>Source!DD371</f>
        <v/>
      </c>
      <c r="H346" s="2">
        <f>Source!AW371</f>
        <v>1</v>
      </c>
      <c r="I346" s="2">
        <f>IF(Source!BC371&lt;&gt; 0, Source!BC371, 1)</f>
        <v>1</v>
      </c>
      <c r="J346" s="19">
        <f>Source!P371</f>
        <v>16182.7</v>
      </c>
      <c r="K346" s="19"/>
    </row>
    <row r="347" spans="1:22" ht="28.5" x14ac:dyDescent="0.2">
      <c r="A347" s="14" t="str">
        <f>Source!E372</f>
        <v>37,1</v>
      </c>
      <c r="B347" s="15" t="str">
        <f>Source!F372</f>
        <v>21.5-3-13</v>
      </c>
      <c r="C347" s="15" t="str">
        <f>Source!G372</f>
        <v>Камни бетонные бортовые, марка БР 100.30.15</v>
      </c>
      <c r="D347" s="16" t="str">
        <f>Source!H372</f>
        <v>м3</v>
      </c>
      <c r="E347" s="2">
        <f>Source!I372</f>
        <v>-1.2470000000000001</v>
      </c>
      <c r="F347" s="18">
        <f>Source!AK372</f>
        <v>7833.01</v>
      </c>
      <c r="G347" s="26" t="s">
        <v>3</v>
      </c>
      <c r="H347" s="2">
        <f>Source!AW372</f>
        <v>1</v>
      </c>
      <c r="I347" s="2">
        <f>IF(Source!BC372&lt;&gt; 0, Source!BC372, 1)</f>
        <v>1</v>
      </c>
      <c r="J347" s="19">
        <f>Source!O372</f>
        <v>-9767.76</v>
      </c>
      <c r="K347" s="19"/>
      <c r="Q347">
        <f>ROUND((Source!BZ372/100)*ROUND((Source!AF372*Source!AV372)*Source!I372, 2), 2)</f>
        <v>0</v>
      </c>
      <c r="R347">
        <f>Source!X372</f>
        <v>0</v>
      </c>
      <c r="S347">
        <f>ROUND((Source!CA372/100)*ROUND((Source!AF372*Source!AV372)*Source!I372, 2), 2)</f>
        <v>0</v>
      </c>
      <c r="T347">
        <f>Source!Y372</f>
        <v>0</v>
      </c>
      <c r="U347">
        <f>ROUND((175/100)*ROUND((Source!AE372*Source!AV372)*Source!I372, 2), 2)</f>
        <v>0</v>
      </c>
      <c r="V347">
        <f>ROUND((108/100)*ROUND(Source!CS372*Source!I372, 2), 2)</f>
        <v>0</v>
      </c>
    </row>
    <row r="348" spans="1:22" ht="57" x14ac:dyDescent="0.2">
      <c r="A348" s="14" t="str">
        <f>Source!E373</f>
        <v>37,2</v>
      </c>
      <c r="B348" s="15" t="str">
        <f>Source!F373</f>
        <v>21.5-3-14</v>
      </c>
      <c r="C348" s="15" t="str">
        <f>Source!G373</f>
        <v>Камни бетонные бортовые, марка БР 100.30.18 (эквивалент проекта) Магистральный бортовой камень на бетонное основание БР 100.60.20</v>
      </c>
      <c r="D348" s="16" t="str">
        <f>Source!H373</f>
        <v>м3</v>
      </c>
      <c r="E348" s="2">
        <f>Source!I373</f>
        <v>3.4799999999999995</v>
      </c>
      <c r="F348" s="18">
        <f>Source!AK373</f>
        <v>6794.53</v>
      </c>
      <c r="G348" s="26" t="s">
        <v>3</v>
      </c>
      <c r="H348" s="2">
        <f>Source!AW373</f>
        <v>1</v>
      </c>
      <c r="I348" s="2">
        <f>IF(Source!BC373&lt;&gt; 0, Source!BC373, 1)</f>
        <v>1</v>
      </c>
      <c r="J348" s="19">
        <f>Source!O373</f>
        <v>23644.959999999999</v>
      </c>
      <c r="K348" s="19"/>
      <c r="Q348">
        <f>ROUND((Source!BZ373/100)*ROUND((Source!AF373*Source!AV373)*Source!I373, 2), 2)</f>
        <v>0</v>
      </c>
      <c r="R348">
        <f>Source!X373</f>
        <v>0</v>
      </c>
      <c r="S348">
        <f>ROUND((Source!CA373/100)*ROUND((Source!AF373*Source!AV373)*Source!I373, 2), 2)</f>
        <v>0</v>
      </c>
      <c r="T348">
        <f>Source!Y373</f>
        <v>0</v>
      </c>
      <c r="U348">
        <f>ROUND((175/100)*ROUND((Source!AE373*Source!AV373)*Source!I373, 2), 2)</f>
        <v>0</v>
      </c>
      <c r="V348">
        <f>ROUND((108/100)*ROUND(Source!CS373*Source!I373, 2), 2)</f>
        <v>0</v>
      </c>
    </row>
    <row r="349" spans="1:22" ht="14.25" x14ac:dyDescent="0.2">
      <c r="A349" s="14"/>
      <c r="B349" s="15"/>
      <c r="C349" s="15" t="s">
        <v>990</v>
      </c>
      <c r="D349" s="16" t="s">
        <v>991</v>
      </c>
      <c r="E349" s="2">
        <f>Source!AT371</f>
        <v>70</v>
      </c>
      <c r="F349" s="18"/>
      <c r="G349" s="17"/>
      <c r="H349" s="2"/>
      <c r="I349" s="2"/>
      <c r="J349" s="19">
        <f>SUM(R344:R348)</f>
        <v>3224.42</v>
      </c>
      <c r="K349" s="19"/>
    </row>
    <row r="350" spans="1:22" ht="14.25" x14ac:dyDescent="0.2">
      <c r="A350" s="14"/>
      <c r="B350" s="15"/>
      <c r="C350" s="15" t="s">
        <v>992</v>
      </c>
      <c r="D350" s="16" t="s">
        <v>991</v>
      </c>
      <c r="E350" s="2">
        <f>Source!AU371</f>
        <v>10</v>
      </c>
      <c r="F350" s="18"/>
      <c r="G350" s="17"/>
      <c r="H350" s="2"/>
      <c r="I350" s="2"/>
      <c r="J350" s="19">
        <f>SUM(T344:T349)</f>
        <v>460.63</v>
      </c>
      <c r="K350" s="19"/>
    </row>
    <row r="351" spans="1:22" ht="14.25" x14ac:dyDescent="0.2">
      <c r="A351" s="14"/>
      <c r="B351" s="15"/>
      <c r="C351" s="15" t="s">
        <v>993</v>
      </c>
      <c r="D351" s="16" t="s">
        <v>994</v>
      </c>
      <c r="E351" s="2">
        <f>Source!AQ371</f>
        <v>80.27</v>
      </c>
      <c r="F351" s="18"/>
      <c r="G351" s="17" t="str">
        <f>Source!DI371</f>
        <v/>
      </c>
      <c r="H351" s="2">
        <f>Source!AV371</f>
        <v>1</v>
      </c>
      <c r="I351" s="2"/>
      <c r="J351" s="19"/>
      <c r="K351" s="19">
        <f>Source!U371</f>
        <v>23.278299999999998</v>
      </c>
    </row>
    <row r="352" spans="1:22" ht="15" x14ac:dyDescent="0.25">
      <c r="A352" s="21"/>
      <c r="B352" s="21"/>
      <c r="C352" s="21"/>
      <c r="D352" s="21"/>
      <c r="E352" s="21"/>
      <c r="F352" s="21"/>
      <c r="G352" s="21"/>
      <c r="H352" s="21"/>
      <c r="I352" s="55">
        <f>J345+J346+J349+J350+SUM(J347:J348)</f>
        <v>38351.26</v>
      </c>
      <c r="J352" s="55"/>
      <c r="K352" s="22">
        <f>IF(Source!I371&lt;&gt;0, ROUND(I352/Source!I371, 2), 0)</f>
        <v>132245.72</v>
      </c>
      <c r="P352" s="20">
        <f>I352</f>
        <v>38351.26</v>
      </c>
    </row>
    <row r="354" spans="1:32" ht="15" x14ac:dyDescent="0.25">
      <c r="A354" s="57" t="str">
        <f>CONCATENATE("Итого по разделу: ",IF(Source!G375&lt;&gt;"Новый раздел", Source!G375, ""))</f>
        <v>Итого по разделу: Установка магистрального бортового камня  на бетонное основание БР 100.60.20</v>
      </c>
      <c r="B354" s="57"/>
      <c r="C354" s="57"/>
      <c r="D354" s="57"/>
      <c r="E354" s="57"/>
      <c r="F354" s="57"/>
      <c r="G354" s="57"/>
      <c r="H354" s="57"/>
      <c r="I354" s="58">
        <f>SUM(P333:P353)</f>
        <v>39775</v>
      </c>
      <c r="J354" s="59"/>
      <c r="K354" s="24"/>
      <c r="AF354" s="27" t="str">
        <f>CONCATENATE("Итого по разделу: ",IF(Source!G375&lt;&gt;"Новый раздел", Source!G375, ""))</f>
        <v>Итого по разделу: Установка магистрального бортового камня  на бетонное основание БР 100.60.20</v>
      </c>
    </row>
    <row r="357" spans="1:32" ht="15" x14ac:dyDescent="0.25">
      <c r="A357" s="57" t="str">
        <f>CONCATENATE("Итого по локальной смете: ",IF(Source!G405&lt;&gt;"Новая локальная смета", Source!G405, ""))</f>
        <v>Итого по локальной смете: ЛС № 02-01-01 Благоустройство (ул. Свободы д. 15/10)</v>
      </c>
      <c r="B357" s="57"/>
      <c r="C357" s="57"/>
      <c r="D357" s="57"/>
      <c r="E357" s="57"/>
      <c r="F357" s="57"/>
      <c r="G357" s="57"/>
      <c r="H357" s="57"/>
      <c r="I357" s="58">
        <f>SUM(P32:P356)</f>
        <v>1506516.38</v>
      </c>
      <c r="J357" s="59"/>
      <c r="K357" s="24"/>
      <c r="AF357" s="27" t="str">
        <f>CONCATENATE("Итого по локальной смете: ",IF(Source!G405&lt;&gt;"Новая локальная смета", Source!G405, ""))</f>
        <v>Итого по локальной смете: ЛС № 02-01-01 Благоустройство (ул. Свободы д. 15/10)</v>
      </c>
    </row>
    <row r="360" spans="1:32" ht="16.5" x14ac:dyDescent="0.25">
      <c r="A360" s="56" t="str">
        <f>CONCATENATE("Локальная смета: ",IF(Source!G447&lt;&gt;"Новая локальная смета", Source!G447, ""))</f>
        <v>Локальная смета: ЛС № 02-01-02 Установка МАФ (ул. Свободы д. 15/10)</v>
      </c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2" spans="1:32" ht="16.5" x14ac:dyDescent="0.25">
      <c r="A362" s="56" t="str">
        <f>CONCATENATE("Раздел: ",IF(Source!G451&lt;&gt;"Новый раздел", Source!G451, ""))</f>
        <v>Раздел: Общие МАФ</v>
      </c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spans="1:32" ht="71.25" x14ac:dyDescent="0.2">
      <c r="A363" s="14" t="str">
        <f>Source!E456</f>
        <v>1</v>
      </c>
      <c r="B363" s="15" t="str">
        <f>Source!F456</f>
        <v>21.7-7-168</v>
      </c>
      <c r="C363" s="15" t="str">
        <f>Source!G456</f>
        <v>Скамья - диван парковый - 2 из влагостойкой фанеры, на каркасе из полосовой стали, 600х2000х789 мм (эквивалент проекта) Скамья Скамейка.ру</v>
      </c>
      <c r="D363" s="16" t="str">
        <f>Source!H456</f>
        <v>шт.</v>
      </c>
      <c r="E363" s="2">
        <f>Source!I456</f>
        <v>4</v>
      </c>
      <c r="F363" s="18">
        <f>Source!AL456</f>
        <v>20104.169999999998</v>
      </c>
      <c r="G363" s="17" t="str">
        <f>Source!DD456</f>
        <v/>
      </c>
      <c r="H363" s="2">
        <f>Source!AW456</f>
        <v>1</v>
      </c>
      <c r="I363" s="2">
        <f>IF(Source!BC456&lt;&gt; 0, Source!BC456, 1)</f>
        <v>1</v>
      </c>
      <c r="J363" s="19">
        <f>Source!P456</f>
        <v>80416.679999999993</v>
      </c>
      <c r="K363" s="19"/>
      <c r="Q363">
        <f>ROUND((Source!BZ456/100)*ROUND((Source!AF456*Source!AV456)*Source!I456, 2), 2)</f>
        <v>0</v>
      </c>
      <c r="R363">
        <f>Source!X456</f>
        <v>0</v>
      </c>
      <c r="S363">
        <f>ROUND((Source!CA456/100)*ROUND((Source!AF456*Source!AV456)*Source!I456, 2), 2)</f>
        <v>0</v>
      </c>
      <c r="T363">
        <f>Source!Y456</f>
        <v>0</v>
      </c>
      <c r="U363">
        <f>ROUND((175/100)*ROUND((Source!AE456*Source!AV456)*Source!I456, 2), 2)</f>
        <v>0</v>
      </c>
      <c r="V363">
        <f>ROUND((108/100)*ROUND(Source!CS456*Source!I456, 2), 2)</f>
        <v>0</v>
      </c>
    </row>
    <row r="364" spans="1:32" ht="15" x14ac:dyDescent="0.25">
      <c r="A364" s="21"/>
      <c r="B364" s="21"/>
      <c r="C364" s="21"/>
      <c r="D364" s="21"/>
      <c r="E364" s="21"/>
      <c r="F364" s="21"/>
      <c r="G364" s="21"/>
      <c r="H364" s="21"/>
      <c r="I364" s="55">
        <f>J363</f>
        <v>80416.679999999993</v>
      </c>
      <c r="J364" s="55"/>
      <c r="K364" s="22">
        <f>IF(Source!I456&lt;&gt;0, ROUND(I364/Source!I456, 2), 0)</f>
        <v>20104.169999999998</v>
      </c>
      <c r="P364" s="20">
        <f>I364</f>
        <v>80416.679999999993</v>
      </c>
    </row>
    <row r="365" spans="1:32" ht="128.25" x14ac:dyDescent="0.2">
      <c r="A365" s="14" t="str">
        <f>Source!E458</f>
        <v>2</v>
      </c>
      <c r="B365" s="15" t="str">
        <f>Source!F458</f>
        <v>21.7-7-58</v>
      </c>
      <c r="C365" s="15" t="str">
        <f>Source!G458</f>
        <v>Игровой комплекс «ТКМ-8» на опорах из клееного бруса с каркасом из металл. труб, с навесами из влагостойкой фанеры, скаты из нержавеющей стали, 6250х6400х3315 мм, в составе: две горки с переходными мостиками, беседка, две башни, лиана, элемент для лазанья (эквивалент проекта) Пергола  Радуга</v>
      </c>
      <c r="D365" s="16" t="str">
        <f>Source!H458</f>
        <v>комплекс</v>
      </c>
      <c r="E365" s="2">
        <f>Source!I458</f>
        <v>2</v>
      </c>
      <c r="F365" s="18">
        <f>Source!AL458</f>
        <v>325925.09000000003</v>
      </c>
      <c r="G365" s="17" t="str">
        <f>Source!DD458</f>
        <v/>
      </c>
      <c r="H365" s="2">
        <f>Source!AW458</f>
        <v>1</v>
      </c>
      <c r="I365" s="2">
        <f>IF(Source!BC458&lt;&gt; 0, Source!BC458, 1)</f>
        <v>1</v>
      </c>
      <c r="J365" s="19">
        <f>Source!P458</f>
        <v>651850.18000000005</v>
      </c>
      <c r="K365" s="19"/>
      <c r="Q365">
        <f>ROUND((Source!BZ458/100)*ROUND((Source!AF458*Source!AV458)*Source!I458, 2), 2)</f>
        <v>0</v>
      </c>
      <c r="R365">
        <f>Source!X458</f>
        <v>0</v>
      </c>
      <c r="S365">
        <f>ROUND((Source!CA458/100)*ROUND((Source!AF458*Source!AV458)*Source!I458, 2), 2)</f>
        <v>0</v>
      </c>
      <c r="T365">
        <f>Source!Y458</f>
        <v>0</v>
      </c>
      <c r="U365">
        <f>ROUND((175/100)*ROUND((Source!AE458*Source!AV458)*Source!I458, 2), 2)</f>
        <v>0</v>
      </c>
      <c r="V365">
        <f>ROUND((108/100)*ROUND(Source!CS458*Source!I458, 2), 2)</f>
        <v>0</v>
      </c>
    </row>
    <row r="366" spans="1:32" ht="15" x14ac:dyDescent="0.25">
      <c r="A366" s="21"/>
      <c r="B366" s="21"/>
      <c r="C366" s="21"/>
      <c r="D366" s="21"/>
      <c r="E366" s="21"/>
      <c r="F366" s="21"/>
      <c r="G366" s="21"/>
      <c r="H366" s="21"/>
      <c r="I366" s="55">
        <f>J365</f>
        <v>651850.18000000005</v>
      </c>
      <c r="J366" s="55"/>
      <c r="K366" s="22">
        <f>IF(Source!I458&lt;&gt;0, ROUND(I366/Source!I458, 2), 0)</f>
        <v>325925.09000000003</v>
      </c>
      <c r="P366" s="20">
        <f>I366</f>
        <v>651850.18000000005</v>
      </c>
    </row>
    <row r="367" spans="1:32" ht="142.5" x14ac:dyDescent="0.2">
      <c r="A367" s="14" t="str">
        <f>Source!E459</f>
        <v>3</v>
      </c>
      <c r="B367" s="15" t="str">
        <f>Source!F459</f>
        <v>21.7-7-55</v>
      </c>
      <c r="C367" s="15" t="str">
        <f>Source!G459</f>
        <v>Игровой комплекс «ТКМ-4» на опорах из клееного бруса с каркасом из металл. труб, с навесами из влагостойкой фанеры, скаты из нержавеющей стали, 5750х6900х3315 мм, в составе: две горки с переходными мостиками, две беседки, башня, лиана, элемент для лазанья (эквивалент проекта) Пергола Радуга с качелями</v>
      </c>
      <c r="D367" s="16" t="str">
        <f>Source!H459</f>
        <v>комплекс</v>
      </c>
      <c r="E367" s="2">
        <f>Source!I459</f>
        <v>2</v>
      </c>
      <c r="F367" s="18">
        <f>Source!AL459</f>
        <v>411057.31</v>
      </c>
      <c r="G367" s="17" t="str">
        <f>Source!DD459</f>
        <v/>
      </c>
      <c r="H367" s="2">
        <f>Source!AW459</f>
        <v>1</v>
      </c>
      <c r="I367" s="2">
        <f>IF(Source!BC459&lt;&gt; 0, Source!BC459, 1)</f>
        <v>1</v>
      </c>
      <c r="J367" s="19">
        <f>Source!P459</f>
        <v>822114.62</v>
      </c>
      <c r="K367" s="19"/>
      <c r="Q367">
        <f>ROUND((Source!BZ459/100)*ROUND((Source!AF459*Source!AV459)*Source!I459, 2), 2)</f>
        <v>0</v>
      </c>
      <c r="R367">
        <f>Source!X459</f>
        <v>0</v>
      </c>
      <c r="S367">
        <f>ROUND((Source!CA459/100)*ROUND((Source!AF459*Source!AV459)*Source!I459, 2), 2)</f>
        <v>0</v>
      </c>
      <c r="T367">
        <f>Source!Y459</f>
        <v>0</v>
      </c>
      <c r="U367">
        <f>ROUND((175/100)*ROUND((Source!AE459*Source!AV459)*Source!I459, 2), 2)</f>
        <v>0</v>
      </c>
      <c r="V367">
        <f>ROUND((108/100)*ROUND(Source!CS459*Source!I459, 2), 2)</f>
        <v>0</v>
      </c>
    </row>
    <row r="368" spans="1:32" ht="15" x14ac:dyDescent="0.25">
      <c r="A368" s="21"/>
      <c r="B368" s="21"/>
      <c r="C368" s="21"/>
      <c r="D368" s="21"/>
      <c r="E368" s="21"/>
      <c r="F368" s="21"/>
      <c r="G368" s="21"/>
      <c r="H368" s="21"/>
      <c r="I368" s="55">
        <f>J367</f>
        <v>822114.62</v>
      </c>
      <c r="J368" s="55"/>
      <c r="K368" s="22">
        <f>IF(Source!I459&lt;&gt;0, ROUND(I368/Source!I459, 2), 0)</f>
        <v>411057.31</v>
      </c>
      <c r="P368" s="20">
        <f>I368</f>
        <v>822114.62</v>
      </c>
    </row>
    <row r="369" spans="1:22" ht="28.5" x14ac:dyDescent="0.2">
      <c r="A369" s="14" t="str">
        <f>Source!E460</f>
        <v>4</v>
      </c>
      <c r="B369" s="15" t="str">
        <f>Source!F460</f>
        <v>1.9-3203-1-4/1</v>
      </c>
      <c r="C369" s="15" t="str">
        <f>Source!G460</f>
        <v>Установка металлических ограждений без поручня (перила)</v>
      </c>
      <c r="D369" s="16" t="str">
        <f>Source!H460</f>
        <v>100 м</v>
      </c>
      <c r="E369" s="2">
        <f>Source!I460</f>
        <v>0.06</v>
      </c>
      <c r="F369" s="18"/>
      <c r="G369" s="17"/>
      <c r="H369" s="2"/>
      <c r="I369" s="2"/>
      <c r="J369" s="19"/>
      <c r="K369" s="19"/>
      <c r="Q369">
        <f>ROUND((Source!BZ460/100)*ROUND((Source!AF460*Source!AV460)*Source!I460, 2), 2)</f>
        <v>475.94</v>
      </c>
      <c r="R369">
        <f>Source!X460</f>
        <v>475.94</v>
      </c>
      <c r="S369">
        <f>ROUND((Source!CA460/100)*ROUND((Source!AF460*Source!AV460)*Source!I460, 2), 2)</f>
        <v>67.989999999999995</v>
      </c>
      <c r="T369">
        <f>Source!Y460</f>
        <v>67.989999999999995</v>
      </c>
      <c r="U369">
        <f>ROUND((175/100)*ROUND((Source!AE460*Source!AV460)*Source!I460, 2), 2)</f>
        <v>0</v>
      </c>
      <c r="V369">
        <f>ROUND((108/100)*ROUND(Source!CS460*Source!I460, 2), 2)</f>
        <v>0</v>
      </c>
    </row>
    <row r="370" spans="1:22" ht="14.25" x14ac:dyDescent="0.2">
      <c r="A370" s="14"/>
      <c r="B370" s="15"/>
      <c r="C370" s="15" t="s">
        <v>989</v>
      </c>
      <c r="D370" s="16"/>
      <c r="E370" s="2"/>
      <c r="F370" s="18">
        <f>Source!AO460</f>
        <v>11332.07</v>
      </c>
      <c r="G370" s="17" t="str">
        <f>Source!DG460</f>
        <v/>
      </c>
      <c r="H370" s="2">
        <f>Source!AV460</f>
        <v>1</v>
      </c>
      <c r="I370" s="2">
        <f>IF(Source!BA460&lt;&gt; 0, Source!BA460, 1)</f>
        <v>1</v>
      </c>
      <c r="J370" s="19">
        <f>Source!S460</f>
        <v>679.92</v>
      </c>
      <c r="K370" s="19"/>
    </row>
    <row r="371" spans="1:22" ht="14.25" x14ac:dyDescent="0.2">
      <c r="A371" s="14"/>
      <c r="B371" s="15"/>
      <c r="C371" s="15" t="s">
        <v>1000</v>
      </c>
      <c r="D371" s="16"/>
      <c r="E371" s="2"/>
      <c r="F371" s="18">
        <f>Source!AL460</f>
        <v>158328.85</v>
      </c>
      <c r="G371" s="17" t="str">
        <f>Source!DD460</f>
        <v/>
      </c>
      <c r="H371" s="2">
        <f>Source!AW460</f>
        <v>1</v>
      </c>
      <c r="I371" s="2">
        <f>IF(Source!BC460&lt;&gt; 0, Source!BC460, 1)</f>
        <v>1</v>
      </c>
      <c r="J371" s="19">
        <f>Source!P460</f>
        <v>9499.73</v>
      </c>
      <c r="K371" s="19"/>
    </row>
    <row r="372" spans="1:22" ht="14.25" x14ac:dyDescent="0.2">
      <c r="A372" s="14"/>
      <c r="B372" s="15"/>
      <c r="C372" s="15" t="s">
        <v>990</v>
      </c>
      <c r="D372" s="16" t="s">
        <v>991</v>
      </c>
      <c r="E372" s="2">
        <f>Source!AT460</f>
        <v>70</v>
      </c>
      <c r="F372" s="18"/>
      <c r="G372" s="17"/>
      <c r="H372" s="2"/>
      <c r="I372" s="2"/>
      <c r="J372" s="19">
        <f>SUM(R369:R371)</f>
        <v>475.94</v>
      </c>
      <c r="K372" s="19"/>
    </row>
    <row r="373" spans="1:22" ht="14.25" x14ac:dyDescent="0.2">
      <c r="A373" s="14"/>
      <c r="B373" s="15"/>
      <c r="C373" s="15" t="s">
        <v>992</v>
      </c>
      <c r="D373" s="16" t="s">
        <v>991</v>
      </c>
      <c r="E373" s="2">
        <f>Source!AU460</f>
        <v>10</v>
      </c>
      <c r="F373" s="18"/>
      <c r="G373" s="17"/>
      <c r="H373" s="2"/>
      <c r="I373" s="2"/>
      <c r="J373" s="19">
        <f>SUM(T369:T372)</f>
        <v>67.989999999999995</v>
      </c>
      <c r="K373" s="19"/>
    </row>
    <row r="374" spans="1:22" ht="14.25" x14ac:dyDescent="0.2">
      <c r="A374" s="14"/>
      <c r="B374" s="15"/>
      <c r="C374" s="15" t="s">
        <v>993</v>
      </c>
      <c r="D374" s="16" t="s">
        <v>994</v>
      </c>
      <c r="E374" s="2">
        <f>Source!AQ460</f>
        <v>47.72</v>
      </c>
      <c r="F374" s="18"/>
      <c r="G374" s="17" t="str">
        <f>Source!DI460</f>
        <v/>
      </c>
      <c r="H374" s="2">
        <f>Source!AV460</f>
        <v>1</v>
      </c>
      <c r="I374" s="2"/>
      <c r="J374" s="19"/>
      <c r="K374" s="19">
        <f>Source!U460</f>
        <v>2.8632</v>
      </c>
    </row>
    <row r="375" spans="1:22" ht="15" x14ac:dyDescent="0.25">
      <c r="A375" s="21"/>
      <c r="B375" s="21"/>
      <c r="C375" s="21"/>
      <c r="D375" s="21"/>
      <c r="E375" s="21"/>
      <c r="F375" s="21"/>
      <c r="G375" s="21"/>
      <c r="H375" s="21"/>
      <c r="I375" s="55">
        <f>J370+J371+J372+J373</f>
        <v>10723.58</v>
      </c>
      <c r="J375" s="55"/>
      <c r="K375" s="22">
        <f>IF(Source!I460&lt;&gt;0, ROUND(I375/Source!I460, 2), 0)</f>
        <v>178726.33</v>
      </c>
      <c r="P375" s="20">
        <f>I375</f>
        <v>10723.58</v>
      </c>
    </row>
    <row r="376" spans="1:22" ht="71.25" x14ac:dyDescent="0.2">
      <c r="A376" s="14" t="str">
        <f>Source!E461</f>
        <v>5</v>
      </c>
      <c r="B376" s="15" t="str">
        <f>Source!F461</f>
        <v>21.7-7-200</v>
      </c>
      <c r="C376" s="15" t="str">
        <f>Source!G461</f>
        <v>Урна У-32 Б переворачивающаяся из стального листа, на ножках из стальной трубы, окрашена цветными эмалями, размеры 1100х485х235 мм (эквивалент проекта) Урна арт. 12167</v>
      </c>
      <c r="D376" s="16" t="str">
        <f>Source!H461</f>
        <v>шт.</v>
      </c>
      <c r="E376" s="2">
        <f>Source!I461</f>
        <v>3</v>
      </c>
      <c r="F376" s="18">
        <f>Source!AL461</f>
        <v>7690.8</v>
      </c>
      <c r="G376" s="17" t="str">
        <f>Source!DD461</f>
        <v/>
      </c>
      <c r="H376" s="2">
        <f>Source!AW461</f>
        <v>1</v>
      </c>
      <c r="I376" s="2">
        <f>IF(Source!BC461&lt;&gt; 0, Source!BC461, 1)</f>
        <v>1</v>
      </c>
      <c r="J376" s="19">
        <f>Source!P461</f>
        <v>23072.400000000001</v>
      </c>
      <c r="K376" s="19"/>
      <c r="Q376">
        <f>ROUND((Source!BZ461/100)*ROUND((Source!AF461*Source!AV461)*Source!I461, 2), 2)</f>
        <v>0</v>
      </c>
      <c r="R376">
        <f>Source!X461</f>
        <v>0</v>
      </c>
      <c r="S376">
        <f>ROUND((Source!CA461/100)*ROUND((Source!AF461*Source!AV461)*Source!I461, 2), 2)</f>
        <v>0</v>
      </c>
      <c r="T376">
        <f>Source!Y461</f>
        <v>0</v>
      </c>
      <c r="U376">
        <f>ROUND((175/100)*ROUND((Source!AE461*Source!AV461)*Source!I461, 2), 2)</f>
        <v>0</v>
      </c>
      <c r="V376">
        <f>ROUND((108/100)*ROUND(Source!CS461*Source!I461, 2), 2)</f>
        <v>0</v>
      </c>
    </row>
    <row r="377" spans="1:22" ht="15" x14ac:dyDescent="0.25">
      <c r="A377" s="21"/>
      <c r="B377" s="21"/>
      <c r="C377" s="21"/>
      <c r="D377" s="21"/>
      <c r="E377" s="21"/>
      <c r="F377" s="21"/>
      <c r="G377" s="21"/>
      <c r="H377" s="21"/>
      <c r="I377" s="55">
        <f>J376</f>
        <v>23072.400000000001</v>
      </c>
      <c r="J377" s="55"/>
      <c r="K377" s="22">
        <f>IF(Source!I461&lt;&gt;0, ROUND(I377/Source!I461, 2), 0)</f>
        <v>7690.8</v>
      </c>
      <c r="P377" s="20">
        <f>I377</f>
        <v>23072.400000000001</v>
      </c>
    </row>
    <row r="379" spans="1:22" ht="15" x14ac:dyDescent="0.25">
      <c r="A379" s="57" t="str">
        <f>CONCATENATE("Итого по разделу: ",IF(Source!G468&lt;&gt;"Новый раздел", Source!G468, ""))</f>
        <v>Итого по разделу: Общие МАФ</v>
      </c>
      <c r="B379" s="57"/>
      <c r="C379" s="57"/>
      <c r="D379" s="57"/>
      <c r="E379" s="57"/>
      <c r="F379" s="57"/>
      <c r="G379" s="57"/>
      <c r="H379" s="57"/>
      <c r="I379" s="58">
        <f>SUM(P362:P378)</f>
        <v>1588177.46</v>
      </c>
      <c r="J379" s="59"/>
      <c r="K379" s="24"/>
    </row>
    <row r="382" spans="1:22" ht="16.5" x14ac:dyDescent="0.25">
      <c r="A382" s="56" t="str">
        <f>CONCATENATE("Раздел: ",IF(Source!G498&lt;&gt;"Новый раздел", Source!G498, ""))</f>
        <v>Раздел: Детские МАФ</v>
      </c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spans="1:22" ht="142.5" x14ac:dyDescent="0.2">
      <c r="A383" s="14" t="str">
        <f>Source!E502</f>
        <v>6</v>
      </c>
      <c r="B383" s="15" t="str">
        <f>Source!F502</f>
        <v>21.7-7-63</v>
      </c>
      <c r="C383" s="15" t="str">
        <f>Source!G502</f>
        <v>Игровой комплекс детский городок, марка Г-5 из метал. проф, влагостойкой фанеры, настил из досок, скат из нерж. стали, с приставными элем. и переходным мостиком, с баскетбольной стойкой, 8100х6300х4800мм,"бизнес класс",с крышей, с худ. оформлением эмалями  (эквивалент проекта) Детский городок "Ярославль"</v>
      </c>
      <c r="D383" s="16" t="str">
        <f>Source!H502</f>
        <v>комплекс</v>
      </c>
      <c r="E383" s="2">
        <f>Source!I502</f>
        <v>1</v>
      </c>
      <c r="F383" s="18">
        <f>Source!AL502</f>
        <v>545852</v>
      </c>
      <c r="G383" s="17" t="str">
        <f>Source!DD502</f>
        <v/>
      </c>
      <c r="H383" s="2">
        <f>Source!AW502</f>
        <v>1</v>
      </c>
      <c r="I383" s="2">
        <f>IF(Source!BC502&lt;&gt; 0, Source!BC502, 1)</f>
        <v>1</v>
      </c>
      <c r="J383" s="19">
        <f>Source!P502</f>
        <v>545852</v>
      </c>
      <c r="K383" s="19"/>
      <c r="Q383">
        <f>ROUND((Source!BZ502/100)*ROUND((Source!AF502*Source!AV502)*Source!I502, 2), 2)</f>
        <v>0</v>
      </c>
      <c r="R383">
        <f>Source!X502</f>
        <v>0</v>
      </c>
      <c r="S383">
        <f>ROUND((Source!CA502/100)*ROUND((Source!AF502*Source!AV502)*Source!I502, 2), 2)</f>
        <v>0</v>
      </c>
      <c r="T383">
        <f>Source!Y502</f>
        <v>0</v>
      </c>
      <c r="U383">
        <f>ROUND((175/100)*ROUND((Source!AE502*Source!AV502)*Source!I502, 2), 2)</f>
        <v>0</v>
      </c>
      <c r="V383">
        <f>ROUND((108/100)*ROUND(Source!CS502*Source!I502, 2), 2)</f>
        <v>0</v>
      </c>
    </row>
    <row r="384" spans="1:22" ht="15" x14ac:dyDescent="0.25">
      <c r="A384" s="21"/>
      <c r="B384" s="21"/>
      <c r="C384" s="21"/>
      <c r="D384" s="21"/>
      <c r="E384" s="21"/>
      <c r="F384" s="21"/>
      <c r="G384" s="21"/>
      <c r="H384" s="21"/>
      <c r="I384" s="55">
        <f>J383</f>
        <v>545852</v>
      </c>
      <c r="J384" s="55"/>
      <c r="K384" s="22">
        <f>IF(Source!I502&lt;&gt;0, ROUND(I384/Source!I502, 2), 0)</f>
        <v>545852</v>
      </c>
      <c r="P384" s="20">
        <f>I384</f>
        <v>545852</v>
      </c>
    </row>
    <row r="385" spans="1:32" ht="142.5" x14ac:dyDescent="0.2">
      <c r="A385" s="14" t="str">
        <f>Source!E503</f>
        <v>7</v>
      </c>
      <c r="B385" s="15" t="str">
        <f>Source!F503</f>
        <v>21.7-7-54</v>
      </c>
      <c r="C385" s="15" t="str">
        <f>Source!G503</f>
        <v>Игровой комплекс «ТКМ-3» на опорах из клееного бруса с каркасом из металл. труб, с навесами из влагостойкой фанеры, скаты из нержавеющей стали, 7300х7300х3315 мм, в составе: две горки с переходными мостиками и элементами для лазанья, две беседки, башня  (эквивалент проекта) Игровой комплекс «Сапсан» (стой-ки дуб)</v>
      </c>
      <c r="D385" s="16" t="str">
        <f>Source!H503</f>
        <v>комплекс</v>
      </c>
      <c r="E385" s="2">
        <f>Source!I503</f>
        <v>1</v>
      </c>
      <c r="F385" s="18">
        <f>Source!AL503</f>
        <v>371222.19</v>
      </c>
      <c r="G385" s="17" t="str">
        <f>Source!DD503</f>
        <v/>
      </c>
      <c r="H385" s="2">
        <f>Source!AW503</f>
        <v>1</v>
      </c>
      <c r="I385" s="2">
        <f>IF(Source!BC503&lt;&gt; 0, Source!BC503, 1)</f>
        <v>1</v>
      </c>
      <c r="J385" s="19">
        <f>Source!P503</f>
        <v>371222.19</v>
      </c>
      <c r="K385" s="19"/>
      <c r="Q385">
        <f>ROUND((Source!BZ503/100)*ROUND((Source!AF503*Source!AV503)*Source!I503, 2), 2)</f>
        <v>0</v>
      </c>
      <c r="R385">
        <f>Source!X503</f>
        <v>0</v>
      </c>
      <c r="S385">
        <f>ROUND((Source!CA503/100)*ROUND((Source!AF503*Source!AV503)*Source!I503, 2), 2)</f>
        <v>0</v>
      </c>
      <c r="T385">
        <f>Source!Y503</f>
        <v>0</v>
      </c>
      <c r="U385">
        <f>ROUND((175/100)*ROUND((Source!AE503*Source!AV503)*Source!I503, 2), 2)</f>
        <v>0</v>
      </c>
      <c r="V385">
        <f>ROUND((108/100)*ROUND(Source!CS503*Source!I503, 2), 2)</f>
        <v>0</v>
      </c>
    </row>
    <row r="386" spans="1:32" ht="15" x14ac:dyDescent="0.25">
      <c r="A386" s="21"/>
      <c r="B386" s="21"/>
      <c r="C386" s="21"/>
      <c r="D386" s="21"/>
      <c r="E386" s="21"/>
      <c r="F386" s="21"/>
      <c r="G386" s="21"/>
      <c r="H386" s="21"/>
      <c r="I386" s="55">
        <f>J385</f>
        <v>371222.19</v>
      </c>
      <c r="J386" s="55"/>
      <c r="K386" s="22">
        <f>IF(Source!I503&lt;&gt;0, ROUND(I386/Source!I503, 2), 0)</f>
        <v>371222.19</v>
      </c>
      <c r="P386" s="20">
        <f>I386</f>
        <v>371222.19</v>
      </c>
    </row>
    <row r="387" spans="1:32" ht="57" x14ac:dyDescent="0.2">
      <c r="A387" s="14" t="str">
        <f>Source!E506</f>
        <v>8</v>
      </c>
      <c r="B387" s="15" t="str">
        <f>Source!F506</f>
        <v>21.7-7-114</v>
      </c>
      <c r="C387" s="15" t="str">
        <f>Source!G506</f>
        <v>Комплекс детский городок "АБВГДейка", русские качели (эквивалент проекта) Качели «Драйв» (цветовое решение «Fairytale»)</v>
      </c>
      <c r="D387" s="16" t="str">
        <f>Source!H506</f>
        <v>шт.</v>
      </c>
      <c r="E387" s="2">
        <f>Source!I506</f>
        <v>1</v>
      </c>
      <c r="F387" s="18">
        <f>Source!AL506</f>
        <v>212357.03</v>
      </c>
      <c r="G387" s="17" t="str">
        <f>Source!DD506</f>
        <v/>
      </c>
      <c r="H387" s="2">
        <f>Source!AW506</f>
        <v>1</v>
      </c>
      <c r="I387" s="2">
        <f>IF(Source!BC506&lt;&gt; 0, Source!BC506, 1)</f>
        <v>1</v>
      </c>
      <c r="J387" s="19">
        <f>Source!P506</f>
        <v>212357.03</v>
      </c>
      <c r="K387" s="19"/>
      <c r="Q387">
        <f>ROUND((Source!BZ506/100)*ROUND((Source!AF506*Source!AV506)*Source!I506, 2), 2)</f>
        <v>0</v>
      </c>
      <c r="R387">
        <f>Source!X506</f>
        <v>0</v>
      </c>
      <c r="S387">
        <f>ROUND((Source!CA506/100)*ROUND((Source!AF506*Source!AV506)*Source!I506, 2), 2)</f>
        <v>0</v>
      </c>
      <c r="T387">
        <f>Source!Y506</f>
        <v>0</v>
      </c>
      <c r="U387">
        <f>ROUND((175/100)*ROUND((Source!AE506*Source!AV506)*Source!I506, 2), 2)</f>
        <v>0</v>
      </c>
      <c r="V387">
        <f>ROUND((108/100)*ROUND(Source!CS506*Source!I506, 2), 2)</f>
        <v>0</v>
      </c>
    </row>
    <row r="388" spans="1:32" ht="15" x14ac:dyDescent="0.25">
      <c r="A388" s="21"/>
      <c r="B388" s="21"/>
      <c r="C388" s="21"/>
      <c r="D388" s="21"/>
      <c r="E388" s="21"/>
      <c r="F388" s="21"/>
      <c r="G388" s="21"/>
      <c r="H388" s="21"/>
      <c r="I388" s="55">
        <f>J387</f>
        <v>212357.03</v>
      </c>
      <c r="J388" s="55"/>
      <c r="K388" s="22">
        <f>IF(Source!I506&lt;&gt;0, ROUND(I388/Source!I506, 2), 0)</f>
        <v>212357.03</v>
      </c>
      <c r="P388" s="20">
        <f>I388</f>
        <v>212357.03</v>
      </c>
    </row>
    <row r="389" spans="1:32" ht="71.25" x14ac:dyDescent="0.2">
      <c r="A389" s="14" t="str">
        <f>Source!E507</f>
        <v>9</v>
      </c>
      <c r="B389" s="15" t="str">
        <f>Source!F507</f>
        <v>21.7-7-86</v>
      </c>
      <c r="C389" s="15" t="str">
        <f>Source!G507</f>
        <v>Качалка пружинная деревянная, окрашена цветными эмалями, размеры 1000х900х290 мм (эквивалент проекта) Качалка «Галоп» (универсальный паттерн, балка дуб)</v>
      </c>
      <c r="D389" s="16" t="str">
        <f>Source!H507</f>
        <v>шт.</v>
      </c>
      <c r="E389" s="2">
        <f>Source!I507</f>
        <v>1</v>
      </c>
      <c r="F389" s="18">
        <f>Source!AL507</f>
        <v>27978.6</v>
      </c>
      <c r="G389" s="17" t="str">
        <f>Source!DD507</f>
        <v/>
      </c>
      <c r="H389" s="2">
        <f>Source!AW507</f>
        <v>1</v>
      </c>
      <c r="I389" s="2">
        <f>IF(Source!BC507&lt;&gt; 0, Source!BC507, 1)</f>
        <v>1</v>
      </c>
      <c r="J389" s="19">
        <f>Source!P507</f>
        <v>27978.6</v>
      </c>
      <c r="K389" s="19"/>
      <c r="Q389">
        <f>ROUND((Source!BZ507/100)*ROUND((Source!AF507*Source!AV507)*Source!I507, 2), 2)</f>
        <v>0</v>
      </c>
      <c r="R389">
        <f>Source!X507</f>
        <v>0</v>
      </c>
      <c r="S389">
        <f>ROUND((Source!CA507/100)*ROUND((Source!AF507*Source!AV507)*Source!I507, 2), 2)</f>
        <v>0</v>
      </c>
      <c r="T389">
        <f>Source!Y507</f>
        <v>0</v>
      </c>
      <c r="U389">
        <f>ROUND((175/100)*ROUND((Source!AE507*Source!AV507)*Source!I507, 2), 2)</f>
        <v>0</v>
      </c>
      <c r="V389">
        <f>ROUND((108/100)*ROUND(Source!CS507*Source!I507, 2), 2)</f>
        <v>0</v>
      </c>
    </row>
    <row r="390" spans="1:32" ht="15" x14ac:dyDescent="0.25">
      <c r="A390" s="21"/>
      <c r="B390" s="21"/>
      <c r="C390" s="21"/>
      <c r="D390" s="21"/>
      <c r="E390" s="21"/>
      <c r="F390" s="21"/>
      <c r="G390" s="21"/>
      <c r="H390" s="21"/>
      <c r="I390" s="55">
        <f>J389</f>
        <v>27978.6</v>
      </c>
      <c r="J390" s="55"/>
      <c r="K390" s="22">
        <f>IF(Source!I507&lt;&gt;0, ROUND(I390/Source!I507, 2), 0)</f>
        <v>27978.6</v>
      </c>
      <c r="P390" s="20">
        <f>I390</f>
        <v>27978.6</v>
      </c>
    </row>
    <row r="391" spans="1:32" ht="71.25" x14ac:dyDescent="0.2">
      <c r="A391" s="14" t="str">
        <f>Source!E508</f>
        <v>10</v>
      </c>
      <c r="B391" s="15" t="str">
        <f>Source!F508</f>
        <v>21.7-7-82</v>
      </c>
      <c r="C391" s="15" t="str">
        <f>Source!G508</f>
        <v>Карусель КР014, диаметр 2000 мм, высота 1000 мм, на металлическом каркасе, сиденье из влагостойкой фанеры (эквивалент проекта) Карусель «Цирк»</v>
      </c>
      <c r="D391" s="16" t="str">
        <f>Source!H508</f>
        <v>шт.</v>
      </c>
      <c r="E391" s="2">
        <f>Source!I508</f>
        <v>1</v>
      </c>
      <c r="F391" s="18">
        <f>Source!AL508</f>
        <v>80558</v>
      </c>
      <c r="G391" s="17" t="str">
        <f>Source!DD508</f>
        <v/>
      </c>
      <c r="H391" s="2">
        <f>Source!AW508</f>
        <v>1</v>
      </c>
      <c r="I391" s="2">
        <f>IF(Source!BC508&lt;&gt; 0, Source!BC508, 1)</f>
        <v>1</v>
      </c>
      <c r="J391" s="19">
        <f>Source!P508</f>
        <v>80558</v>
      </c>
      <c r="K391" s="19"/>
      <c r="Q391">
        <f>ROUND((Source!BZ508/100)*ROUND((Source!AF508*Source!AV508)*Source!I508, 2), 2)</f>
        <v>0</v>
      </c>
      <c r="R391">
        <f>Source!X508</f>
        <v>0</v>
      </c>
      <c r="S391">
        <f>ROUND((Source!CA508/100)*ROUND((Source!AF508*Source!AV508)*Source!I508, 2), 2)</f>
        <v>0</v>
      </c>
      <c r="T391">
        <f>Source!Y508</f>
        <v>0</v>
      </c>
      <c r="U391">
        <f>ROUND((175/100)*ROUND((Source!AE508*Source!AV508)*Source!I508, 2), 2)</f>
        <v>0</v>
      </c>
      <c r="V391">
        <f>ROUND((108/100)*ROUND(Source!CS508*Source!I508, 2), 2)</f>
        <v>0</v>
      </c>
    </row>
    <row r="392" spans="1:32" ht="15" x14ac:dyDescent="0.25">
      <c r="A392" s="21"/>
      <c r="B392" s="21"/>
      <c r="C392" s="21"/>
      <c r="D392" s="21"/>
      <c r="E392" s="21"/>
      <c r="F392" s="21"/>
      <c r="G392" s="21"/>
      <c r="H392" s="21"/>
      <c r="I392" s="55">
        <f>J391</f>
        <v>80558</v>
      </c>
      <c r="J392" s="55"/>
      <c r="K392" s="22">
        <f>IF(Source!I508&lt;&gt;0, ROUND(I392/Source!I508, 2), 0)</f>
        <v>80558</v>
      </c>
      <c r="P392" s="20">
        <f>I392</f>
        <v>80558</v>
      </c>
    </row>
    <row r="394" spans="1:32" ht="15" x14ac:dyDescent="0.25">
      <c r="A394" s="57" t="str">
        <f>CONCATENATE("Итого по разделу: ",IF(Source!G566&lt;&gt;"Новый раздел", Source!G566, ""))</f>
        <v>Итого по разделу: Детские МАФ</v>
      </c>
      <c r="B394" s="57"/>
      <c r="C394" s="57"/>
      <c r="D394" s="57"/>
      <c r="E394" s="57"/>
      <c r="F394" s="57"/>
      <c r="G394" s="57"/>
      <c r="H394" s="57"/>
      <c r="I394" s="58">
        <f>SUM(P382:P393)</f>
        <v>1237967.82</v>
      </c>
      <c r="J394" s="59"/>
      <c r="K394" s="24"/>
    </row>
    <row r="397" spans="1:32" ht="15" x14ac:dyDescent="0.25">
      <c r="A397" s="57" t="str">
        <f>CONCATENATE("Итого по локальной смете: ",IF(Source!G596&lt;&gt;"Новая локальная смета", Source!G596, ""))</f>
        <v>Итого по локальной смете: ЛС № 02-01-02 Установка МАФ (ул. Свободы д. 15/10)</v>
      </c>
      <c r="B397" s="57"/>
      <c r="C397" s="57"/>
      <c r="D397" s="57"/>
      <c r="E397" s="57"/>
      <c r="F397" s="57"/>
      <c r="G397" s="57"/>
      <c r="H397" s="57"/>
      <c r="I397" s="58">
        <f>SUM(P360:P396)</f>
        <v>2826145.28</v>
      </c>
      <c r="J397" s="59"/>
      <c r="K397" s="24"/>
      <c r="AF397" s="27" t="str">
        <f>CONCATENATE("Итого по локальной смете: ",IF(Source!G596&lt;&gt;"Новая локальная смета", Source!G596, ""))</f>
        <v>Итого по локальной смете: ЛС № 02-01-02 Установка МАФ (ул. Свободы д. 15/10)</v>
      </c>
    </row>
    <row r="400" spans="1:32" ht="16.5" x14ac:dyDescent="0.25">
      <c r="A400" s="56" t="str">
        <f>CONCATENATE("Локальная смета: ",IF(Source!G626&lt;&gt;"Новая локальная смета", Source!G626, ""))</f>
        <v>Локальная смета: ЛС № 02-01-03 Озеленение (ул. Свободы д. 15/10)</v>
      </c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2" spans="1:22" ht="16.5" x14ac:dyDescent="0.25">
      <c r="A402" s="56" t="str">
        <f>CONCATENATE("Раздел: ",IF(Source!G630&lt;&gt;"Новый раздел", Source!G630, ""))</f>
        <v>Раздел: Посадка лиственных кустарников в группы D=0,25; h=0,2</v>
      </c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spans="1:22" ht="85.5" x14ac:dyDescent="0.2">
      <c r="A403" s="14" t="str">
        <f>Source!E634</f>
        <v>1</v>
      </c>
      <c r="B403" s="15" t="str">
        <f>Source!F634</f>
        <v>5.4-3103-1-3/1</v>
      </c>
      <c r="C403" s="15" t="str">
        <f>Source!G634</f>
        <v>Подготовка стандартных посадочных мест для деревьев и кустарников механизированным способом, с круглым комом земли размером 0,2х0,15 м и 0,25х0,2м с добавлением растительной земли до 50%</v>
      </c>
      <c r="D403" s="16" t="str">
        <f>Source!H634</f>
        <v>10 ям</v>
      </c>
      <c r="E403" s="2">
        <f>Source!I634</f>
        <v>13</v>
      </c>
      <c r="F403" s="18"/>
      <c r="G403" s="17"/>
      <c r="H403" s="2"/>
      <c r="I403" s="2"/>
      <c r="J403" s="19"/>
      <c r="K403" s="19"/>
      <c r="Q403">
        <f>ROUND((Source!BZ634/100)*ROUND((Source!AF634*Source!AV634)*Source!I634, 2), 2)</f>
        <v>7978.15</v>
      </c>
      <c r="R403">
        <f>Source!X634</f>
        <v>7978.15</v>
      </c>
      <c r="S403">
        <f>ROUND((Source!CA634/100)*ROUND((Source!AF634*Source!AV634)*Source!I634, 2), 2)</f>
        <v>1139.74</v>
      </c>
      <c r="T403">
        <f>Source!Y634</f>
        <v>1139.74</v>
      </c>
      <c r="U403">
        <f>ROUND((175/100)*ROUND((Source!AE634*Source!AV634)*Source!I634, 2), 2)</f>
        <v>2120.7600000000002</v>
      </c>
      <c r="V403">
        <f>ROUND((108/100)*ROUND(Source!CS634*Source!I634, 2), 2)</f>
        <v>1308.81</v>
      </c>
    </row>
    <row r="404" spans="1:22" ht="14.25" x14ac:dyDescent="0.2">
      <c r="A404" s="14"/>
      <c r="B404" s="15"/>
      <c r="C404" s="15" t="s">
        <v>989</v>
      </c>
      <c r="D404" s="16"/>
      <c r="E404" s="2"/>
      <c r="F404" s="18">
        <f>Source!AO634</f>
        <v>876.72</v>
      </c>
      <c r="G404" s="17" t="str">
        <f>Source!DG634</f>
        <v/>
      </c>
      <c r="H404" s="2">
        <f>Source!AV634</f>
        <v>1</v>
      </c>
      <c r="I404" s="2">
        <f>IF(Source!BA634&lt;&gt; 0, Source!BA634, 1)</f>
        <v>1</v>
      </c>
      <c r="J404" s="19">
        <f>Source!S634</f>
        <v>11397.36</v>
      </c>
      <c r="K404" s="19"/>
    </row>
    <row r="405" spans="1:22" ht="14.25" x14ac:dyDescent="0.2">
      <c r="A405" s="14"/>
      <c r="B405" s="15"/>
      <c r="C405" s="15" t="s">
        <v>995</v>
      </c>
      <c r="D405" s="16"/>
      <c r="E405" s="2"/>
      <c r="F405" s="18">
        <f>Source!AM634</f>
        <v>254.87</v>
      </c>
      <c r="G405" s="17" t="str">
        <f>Source!DE634</f>
        <v/>
      </c>
      <c r="H405" s="2">
        <f>Source!AV634</f>
        <v>1</v>
      </c>
      <c r="I405" s="2">
        <f>IF(Source!BB634&lt;&gt; 0, Source!BB634, 1)</f>
        <v>1</v>
      </c>
      <c r="J405" s="19">
        <f>Source!Q634</f>
        <v>3313.31</v>
      </c>
      <c r="K405" s="19"/>
    </row>
    <row r="406" spans="1:22" ht="14.25" x14ac:dyDescent="0.2">
      <c r="A406" s="14"/>
      <c r="B406" s="15"/>
      <c r="C406" s="15" t="s">
        <v>996</v>
      </c>
      <c r="D406" s="16"/>
      <c r="E406" s="2"/>
      <c r="F406" s="18">
        <f>Source!AN634</f>
        <v>93.22</v>
      </c>
      <c r="G406" s="17" t="str">
        <f>Source!DF634</f>
        <v/>
      </c>
      <c r="H406" s="2">
        <f>Source!AV634</f>
        <v>1</v>
      </c>
      <c r="I406" s="2">
        <f>IF(Source!BS634&lt;&gt; 0, Source!BS634, 1)</f>
        <v>1</v>
      </c>
      <c r="J406" s="23">
        <f>Source!R634</f>
        <v>1211.8599999999999</v>
      </c>
      <c r="K406" s="19"/>
    </row>
    <row r="407" spans="1:22" ht="14.25" x14ac:dyDescent="0.2">
      <c r="A407" s="14"/>
      <c r="B407" s="15"/>
      <c r="C407" s="15" t="s">
        <v>1000</v>
      </c>
      <c r="D407" s="16"/>
      <c r="E407" s="2"/>
      <c r="F407" s="18">
        <f>Source!AL634</f>
        <v>689.63</v>
      </c>
      <c r="G407" s="17" t="str">
        <f>Source!DD634</f>
        <v/>
      </c>
      <c r="H407" s="2">
        <f>Source!AW634</f>
        <v>1</v>
      </c>
      <c r="I407" s="2">
        <f>IF(Source!BC634&lt;&gt; 0, Source!BC634, 1)</f>
        <v>1</v>
      </c>
      <c r="J407" s="19">
        <f>Source!P634</f>
        <v>8965.19</v>
      </c>
      <c r="K407" s="19"/>
    </row>
    <row r="408" spans="1:22" ht="14.25" x14ac:dyDescent="0.2">
      <c r="A408" s="14"/>
      <c r="B408" s="15"/>
      <c r="C408" s="15" t="s">
        <v>990</v>
      </c>
      <c r="D408" s="16" t="s">
        <v>991</v>
      </c>
      <c r="E408" s="2">
        <f>Source!AT634</f>
        <v>70</v>
      </c>
      <c r="F408" s="18"/>
      <c r="G408" s="17"/>
      <c r="H408" s="2"/>
      <c r="I408" s="2"/>
      <c r="J408" s="19">
        <f>SUM(R403:R407)</f>
        <v>7978.15</v>
      </c>
      <c r="K408" s="19"/>
    </row>
    <row r="409" spans="1:22" ht="14.25" x14ac:dyDescent="0.2">
      <c r="A409" s="14"/>
      <c r="B409" s="15"/>
      <c r="C409" s="15" t="s">
        <v>992</v>
      </c>
      <c r="D409" s="16" t="s">
        <v>991</v>
      </c>
      <c r="E409" s="2">
        <f>Source!AU634</f>
        <v>10</v>
      </c>
      <c r="F409" s="18"/>
      <c r="G409" s="17"/>
      <c r="H409" s="2"/>
      <c r="I409" s="2"/>
      <c r="J409" s="19">
        <f>SUM(T403:T408)</f>
        <v>1139.74</v>
      </c>
      <c r="K409" s="19"/>
    </row>
    <row r="410" spans="1:22" ht="14.25" x14ac:dyDescent="0.2">
      <c r="A410" s="14"/>
      <c r="B410" s="15"/>
      <c r="C410" s="15" t="s">
        <v>997</v>
      </c>
      <c r="D410" s="16" t="s">
        <v>991</v>
      </c>
      <c r="E410" s="2">
        <f>108</f>
        <v>108</v>
      </c>
      <c r="F410" s="18"/>
      <c r="G410" s="17"/>
      <c r="H410" s="2"/>
      <c r="I410" s="2"/>
      <c r="J410" s="19">
        <f>SUM(V403:V409)</f>
        <v>1308.81</v>
      </c>
      <c r="K410" s="19"/>
    </row>
    <row r="411" spans="1:22" ht="14.25" x14ac:dyDescent="0.2">
      <c r="A411" s="14"/>
      <c r="B411" s="15"/>
      <c r="C411" s="15" t="s">
        <v>993</v>
      </c>
      <c r="D411" s="16" t="s">
        <v>994</v>
      </c>
      <c r="E411" s="2">
        <f>Source!AQ634</f>
        <v>5.57</v>
      </c>
      <c r="F411" s="18"/>
      <c r="G411" s="17" t="str">
        <f>Source!DI634</f>
        <v/>
      </c>
      <c r="H411" s="2">
        <f>Source!AV634</f>
        <v>1</v>
      </c>
      <c r="I411" s="2"/>
      <c r="J411" s="19"/>
      <c r="K411" s="19">
        <f>Source!U634</f>
        <v>72.41</v>
      </c>
    </row>
    <row r="412" spans="1:22" ht="15" x14ac:dyDescent="0.25">
      <c r="A412" s="21"/>
      <c r="B412" s="21"/>
      <c r="C412" s="21"/>
      <c r="D412" s="21"/>
      <c r="E412" s="21"/>
      <c r="F412" s="21"/>
      <c r="G412" s="21"/>
      <c r="H412" s="21"/>
      <c r="I412" s="55">
        <f>J404+J405+J407+J408+J409+J410</f>
        <v>34102.559999999998</v>
      </c>
      <c r="J412" s="55"/>
      <c r="K412" s="22">
        <f>IF(Source!I634&lt;&gt;0, ROUND(I412/Source!I634, 2), 0)</f>
        <v>2623.27</v>
      </c>
      <c r="P412" s="20">
        <f>I412</f>
        <v>34102.559999999998</v>
      </c>
    </row>
    <row r="413" spans="1:22" ht="71.25" x14ac:dyDescent="0.2">
      <c r="A413" s="14" t="str">
        <f>Source!E635</f>
        <v>2</v>
      </c>
      <c r="B413" s="15" t="str">
        <f>Source!F635</f>
        <v>5.4-3103-3-3/1</v>
      </c>
      <c r="C413" s="15" t="str">
        <f>Source!G635</f>
        <v>Подготовка стандартных посадочных мест вручную, с круглым комом земли размером 0,2х0,15 м и 0,25х0,2 м с добавлением растительной земли до 50%</v>
      </c>
      <c r="D413" s="16" t="str">
        <f>Source!H635</f>
        <v>10 ям</v>
      </c>
      <c r="E413" s="2">
        <f>Source!I635</f>
        <v>19.5</v>
      </c>
      <c r="F413" s="18"/>
      <c r="G413" s="17"/>
      <c r="H413" s="2"/>
      <c r="I413" s="2"/>
      <c r="J413" s="19"/>
      <c r="K413" s="19"/>
      <c r="Q413">
        <f>ROUND((Source!BZ635/100)*ROUND((Source!AF635*Source!AV635)*Source!I635, 2), 2)</f>
        <v>22944.01</v>
      </c>
      <c r="R413">
        <f>Source!X635</f>
        <v>22944.01</v>
      </c>
      <c r="S413">
        <f>ROUND((Source!CA635/100)*ROUND((Source!AF635*Source!AV635)*Source!I635, 2), 2)</f>
        <v>3277.72</v>
      </c>
      <c r="T413">
        <f>Source!Y635</f>
        <v>3277.72</v>
      </c>
      <c r="U413">
        <f>ROUND((175/100)*ROUND((Source!AE635*Source!AV635)*Source!I635, 2), 2)</f>
        <v>0</v>
      </c>
      <c r="V413">
        <f>ROUND((108/100)*ROUND(Source!CS635*Source!I635, 2), 2)</f>
        <v>0</v>
      </c>
    </row>
    <row r="414" spans="1:22" ht="14.25" x14ac:dyDescent="0.2">
      <c r="A414" s="14"/>
      <c r="B414" s="15"/>
      <c r="C414" s="15" t="s">
        <v>989</v>
      </c>
      <c r="D414" s="16"/>
      <c r="E414" s="2"/>
      <c r="F414" s="18">
        <f>Source!AO635</f>
        <v>1680.88</v>
      </c>
      <c r="G414" s="17" t="str">
        <f>Source!DG635</f>
        <v/>
      </c>
      <c r="H414" s="2">
        <f>Source!AV635</f>
        <v>1</v>
      </c>
      <c r="I414" s="2">
        <f>IF(Source!BA635&lt;&gt; 0, Source!BA635, 1)</f>
        <v>1</v>
      </c>
      <c r="J414" s="19">
        <f>Source!S635</f>
        <v>32777.160000000003</v>
      </c>
      <c r="K414" s="19"/>
    </row>
    <row r="415" spans="1:22" ht="14.25" x14ac:dyDescent="0.2">
      <c r="A415" s="14"/>
      <c r="B415" s="15"/>
      <c r="C415" s="15" t="s">
        <v>1000</v>
      </c>
      <c r="D415" s="16"/>
      <c r="E415" s="2"/>
      <c r="F415" s="18">
        <f>Source!AL635</f>
        <v>689.63</v>
      </c>
      <c r="G415" s="17" t="str">
        <f>Source!DD635</f>
        <v/>
      </c>
      <c r="H415" s="2">
        <f>Source!AW635</f>
        <v>1</v>
      </c>
      <c r="I415" s="2">
        <f>IF(Source!BC635&lt;&gt; 0, Source!BC635, 1)</f>
        <v>1</v>
      </c>
      <c r="J415" s="19">
        <f>Source!P635</f>
        <v>13447.79</v>
      </c>
      <c r="K415" s="19"/>
    </row>
    <row r="416" spans="1:22" ht="14.25" x14ac:dyDescent="0.2">
      <c r="A416" s="14"/>
      <c r="B416" s="15"/>
      <c r="C416" s="15" t="s">
        <v>990</v>
      </c>
      <c r="D416" s="16" t="s">
        <v>991</v>
      </c>
      <c r="E416" s="2">
        <f>Source!AT635</f>
        <v>70</v>
      </c>
      <c r="F416" s="18"/>
      <c r="G416" s="17"/>
      <c r="H416" s="2"/>
      <c r="I416" s="2"/>
      <c r="J416" s="19">
        <f>SUM(R413:R415)</f>
        <v>22944.01</v>
      </c>
      <c r="K416" s="19"/>
    </row>
    <row r="417" spans="1:22" ht="14.25" x14ac:dyDescent="0.2">
      <c r="A417" s="14"/>
      <c r="B417" s="15"/>
      <c r="C417" s="15" t="s">
        <v>992</v>
      </c>
      <c r="D417" s="16" t="s">
        <v>991</v>
      </c>
      <c r="E417" s="2">
        <f>Source!AU635</f>
        <v>10</v>
      </c>
      <c r="F417" s="18"/>
      <c r="G417" s="17"/>
      <c r="H417" s="2"/>
      <c r="I417" s="2"/>
      <c r="J417" s="19">
        <f>SUM(T413:T416)</f>
        <v>3277.72</v>
      </c>
      <c r="K417" s="19"/>
    </row>
    <row r="418" spans="1:22" ht="14.25" x14ac:dyDescent="0.2">
      <c r="A418" s="14"/>
      <c r="B418" s="15"/>
      <c r="C418" s="15" t="s">
        <v>993</v>
      </c>
      <c r="D418" s="16" t="s">
        <v>994</v>
      </c>
      <c r="E418" s="2">
        <f>Source!AQ635</f>
        <v>9.3000000000000007</v>
      </c>
      <c r="F418" s="18"/>
      <c r="G418" s="17" t="str">
        <f>Source!DI635</f>
        <v/>
      </c>
      <c r="H418" s="2">
        <f>Source!AV635</f>
        <v>1</v>
      </c>
      <c r="I418" s="2"/>
      <c r="J418" s="19"/>
      <c r="K418" s="19">
        <f>Source!U635</f>
        <v>181.35000000000002</v>
      </c>
    </row>
    <row r="419" spans="1:22" ht="15" x14ac:dyDescent="0.25">
      <c r="A419" s="21"/>
      <c r="B419" s="21"/>
      <c r="C419" s="21"/>
      <c r="D419" s="21"/>
      <c r="E419" s="21"/>
      <c r="F419" s="21"/>
      <c r="G419" s="21"/>
      <c r="H419" s="21"/>
      <c r="I419" s="55">
        <f>J414+J415+J416+J417</f>
        <v>72446.680000000008</v>
      </c>
      <c r="J419" s="55"/>
      <c r="K419" s="22">
        <f>IF(Source!I635&lt;&gt;0, ROUND(I419/Source!I635, 2), 0)</f>
        <v>3715.21</v>
      </c>
      <c r="P419" s="20">
        <f>I419</f>
        <v>72446.680000000008</v>
      </c>
    </row>
    <row r="420" spans="1:22" ht="57" x14ac:dyDescent="0.2">
      <c r="A420" s="14" t="str">
        <f>Source!E636</f>
        <v>3</v>
      </c>
      <c r="B420" s="15" t="str">
        <f>Source!F636</f>
        <v>5.4-3103-6-1/1</v>
      </c>
      <c r="C420" s="15" t="str">
        <f>Source!G636</f>
        <v>Посадка деревьев и кустарников с комом земли, диаметром 0,2 м и высотой 0,15 м, диаметром 0,25 м и высотой 0,2 м</v>
      </c>
      <c r="D420" s="16" t="str">
        <f>Source!H636</f>
        <v>10 шт.</v>
      </c>
      <c r="E420" s="2">
        <f>Source!I636</f>
        <v>32.5</v>
      </c>
      <c r="F420" s="18"/>
      <c r="G420" s="17"/>
      <c r="H420" s="2"/>
      <c r="I420" s="2"/>
      <c r="J420" s="19"/>
      <c r="K420" s="19"/>
      <c r="Q420">
        <f>ROUND((Source!BZ636/100)*ROUND((Source!AF636*Source!AV636)*Source!I636, 2), 2)</f>
        <v>27533.42</v>
      </c>
      <c r="R420">
        <f>Source!X636</f>
        <v>27533.42</v>
      </c>
      <c r="S420">
        <f>ROUND((Source!CA636/100)*ROUND((Source!AF636*Source!AV636)*Source!I636, 2), 2)</f>
        <v>3933.35</v>
      </c>
      <c r="T420">
        <f>Source!Y636</f>
        <v>3933.35</v>
      </c>
      <c r="U420">
        <f>ROUND((175/100)*ROUND((Source!AE636*Source!AV636)*Source!I636, 2), 2)</f>
        <v>8345.84</v>
      </c>
      <c r="V420">
        <f>ROUND((108/100)*ROUND(Source!CS636*Source!I636, 2), 2)</f>
        <v>5150.57</v>
      </c>
    </row>
    <row r="421" spans="1:22" ht="14.25" x14ac:dyDescent="0.2">
      <c r="A421" s="14"/>
      <c r="B421" s="15"/>
      <c r="C421" s="15" t="s">
        <v>989</v>
      </c>
      <c r="D421" s="16"/>
      <c r="E421" s="2"/>
      <c r="F421" s="18">
        <f>Source!AO636</f>
        <v>1210.26</v>
      </c>
      <c r="G421" s="17" t="str">
        <f>Source!DG636</f>
        <v/>
      </c>
      <c r="H421" s="2">
        <f>Source!AV636</f>
        <v>1</v>
      </c>
      <c r="I421" s="2">
        <f>IF(Source!BA636&lt;&gt; 0, Source!BA636, 1)</f>
        <v>1</v>
      </c>
      <c r="J421" s="19">
        <f>Source!S636</f>
        <v>39333.449999999997</v>
      </c>
      <c r="K421" s="19"/>
    </row>
    <row r="422" spans="1:22" ht="14.25" x14ac:dyDescent="0.2">
      <c r="A422" s="14"/>
      <c r="B422" s="15"/>
      <c r="C422" s="15" t="s">
        <v>995</v>
      </c>
      <c r="D422" s="16"/>
      <c r="E422" s="2"/>
      <c r="F422" s="18">
        <f>Source!AM636</f>
        <v>646.59</v>
      </c>
      <c r="G422" s="17" t="str">
        <f>Source!DE636</f>
        <v/>
      </c>
      <c r="H422" s="2">
        <f>Source!AV636</f>
        <v>1</v>
      </c>
      <c r="I422" s="2">
        <f>IF(Source!BB636&lt;&gt; 0, Source!BB636, 1)</f>
        <v>1</v>
      </c>
      <c r="J422" s="19">
        <f>Source!Q636</f>
        <v>21014.18</v>
      </c>
      <c r="K422" s="19"/>
    </row>
    <row r="423" spans="1:22" ht="14.25" x14ac:dyDescent="0.2">
      <c r="A423" s="14"/>
      <c r="B423" s="15"/>
      <c r="C423" s="15" t="s">
        <v>996</v>
      </c>
      <c r="D423" s="16"/>
      <c r="E423" s="2"/>
      <c r="F423" s="18">
        <f>Source!AN636</f>
        <v>146.74</v>
      </c>
      <c r="G423" s="17" t="str">
        <f>Source!DF636</f>
        <v/>
      </c>
      <c r="H423" s="2">
        <f>Source!AV636</f>
        <v>1</v>
      </c>
      <c r="I423" s="2">
        <f>IF(Source!BS636&lt;&gt; 0, Source!BS636, 1)</f>
        <v>1</v>
      </c>
      <c r="J423" s="23">
        <f>Source!R636</f>
        <v>4769.05</v>
      </c>
      <c r="K423" s="19"/>
    </row>
    <row r="424" spans="1:22" ht="14.25" x14ac:dyDescent="0.2">
      <c r="A424" s="14"/>
      <c r="B424" s="15"/>
      <c r="C424" s="15" t="s">
        <v>1000</v>
      </c>
      <c r="D424" s="16"/>
      <c r="E424" s="2"/>
      <c r="F424" s="18">
        <f>Source!AL636</f>
        <v>37.72</v>
      </c>
      <c r="G424" s="17" t="str">
        <f>Source!DD636</f>
        <v/>
      </c>
      <c r="H424" s="2">
        <f>Source!AW636</f>
        <v>1</v>
      </c>
      <c r="I424" s="2">
        <f>IF(Source!BC636&lt;&gt; 0, Source!BC636, 1)</f>
        <v>1</v>
      </c>
      <c r="J424" s="19">
        <f>Source!P636</f>
        <v>1225.9000000000001</v>
      </c>
      <c r="K424" s="19"/>
    </row>
    <row r="425" spans="1:22" ht="42.75" x14ac:dyDescent="0.2">
      <c r="A425" s="14" t="str">
        <f>Source!E637</f>
        <v>3,1</v>
      </c>
      <c r="B425" s="15" t="str">
        <f>Source!F637</f>
        <v>21.4-2-2</v>
      </c>
      <c r="C425" s="15" t="str">
        <f>Source!G637</f>
        <v>Кустарники декоративные с комом земли: барбарис тунберга, высота 0,15 м, диаметр 0,2 м (эквивалент проекта)</v>
      </c>
      <c r="D425" s="16" t="str">
        <f>Source!H637</f>
        <v>шт.</v>
      </c>
      <c r="E425" s="2">
        <f>Source!I637</f>
        <v>325</v>
      </c>
      <c r="F425" s="18">
        <f>Source!AK637</f>
        <v>227.38</v>
      </c>
      <c r="G425" s="26" t="s">
        <v>3</v>
      </c>
      <c r="H425" s="2">
        <f>Source!AW637</f>
        <v>1</v>
      </c>
      <c r="I425" s="2">
        <f>IF(Source!BC637&lt;&gt; 0, Source!BC637, 1)</f>
        <v>1</v>
      </c>
      <c r="J425" s="19">
        <f>Source!O637</f>
        <v>73898.5</v>
      </c>
      <c r="K425" s="19"/>
      <c r="Q425">
        <f>ROUND((Source!BZ637/100)*ROUND((Source!AF637*Source!AV637)*Source!I637, 2), 2)</f>
        <v>0</v>
      </c>
      <c r="R425">
        <f>Source!X637</f>
        <v>0</v>
      </c>
      <c r="S425">
        <f>ROUND((Source!CA637/100)*ROUND((Source!AF637*Source!AV637)*Source!I637, 2), 2)</f>
        <v>0</v>
      </c>
      <c r="T425">
        <f>Source!Y637</f>
        <v>0</v>
      </c>
      <c r="U425">
        <f>ROUND((175/100)*ROUND((Source!AE637*Source!AV637)*Source!I637, 2), 2)</f>
        <v>0</v>
      </c>
      <c r="V425">
        <f>ROUND((108/100)*ROUND(Source!CS637*Source!I637, 2), 2)</f>
        <v>0</v>
      </c>
    </row>
    <row r="426" spans="1:22" ht="14.25" x14ac:dyDescent="0.2">
      <c r="A426" s="14"/>
      <c r="B426" s="15"/>
      <c r="C426" s="15" t="s">
        <v>990</v>
      </c>
      <c r="D426" s="16" t="s">
        <v>991</v>
      </c>
      <c r="E426" s="2">
        <f>Source!AT636</f>
        <v>70</v>
      </c>
      <c r="F426" s="18"/>
      <c r="G426" s="17"/>
      <c r="H426" s="2"/>
      <c r="I426" s="2"/>
      <c r="J426" s="19">
        <f>SUM(R420:R425)</f>
        <v>27533.42</v>
      </c>
      <c r="K426" s="19"/>
    </row>
    <row r="427" spans="1:22" ht="14.25" x14ac:dyDescent="0.2">
      <c r="A427" s="14"/>
      <c r="B427" s="15"/>
      <c r="C427" s="15" t="s">
        <v>992</v>
      </c>
      <c r="D427" s="16" t="s">
        <v>991</v>
      </c>
      <c r="E427" s="2">
        <f>Source!AU636</f>
        <v>10</v>
      </c>
      <c r="F427" s="18"/>
      <c r="G427" s="17"/>
      <c r="H427" s="2"/>
      <c r="I427" s="2"/>
      <c r="J427" s="19">
        <f>SUM(T420:T426)</f>
        <v>3933.35</v>
      </c>
      <c r="K427" s="19"/>
    </row>
    <row r="428" spans="1:22" ht="14.25" x14ac:dyDescent="0.2">
      <c r="A428" s="14"/>
      <c r="B428" s="15"/>
      <c r="C428" s="15" t="s">
        <v>997</v>
      </c>
      <c r="D428" s="16" t="s">
        <v>991</v>
      </c>
      <c r="E428" s="2">
        <f>108</f>
        <v>108</v>
      </c>
      <c r="F428" s="18"/>
      <c r="G428" s="17"/>
      <c r="H428" s="2"/>
      <c r="I428" s="2"/>
      <c r="J428" s="19">
        <f>SUM(V420:V427)</f>
        <v>5150.57</v>
      </c>
      <c r="K428" s="19"/>
    </row>
    <row r="429" spans="1:22" ht="14.25" x14ac:dyDescent="0.2">
      <c r="A429" s="14"/>
      <c r="B429" s="15"/>
      <c r="C429" s="15" t="s">
        <v>993</v>
      </c>
      <c r="D429" s="16" t="s">
        <v>994</v>
      </c>
      <c r="E429" s="2">
        <f>Source!AQ636</f>
        <v>4.51</v>
      </c>
      <c r="F429" s="18"/>
      <c r="G429" s="17" t="str">
        <f>Source!DI636</f>
        <v/>
      </c>
      <c r="H429" s="2">
        <f>Source!AV636</f>
        <v>1</v>
      </c>
      <c r="I429" s="2"/>
      <c r="J429" s="19"/>
      <c r="K429" s="19">
        <f>Source!U636</f>
        <v>146.57499999999999</v>
      </c>
    </row>
    <row r="430" spans="1:22" ht="15" x14ac:dyDescent="0.25">
      <c r="A430" s="21"/>
      <c r="B430" s="21"/>
      <c r="C430" s="21"/>
      <c r="D430" s="21"/>
      <c r="E430" s="21"/>
      <c r="F430" s="21"/>
      <c r="G430" s="21"/>
      <c r="H430" s="21"/>
      <c r="I430" s="55">
        <f>J421+J422+J424+J426+J427+J428+SUM(J425:J425)</f>
        <v>172089.37</v>
      </c>
      <c r="J430" s="55"/>
      <c r="K430" s="22">
        <f>IF(Source!I636&lt;&gt;0, ROUND(I430/Source!I636, 2), 0)</f>
        <v>5295.06</v>
      </c>
      <c r="P430" s="20">
        <f>I430</f>
        <v>172089.37</v>
      </c>
    </row>
    <row r="432" spans="1:22" ht="15" x14ac:dyDescent="0.25">
      <c r="A432" s="57" t="str">
        <f>CONCATENATE("Итого по разделу: ",IF(Source!G639&lt;&gt;"Новый раздел", Source!G639, ""))</f>
        <v>Итого по разделу: Посадка лиственных кустарников в группы D=0,25; h=0,2</v>
      </c>
      <c r="B432" s="57"/>
      <c r="C432" s="57"/>
      <c r="D432" s="57"/>
      <c r="E432" s="57"/>
      <c r="F432" s="57"/>
      <c r="G432" s="57"/>
      <c r="H432" s="57"/>
      <c r="I432" s="58">
        <f>SUM(P402:P431)</f>
        <v>278638.61</v>
      </c>
      <c r="J432" s="59"/>
      <c r="K432" s="24"/>
    </row>
    <row r="435" spans="1:22" ht="16.5" x14ac:dyDescent="0.25">
      <c r="A435" s="56" t="str">
        <f>CONCATENATE("Раздел: ",IF(Source!G669&lt;&gt;"Новый раздел", Source!G669, ""))</f>
        <v>Раздел: Устройство газона</v>
      </c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spans="1:22" ht="57" x14ac:dyDescent="0.2">
      <c r="A436" s="14" t="str">
        <f>Source!E673</f>
        <v>4</v>
      </c>
      <c r="B436" s="15" t="str">
        <f>Source!F673</f>
        <v>5.4-3203-3-3/1</v>
      </c>
      <c r="C436" s="15" t="str">
        <f>Source!G673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436" s="16" t="str">
        <f>Source!H673</f>
        <v>100 м2</v>
      </c>
      <c r="E436" s="2">
        <f>Source!I673</f>
        <v>0.36749999999999999</v>
      </c>
      <c r="F436" s="18"/>
      <c r="G436" s="17"/>
      <c r="H436" s="2"/>
      <c r="I436" s="2"/>
      <c r="J436" s="19"/>
      <c r="K436" s="19"/>
      <c r="Q436">
        <f>ROUND((Source!BZ673/100)*ROUND((Source!AF673*Source!AV673)*Source!I673, 2), 2)</f>
        <v>1465.97</v>
      </c>
      <c r="R436">
        <f>Source!X673</f>
        <v>1465.97</v>
      </c>
      <c r="S436">
        <f>ROUND((Source!CA673/100)*ROUND((Source!AF673*Source!AV673)*Source!I673, 2), 2)</f>
        <v>209.42</v>
      </c>
      <c r="T436">
        <f>Source!Y673</f>
        <v>209.42</v>
      </c>
      <c r="U436">
        <f>ROUND((175/100)*ROUND((Source!AE673*Source!AV673)*Source!I673, 2), 2)</f>
        <v>14.3</v>
      </c>
      <c r="V436">
        <f>ROUND((108/100)*ROUND(Source!CS673*Source!I673, 2), 2)</f>
        <v>8.82</v>
      </c>
    </row>
    <row r="437" spans="1:22" ht="14.25" x14ac:dyDescent="0.2">
      <c r="A437" s="14"/>
      <c r="B437" s="15"/>
      <c r="C437" s="15" t="s">
        <v>989</v>
      </c>
      <c r="D437" s="16"/>
      <c r="E437" s="2"/>
      <c r="F437" s="18">
        <f>Source!AO673</f>
        <v>5698.62</v>
      </c>
      <c r="G437" s="17" t="str">
        <f>Source!DG673</f>
        <v/>
      </c>
      <c r="H437" s="2">
        <f>Source!AV673</f>
        <v>1</v>
      </c>
      <c r="I437" s="2">
        <f>IF(Source!BA673&lt;&gt; 0, Source!BA673, 1)</f>
        <v>1</v>
      </c>
      <c r="J437" s="19">
        <f>Source!S673</f>
        <v>2094.2399999999998</v>
      </c>
      <c r="K437" s="19"/>
    </row>
    <row r="438" spans="1:22" ht="14.25" x14ac:dyDescent="0.2">
      <c r="A438" s="14"/>
      <c r="B438" s="15"/>
      <c r="C438" s="15" t="s">
        <v>995</v>
      </c>
      <c r="D438" s="16"/>
      <c r="E438" s="2"/>
      <c r="F438" s="18">
        <f>Source!AM673</f>
        <v>60.76</v>
      </c>
      <c r="G438" s="17" t="str">
        <f>Source!DE673</f>
        <v/>
      </c>
      <c r="H438" s="2">
        <f>Source!AV673</f>
        <v>1</v>
      </c>
      <c r="I438" s="2">
        <f>IF(Source!BB673&lt;&gt; 0, Source!BB673, 1)</f>
        <v>1</v>
      </c>
      <c r="J438" s="19">
        <f>Source!Q673</f>
        <v>22.33</v>
      </c>
      <c r="K438" s="19"/>
    </row>
    <row r="439" spans="1:22" ht="14.25" x14ac:dyDescent="0.2">
      <c r="A439" s="14"/>
      <c r="B439" s="15"/>
      <c r="C439" s="15" t="s">
        <v>996</v>
      </c>
      <c r="D439" s="16"/>
      <c r="E439" s="2"/>
      <c r="F439" s="18">
        <f>Source!AN673</f>
        <v>22.23</v>
      </c>
      <c r="G439" s="17" t="str">
        <f>Source!DF673</f>
        <v/>
      </c>
      <c r="H439" s="2">
        <f>Source!AV673</f>
        <v>1</v>
      </c>
      <c r="I439" s="2">
        <f>IF(Source!BS673&lt;&gt; 0, Source!BS673, 1)</f>
        <v>1</v>
      </c>
      <c r="J439" s="23">
        <f>Source!R673</f>
        <v>8.17</v>
      </c>
      <c r="K439" s="19"/>
    </row>
    <row r="440" spans="1:22" ht="14.25" x14ac:dyDescent="0.2">
      <c r="A440" s="14"/>
      <c r="B440" s="15"/>
      <c r="C440" s="15" t="s">
        <v>1000</v>
      </c>
      <c r="D440" s="16"/>
      <c r="E440" s="2"/>
      <c r="F440" s="18">
        <f>Source!AL673</f>
        <v>11305.05</v>
      </c>
      <c r="G440" s="17" t="str">
        <f>Source!DD673</f>
        <v/>
      </c>
      <c r="H440" s="2">
        <f>Source!AW673</f>
        <v>1</v>
      </c>
      <c r="I440" s="2">
        <f>IF(Source!BC673&lt;&gt; 0, Source!BC673, 1)</f>
        <v>1</v>
      </c>
      <c r="J440" s="19">
        <f>Source!P673</f>
        <v>4154.6099999999997</v>
      </c>
      <c r="K440" s="19"/>
    </row>
    <row r="441" spans="1:22" ht="14.25" x14ac:dyDescent="0.2">
      <c r="A441" s="14"/>
      <c r="B441" s="15"/>
      <c r="C441" s="15" t="s">
        <v>990</v>
      </c>
      <c r="D441" s="16" t="s">
        <v>991</v>
      </c>
      <c r="E441" s="2">
        <f>Source!AT673</f>
        <v>70</v>
      </c>
      <c r="F441" s="18"/>
      <c r="G441" s="17"/>
      <c r="H441" s="2"/>
      <c r="I441" s="2"/>
      <c r="J441" s="19">
        <f>SUM(R436:R440)</f>
        <v>1465.97</v>
      </c>
      <c r="K441" s="19"/>
    </row>
    <row r="442" spans="1:22" ht="14.25" x14ac:dyDescent="0.2">
      <c r="A442" s="14"/>
      <c r="B442" s="15"/>
      <c r="C442" s="15" t="s">
        <v>992</v>
      </c>
      <c r="D442" s="16" t="s">
        <v>991</v>
      </c>
      <c r="E442" s="2">
        <f>Source!AU673</f>
        <v>10</v>
      </c>
      <c r="F442" s="18"/>
      <c r="G442" s="17"/>
      <c r="H442" s="2"/>
      <c r="I442" s="2"/>
      <c r="J442" s="19">
        <f>SUM(T436:T441)</f>
        <v>209.42</v>
      </c>
      <c r="K442" s="19"/>
    </row>
    <row r="443" spans="1:22" ht="14.25" x14ac:dyDescent="0.2">
      <c r="A443" s="14"/>
      <c r="B443" s="15"/>
      <c r="C443" s="15" t="s">
        <v>997</v>
      </c>
      <c r="D443" s="16" t="s">
        <v>991</v>
      </c>
      <c r="E443" s="2">
        <f>108</f>
        <v>108</v>
      </c>
      <c r="F443" s="18"/>
      <c r="G443" s="17"/>
      <c r="H443" s="2"/>
      <c r="I443" s="2"/>
      <c r="J443" s="19">
        <f>SUM(V436:V442)</f>
        <v>8.82</v>
      </c>
      <c r="K443" s="19"/>
    </row>
    <row r="444" spans="1:22" ht="14.25" x14ac:dyDescent="0.2">
      <c r="A444" s="14"/>
      <c r="B444" s="15"/>
      <c r="C444" s="15" t="s">
        <v>993</v>
      </c>
      <c r="D444" s="16" t="s">
        <v>994</v>
      </c>
      <c r="E444" s="2">
        <f>Source!AQ673</f>
        <v>30.8</v>
      </c>
      <c r="F444" s="18"/>
      <c r="G444" s="17" t="str">
        <f>Source!DI673</f>
        <v/>
      </c>
      <c r="H444" s="2">
        <f>Source!AV673</f>
        <v>1</v>
      </c>
      <c r="I444" s="2"/>
      <c r="J444" s="19"/>
      <c r="K444" s="19">
        <f>Source!U673</f>
        <v>11.319000000000001</v>
      </c>
    </row>
    <row r="445" spans="1:22" ht="15" x14ac:dyDescent="0.25">
      <c r="A445" s="21"/>
      <c r="B445" s="21"/>
      <c r="C445" s="21"/>
      <c r="D445" s="21"/>
      <c r="E445" s="21"/>
      <c r="F445" s="21"/>
      <c r="G445" s="21"/>
      <c r="H445" s="21"/>
      <c r="I445" s="55">
        <f>J437+J438+J440+J441+J442+J443</f>
        <v>7955.3899999999994</v>
      </c>
      <c r="J445" s="55"/>
      <c r="K445" s="22">
        <f>IF(Source!I673&lt;&gt;0, ROUND(I445/Source!I673, 2), 0)</f>
        <v>21647.32</v>
      </c>
      <c r="P445" s="20">
        <f>I445</f>
        <v>7955.3899999999994</v>
      </c>
    </row>
    <row r="446" spans="1:22" ht="57" x14ac:dyDescent="0.2">
      <c r="A446" s="14" t="str">
        <f>Source!E674</f>
        <v>5</v>
      </c>
      <c r="B446" s="15" t="str">
        <f>Source!F674</f>
        <v>5.4-3203-3-4/1</v>
      </c>
      <c r="C446" s="15" t="str">
        <f>Source!G674</f>
        <v>Подготовка почвы для устройства партерного и обыкновенного газонов с внесением растительной земли слоем 15 см вручную</v>
      </c>
      <c r="D446" s="16" t="str">
        <f>Source!H674</f>
        <v>100 м2</v>
      </c>
      <c r="E446" s="2">
        <f>Source!I674</f>
        <v>0.1225</v>
      </c>
      <c r="F446" s="18"/>
      <c r="G446" s="17"/>
      <c r="H446" s="2"/>
      <c r="I446" s="2"/>
      <c r="J446" s="19"/>
      <c r="K446" s="19"/>
      <c r="Q446">
        <f>ROUND((Source!BZ674/100)*ROUND((Source!AF674*Source!AV674)*Source!I674, 2), 2)</f>
        <v>729.81</v>
      </c>
      <c r="R446">
        <f>Source!X674</f>
        <v>729.81</v>
      </c>
      <c r="S446">
        <f>ROUND((Source!CA674/100)*ROUND((Source!AF674*Source!AV674)*Source!I674, 2), 2)</f>
        <v>104.26</v>
      </c>
      <c r="T446">
        <f>Source!Y674</f>
        <v>104.26</v>
      </c>
      <c r="U446">
        <f>ROUND((175/100)*ROUND((Source!AE674*Source!AV674)*Source!I674, 2), 2)</f>
        <v>0</v>
      </c>
      <c r="V446">
        <f>ROUND((108/100)*ROUND(Source!CS674*Source!I674, 2), 2)</f>
        <v>0</v>
      </c>
    </row>
    <row r="447" spans="1:22" ht="14.25" x14ac:dyDescent="0.2">
      <c r="A447" s="14"/>
      <c r="B447" s="15"/>
      <c r="C447" s="15" t="s">
        <v>989</v>
      </c>
      <c r="D447" s="16"/>
      <c r="E447" s="2"/>
      <c r="F447" s="18">
        <f>Source!AO674</f>
        <v>8510.92</v>
      </c>
      <c r="G447" s="17" t="str">
        <f>Source!DG674</f>
        <v/>
      </c>
      <c r="H447" s="2">
        <f>Source!AV674</f>
        <v>1</v>
      </c>
      <c r="I447" s="2">
        <f>IF(Source!BA674&lt;&gt; 0, Source!BA674, 1)</f>
        <v>1</v>
      </c>
      <c r="J447" s="19">
        <f>Source!S674</f>
        <v>1042.5899999999999</v>
      </c>
      <c r="K447" s="19"/>
    </row>
    <row r="448" spans="1:22" ht="14.25" x14ac:dyDescent="0.2">
      <c r="A448" s="14"/>
      <c r="B448" s="15"/>
      <c r="C448" s="15" t="s">
        <v>1000</v>
      </c>
      <c r="D448" s="16"/>
      <c r="E448" s="2"/>
      <c r="F448" s="18">
        <f>Source!AL674</f>
        <v>11305.05</v>
      </c>
      <c r="G448" s="17" t="str">
        <f>Source!DD674</f>
        <v/>
      </c>
      <c r="H448" s="2">
        <f>Source!AW674</f>
        <v>1</v>
      </c>
      <c r="I448" s="2">
        <f>IF(Source!BC674&lt;&gt; 0, Source!BC674, 1)</f>
        <v>1</v>
      </c>
      <c r="J448" s="19">
        <f>Source!P674</f>
        <v>1384.87</v>
      </c>
      <c r="K448" s="19"/>
    </row>
    <row r="449" spans="1:22" ht="14.25" x14ac:dyDescent="0.2">
      <c r="A449" s="14"/>
      <c r="B449" s="15"/>
      <c r="C449" s="15" t="s">
        <v>990</v>
      </c>
      <c r="D449" s="16" t="s">
        <v>991</v>
      </c>
      <c r="E449" s="2">
        <f>Source!AT674</f>
        <v>70</v>
      </c>
      <c r="F449" s="18"/>
      <c r="G449" s="17"/>
      <c r="H449" s="2"/>
      <c r="I449" s="2"/>
      <c r="J449" s="19">
        <f>SUM(R446:R448)</f>
        <v>729.81</v>
      </c>
      <c r="K449" s="19"/>
    </row>
    <row r="450" spans="1:22" ht="14.25" x14ac:dyDescent="0.2">
      <c r="A450" s="14"/>
      <c r="B450" s="15"/>
      <c r="C450" s="15" t="s">
        <v>992</v>
      </c>
      <c r="D450" s="16" t="s">
        <v>991</v>
      </c>
      <c r="E450" s="2">
        <f>Source!AU674</f>
        <v>10</v>
      </c>
      <c r="F450" s="18"/>
      <c r="G450" s="17"/>
      <c r="H450" s="2"/>
      <c r="I450" s="2"/>
      <c r="J450" s="19">
        <f>SUM(T446:T449)</f>
        <v>104.26</v>
      </c>
      <c r="K450" s="19"/>
    </row>
    <row r="451" spans="1:22" ht="14.25" x14ac:dyDescent="0.2">
      <c r="A451" s="14"/>
      <c r="B451" s="15"/>
      <c r="C451" s="15" t="s">
        <v>993</v>
      </c>
      <c r="D451" s="16" t="s">
        <v>994</v>
      </c>
      <c r="E451" s="2">
        <f>Source!AQ674</f>
        <v>46</v>
      </c>
      <c r="F451" s="18"/>
      <c r="G451" s="17" t="str">
        <f>Source!DI674</f>
        <v/>
      </c>
      <c r="H451" s="2">
        <f>Source!AV674</f>
        <v>1</v>
      </c>
      <c r="I451" s="2"/>
      <c r="J451" s="19"/>
      <c r="K451" s="19">
        <f>Source!U674</f>
        <v>5.6349999999999998</v>
      </c>
    </row>
    <row r="452" spans="1:22" ht="15" x14ac:dyDescent="0.25">
      <c r="A452" s="21"/>
      <c r="B452" s="21"/>
      <c r="C452" s="21"/>
      <c r="D452" s="21"/>
      <c r="E452" s="21"/>
      <c r="F452" s="21"/>
      <c r="G452" s="21"/>
      <c r="H452" s="21"/>
      <c r="I452" s="55">
        <f>J447+J448+J449+J450</f>
        <v>3261.53</v>
      </c>
      <c r="J452" s="55"/>
      <c r="K452" s="22">
        <f>IF(Source!I674&lt;&gt;0, ROUND(I452/Source!I674, 2), 0)</f>
        <v>26624.73</v>
      </c>
      <c r="P452" s="20">
        <f>I452</f>
        <v>3261.53</v>
      </c>
    </row>
    <row r="453" spans="1:22" ht="57" x14ac:dyDescent="0.2">
      <c r="A453" s="14" t="str">
        <f>Source!E675</f>
        <v>6</v>
      </c>
      <c r="B453" s="15" t="str">
        <f>Source!F675</f>
        <v>5.4-3203-3-5/1</v>
      </c>
      <c r="C453" s="15" t="str">
        <f>Source!G675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D453" s="16" t="str">
        <f>Source!H675</f>
        <v>100 м2</v>
      </c>
      <c r="E453" s="2">
        <f>Source!I675</f>
        <v>-0.49</v>
      </c>
      <c r="F453" s="18"/>
      <c r="G453" s="17"/>
      <c r="H453" s="2"/>
      <c r="I453" s="2"/>
      <c r="J453" s="19"/>
      <c r="K453" s="19"/>
      <c r="Q453">
        <f>ROUND((Source!BZ675/100)*ROUND((Source!AF675*Source!AV675)*Source!I675, 2), 2)</f>
        <v>-399.18</v>
      </c>
      <c r="R453">
        <f>Source!X675</f>
        <v>-399.18</v>
      </c>
      <c r="S453">
        <f>ROUND((Source!CA675/100)*ROUND((Source!AF675*Source!AV675)*Source!I675, 2), 2)</f>
        <v>-57.03</v>
      </c>
      <c r="T453">
        <f>Source!Y675</f>
        <v>-57.03</v>
      </c>
      <c r="U453">
        <f>ROUND((175/100)*ROUND((Source!AE675*Source!AV675)*Source!I675, 2), 2)</f>
        <v>0</v>
      </c>
      <c r="V453">
        <f>ROUND((108/100)*ROUND(Source!CS675*Source!I675, 2), 2)</f>
        <v>0</v>
      </c>
    </row>
    <row r="454" spans="1:22" ht="14.25" x14ac:dyDescent="0.2">
      <c r="A454" s="14"/>
      <c r="B454" s="15"/>
      <c r="C454" s="15" t="s">
        <v>989</v>
      </c>
      <c r="D454" s="16"/>
      <c r="E454" s="2"/>
      <c r="F454" s="18">
        <f>Source!AO675</f>
        <v>1163.78</v>
      </c>
      <c r="G454" s="17" t="str">
        <f>Source!DG675</f>
        <v/>
      </c>
      <c r="H454" s="2">
        <f>Source!AV675</f>
        <v>1</v>
      </c>
      <c r="I454" s="2">
        <f>IF(Source!BA675&lt;&gt; 0, Source!BA675, 1)</f>
        <v>1</v>
      </c>
      <c r="J454" s="19">
        <f>Source!S675</f>
        <v>-570.25</v>
      </c>
      <c r="K454" s="19"/>
    </row>
    <row r="455" spans="1:22" ht="14.25" x14ac:dyDescent="0.2">
      <c r="A455" s="14"/>
      <c r="B455" s="15"/>
      <c r="C455" s="15" t="s">
        <v>1000</v>
      </c>
      <c r="D455" s="16"/>
      <c r="E455" s="2"/>
      <c r="F455" s="18">
        <f>Source!AL675</f>
        <v>3768.35</v>
      </c>
      <c r="G455" s="17" t="str">
        <f>Source!DD675</f>
        <v/>
      </c>
      <c r="H455" s="2">
        <f>Source!AW675</f>
        <v>1</v>
      </c>
      <c r="I455" s="2">
        <f>IF(Source!BC675&lt;&gt; 0, Source!BC675, 1)</f>
        <v>1</v>
      </c>
      <c r="J455" s="19">
        <f>Source!P675</f>
        <v>-1846.49</v>
      </c>
      <c r="K455" s="19"/>
    </row>
    <row r="456" spans="1:22" ht="14.25" x14ac:dyDescent="0.2">
      <c r="A456" s="14"/>
      <c r="B456" s="15"/>
      <c r="C456" s="15" t="s">
        <v>990</v>
      </c>
      <c r="D456" s="16" t="s">
        <v>991</v>
      </c>
      <c r="E456" s="2">
        <f>Source!AT675</f>
        <v>70</v>
      </c>
      <c r="F456" s="18"/>
      <c r="G456" s="17"/>
      <c r="H456" s="2"/>
      <c r="I456" s="2"/>
      <c r="J456" s="19">
        <f>SUM(R453:R455)</f>
        <v>-399.18</v>
      </c>
      <c r="K456" s="19"/>
    </row>
    <row r="457" spans="1:22" ht="14.25" x14ac:dyDescent="0.2">
      <c r="A457" s="14"/>
      <c r="B457" s="15"/>
      <c r="C457" s="15" t="s">
        <v>992</v>
      </c>
      <c r="D457" s="16" t="s">
        <v>991</v>
      </c>
      <c r="E457" s="2">
        <f>Source!AU675</f>
        <v>10</v>
      </c>
      <c r="F457" s="18"/>
      <c r="G457" s="17"/>
      <c r="H457" s="2"/>
      <c r="I457" s="2"/>
      <c r="J457" s="19">
        <f>SUM(T453:T456)</f>
        <v>-57.03</v>
      </c>
      <c r="K457" s="19"/>
    </row>
    <row r="458" spans="1:22" ht="14.25" x14ac:dyDescent="0.2">
      <c r="A458" s="14"/>
      <c r="B458" s="15"/>
      <c r="C458" s="15" t="s">
        <v>993</v>
      </c>
      <c r="D458" s="16" t="s">
        <v>994</v>
      </c>
      <c r="E458" s="2">
        <f>Source!AQ675</f>
        <v>6.29</v>
      </c>
      <c r="F458" s="18"/>
      <c r="G458" s="17" t="str">
        <f>Source!DI675</f>
        <v/>
      </c>
      <c r="H458" s="2">
        <f>Source!AV675</f>
        <v>1</v>
      </c>
      <c r="I458" s="2"/>
      <c r="J458" s="19"/>
      <c r="K458" s="19">
        <f>Source!U675</f>
        <v>-3.0821000000000001</v>
      </c>
    </row>
    <row r="459" spans="1:22" ht="15" x14ac:dyDescent="0.25">
      <c r="A459" s="21"/>
      <c r="B459" s="21"/>
      <c r="C459" s="21"/>
      <c r="D459" s="21"/>
      <c r="E459" s="21"/>
      <c r="F459" s="21"/>
      <c r="G459" s="21"/>
      <c r="H459" s="21"/>
      <c r="I459" s="55">
        <f>J454+J455+J456+J457</f>
        <v>-2872.95</v>
      </c>
      <c r="J459" s="55"/>
      <c r="K459" s="22">
        <f>IF(Source!I675&lt;&gt;0, ROUND(I459/Source!I675, 2), 0)</f>
        <v>5863.16</v>
      </c>
      <c r="P459" s="20">
        <f>I459</f>
        <v>-2872.95</v>
      </c>
    </row>
    <row r="460" spans="1:22" ht="42.75" x14ac:dyDescent="0.2">
      <c r="A460" s="14" t="str">
        <f>Source!E676</f>
        <v>7</v>
      </c>
      <c r="B460" s="15" t="str">
        <f>Source!F676</f>
        <v>5.4-3203-3-6/1</v>
      </c>
      <c r="C460" s="15" t="str">
        <f>Source!G676</f>
        <v>Посев газонов партерных, мавританских, и обыкновенных вручную</v>
      </c>
      <c r="D460" s="16" t="str">
        <f>Source!H676</f>
        <v>100 м2</v>
      </c>
      <c r="E460" s="2">
        <f>Source!I676</f>
        <v>0.49</v>
      </c>
      <c r="F460" s="18"/>
      <c r="G460" s="17"/>
      <c r="H460" s="2"/>
      <c r="I460" s="2"/>
      <c r="J460" s="19"/>
      <c r="K460" s="19"/>
      <c r="Q460">
        <f>ROUND((Source!BZ676/100)*ROUND((Source!AF676*Source!AV676)*Source!I676, 2), 2)</f>
        <v>418.82</v>
      </c>
      <c r="R460">
        <f>Source!X676</f>
        <v>418.82</v>
      </c>
      <c r="S460">
        <f>ROUND((Source!CA676/100)*ROUND((Source!AF676*Source!AV676)*Source!I676, 2), 2)</f>
        <v>59.83</v>
      </c>
      <c r="T460">
        <f>Source!Y676</f>
        <v>59.83</v>
      </c>
      <c r="U460">
        <f>ROUND((175/100)*ROUND((Source!AE676*Source!AV676)*Source!I676, 2), 2)</f>
        <v>0</v>
      </c>
      <c r="V460">
        <f>ROUND((108/100)*ROUND(Source!CS676*Source!I676, 2), 2)</f>
        <v>0</v>
      </c>
    </row>
    <row r="461" spans="1:22" ht="14.25" x14ac:dyDescent="0.2">
      <c r="A461" s="14"/>
      <c r="B461" s="15"/>
      <c r="C461" s="15" t="s">
        <v>989</v>
      </c>
      <c r="D461" s="16"/>
      <c r="E461" s="2"/>
      <c r="F461" s="18">
        <f>Source!AO676</f>
        <v>1221.05</v>
      </c>
      <c r="G461" s="17" t="str">
        <f>Source!DG676</f>
        <v/>
      </c>
      <c r="H461" s="2">
        <f>Source!AV676</f>
        <v>1</v>
      </c>
      <c r="I461" s="2">
        <f>IF(Source!BA676&lt;&gt; 0, Source!BA676, 1)</f>
        <v>1</v>
      </c>
      <c r="J461" s="19">
        <f>Source!S676</f>
        <v>598.30999999999995</v>
      </c>
      <c r="K461" s="19"/>
    </row>
    <row r="462" spans="1:22" ht="14.25" x14ac:dyDescent="0.2">
      <c r="A462" s="14"/>
      <c r="B462" s="15"/>
      <c r="C462" s="15" t="s">
        <v>1000</v>
      </c>
      <c r="D462" s="16"/>
      <c r="E462" s="2"/>
      <c r="F462" s="18">
        <f>Source!AL676</f>
        <v>1564.86</v>
      </c>
      <c r="G462" s="17" t="str">
        <f>Source!DD676</f>
        <v/>
      </c>
      <c r="H462" s="2">
        <f>Source!AW676</f>
        <v>1</v>
      </c>
      <c r="I462" s="2">
        <f>IF(Source!BC676&lt;&gt; 0, Source!BC676, 1)</f>
        <v>1</v>
      </c>
      <c r="J462" s="19">
        <f>Source!P676</f>
        <v>766.78</v>
      </c>
      <c r="K462" s="19"/>
    </row>
    <row r="463" spans="1:22" ht="14.25" x14ac:dyDescent="0.2">
      <c r="A463" s="14"/>
      <c r="B463" s="15"/>
      <c r="C463" s="15" t="s">
        <v>990</v>
      </c>
      <c r="D463" s="16" t="s">
        <v>991</v>
      </c>
      <c r="E463" s="2">
        <f>Source!AT676</f>
        <v>70</v>
      </c>
      <c r="F463" s="18"/>
      <c r="G463" s="17"/>
      <c r="H463" s="2"/>
      <c r="I463" s="2"/>
      <c r="J463" s="19">
        <f>SUM(R460:R462)</f>
        <v>418.82</v>
      </c>
      <c r="K463" s="19"/>
    </row>
    <row r="464" spans="1:22" ht="14.25" x14ac:dyDescent="0.2">
      <c r="A464" s="14"/>
      <c r="B464" s="15"/>
      <c r="C464" s="15" t="s">
        <v>992</v>
      </c>
      <c r="D464" s="16" t="s">
        <v>991</v>
      </c>
      <c r="E464" s="2">
        <f>Source!AU676</f>
        <v>10</v>
      </c>
      <c r="F464" s="18"/>
      <c r="G464" s="17"/>
      <c r="H464" s="2"/>
      <c r="I464" s="2"/>
      <c r="J464" s="19">
        <f>SUM(T460:T463)</f>
        <v>59.83</v>
      </c>
      <c r="K464" s="19"/>
    </row>
    <row r="465" spans="1:16" ht="14.25" x14ac:dyDescent="0.2">
      <c r="A465" s="14"/>
      <c r="B465" s="15"/>
      <c r="C465" s="15" t="s">
        <v>993</v>
      </c>
      <c r="D465" s="16" t="s">
        <v>994</v>
      </c>
      <c r="E465" s="2">
        <f>Source!AQ676</f>
        <v>6.04</v>
      </c>
      <c r="F465" s="18"/>
      <c r="G465" s="17" t="str">
        <f>Source!DI676</f>
        <v/>
      </c>
      <c r="H465" s="2">
        <f>Source!AV676</f>
        <v>1</v>
      </c>
      <c r="I465" s="2"/>
      <c r="J465" s="19"/>
      <c r="K465" s="19">
        <f>Source!U676</f>
        <v>2.9596</v>
      </c>
    </row>
    <row r="466" spans="1:16" ht="15" x14ac:dyDescent="0.25">
      <c r="A466" s="21"/>
      <c r="B466" s="21"/>
      <c r="C466" s="21"/>
      <c r="D466" s="21"/>
      <c r="E466" s="21"/>
      <c r="F466" s="21"/>
      <c r="G466" s="21"/>
      <c r="H466" s="21"/>
      <c r="I466" s="55">
        <f>J461+J462+J463+J464</f>
        <v>1843.7399999999998</v>
      </c>
      <c r="J466" s="55"/>
      <c r="K466" s="22">
        <f>IF(Source!I676&lt;&gt;0, ROUND(I466/Source!I676, 2), 0)</f>
        <v>3762.73</v>
      </c>
      <c r="P466" s="20">
        <f>I466</f>
        <v>1843.7399999999998</v>
      </c>
    </row>
    <row r="468" spans="1:16" ht="15" x14ac:dyDescent="0.25">
      <c r="A468" s="57" t="str">
        <f>CONCATENATE("Итого по разделу: ",IF(Source!G678&lt;&gt;"Новый раздел", Source!G678, ""))</f>
        <v>Итого по разделу: Устройство газона</v>
      </c>
      <c r="B468" s="57"/>
      <c r="C468" s="57"/>
      <c r="D468" s="57"/>
      <c r="E468" s="57"/>
      <c r="F468" s="57"/>
      <c r="G468" s="57"/>
      <c r="H468" s="57"/>
      <c r="I468" s="58">
        <f>SUM(P435:P467)</f>
        <v>10187.710000000001</v>
      </c>
      <c r="J468" s="59"/>
      <c r="K468" s="24"/>
    </row>
    <row r="471" spans="1:16" ht="15" x14ac:dyDescent="0.25">
      <c r="A471" s="57" t="str">
        <f>CONCATENATE("Итого по локальной смете: ",IF(Source!G708&lt;&gt;"Новая локальная смета", Source!G708, ""))</f>
        <v>Итого по локальной смете: ЛС № 02-01-03 Озеленение (ул. Свободы д. 15/10)</v>
      </c>
      <c r="B471" s="57"/>
      <c r="C471" s="57"/>
      <c r="D471" s="57"/>
      <c r="E471" s="57"/>
      <c r="F471" s="57"/>
      <c r="G471" s="57"/>
      <c r="H471" s="57"/>
      <c r="I471" s="58">
        <f>SUM(P400:P470)</f>
        <v>288826.32</v>
      </c>
      <c r="J471" s="59"/>
      <c r="K471" s="24"/>
    </row>
    <row r="474" spans="1:16" ht="15" x14ac:dyDescent="0.25">
      <c r="A474" s="57" t="str">
        <f>CONCATENATE("Итого по смете: ",IF(Source!G742&lt;&gt;"Новый объект", Source!G742, ""))</f>
        <v>Итого по смете: ул. Свободы д. 15/10</v>
      </c>
      <c r="B474" s="57"/>
      <c r="C474" s="57"/>
      <c r="D474" s="57"/>
      <c r="E474" s="57"/>
      <c r="F474" s="57"/>
      <c r="G474" s="57"/>
      <c r="H474" s="57"/>
      <c r="I474" s="58">
        <f>SUM(P1:P473)</f>
        <v>4621487.9799999986</v>
      </c>
      <c r="J474" s="59"/>
      <c r="K474" s="24"/>
    </row>
    <row r="475" spans="1:16" ht="14.25" x14ac:dyDescent="0.2">
      <c r="C475" s="52" t="str">
        <f>Source!H771</f>
        <v>НДС 20%</v>
      </c>
      <c r="D475" s="52"/>
      <c r="E475" s="52"/>
      <c r="F475" s="52"/>
      <c r="G475" s="52"/>
      <c r="H475" s="52"/>
      <c r="I475" s="49">
        <f>IF(Source!F771=0, "", Source!F771)</f>
        <v>924297.6</v>
      </c>
      <c r="J475" s="49"/>
    </row>
    <row r="476" spans="1:16" ht="14.25" x14ac:dyDescent="0.2">
      <c r="C476" s="52" t="str">
        <f>Source!H772</f>
        <v>Всего с НДС</v>
      </c>
      <c r="D476" s="52"/>
      <c r="E476" s="52"/>
      <c r="F476" s="52"/>
      <c r="G476" s="52"/>
      <c r="H476" s="52"/>
      <c r="I476" s="49">
        <f>IF(Source!F772=0, "", Source!F772)</f>
        <v>5545785.5800000001</v>
      </c>
      <c r="J476" s="49"/>
    </row>
    <row r="479" spans="1:16" ht="14.25" x14ac:dyDescent="0.2">
      <c r="A479" s="60" t="s">
        <v>1001</v>
      </c>
      <c r="B479" s="60"/>
      <c r="C479" s="28" t="str">
        <f>IF(Source!AC12&lt;&gt;"", Source!AC12," ")</f>
        <v xml:space="preserve"> </v>
      </c>
      <c r="D479" s="28"/>
      <c r="E479" s="28"/>
      <c r="F479" s="28"/>
      <c r="G479" s="28"/>
      <c r="H479" s="3" t="str">
        <f>IF(Source!AB12&lt;&gt;"", Source!AB12," ")</f>
        <v xml:space="preserve"> </v>
      </c>
      <c r="I479" s="3"/>
      <c r="J479" s="3"/>
      <c r="K479" s="3"/>
    </row>
    <row r="480" spans="1:16" ht="14.25" x14ac:dyDescent="0.2">
      <c r="A480" s="3"/>
      <c r="B480" s="3"/>
      <c r="C480" s="61" t="s">
        <v>1002</v>
      </c>
      <c r="D480" s="61"/>
      <c r="E480" s="61"/>
      <c r="F480" s="61"/>
      <c r="G480" s="61"/>
      <c r="H480" s="3"/>
      <c r="I480" s="3"/>
      <c r="J480" s="3"/>
      <c r="K480" s="3"/>
    </row>
    <row r="481" spans="1:11" ht="14.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25" x14ac:dyDescent="0.2">
      <c r="A482" s="60" t="s">
        <v>1003</v>
      </c>
      <c r="B482" s="60"/>
      <c r="C482" s="28" t="str">
        <f>IF(Source!AE12&lt;&gt;"", Source!AE12," ")</f>
        <v xml:space="preserve"> </v>
      </c>
      <c r="D482" s="28"/>
      <c r="E482" s="28"/>
      <c r="F482" s="28"/>
      <c r="G482" s="28"/>
      <c r="H482" s="3" t="str">
        <f>IF(Source!AD12&lt;&gt;"", Source!AD12," ")</f>
        <v xml:space="preserve"> </v>
      </c>
      <c r="I482" s="3"/>
      <c r="J482" s="3"/>
      <c r="K482" s="3"/>
    </row>
    <row r="483" spans="1:11" ht="14.25" x14ac:dyDescent="0.2">
      <c r="A483" s="3"/>
      <c r="B483" s="3"/>
      <c r="C483" s="61" t="s">
        <v>1002</v>
      </c>
      <c r="D483" s="61"/>
      <c r="E483" s="61"/>
      <c r="F483" s="61"/>
      <c r="G483" s="61"/>
      <c r="H483" s="3"/>
      <c r="I483" s="3"/>
      <c r="J483" s="3"/>
      <c r="K483" s="3"/>
    </row>
  </sheetData>
  <mergeCells count="146">
    <mergeCell ref="C476:H476"/>
    <mergeCell ref="I476:J476"/>
    <mergeCell ref="A479:B479"/>
    <mergeCell ref="C480:G480"/>
    <mergeCell ref="A482:B482"/>
    <mergeCell ref="C483:G483"/>
    <mergeCell ref="I471:J471"/>
    <mergeCell ref="A471:H471"/>
    <mergeCell ref="I474:J474"/>
    <mergeCell ref="A474:H474"/>
    <mergeCell ref="C475:H475"/>
    <mergeCell ref="I475:J475"/>
    <mergeCell ref="A435:K435"/>
    <mergeCell ref="I445:J445"/>
    <mergeCell ref="I452:J452"/>
    <mergeCell ref="I459:J459"/>
    <mergeCell ref="I466:J466"/>
    <mergeCell ref="I468:J468"/>
    <mergeCell ref="A468:H468"/>
    <mergeCell ref="A400:K400"/>
    <mergeCell ref="A402:K402"/>
    <mergeCell ref="I412:J412"/>
    <mergeCell ref="I419:J419"/>
    <mergeCell ref="I430:J430"/>
    <mergeCell ref="I432:J432"/>
    <mergeCell ref="A432:H432"/>
    <mergeCell ref="I390:J390"/>
    <mergeCell ref="I392:J392"/>
    <mergeCell ref="I394:J394"/>
    <mergeCell ref="A394:H394"/>
    <mergeCell ref="I397:J397"/>
    <mergeCell ref="A397:H397"/>
    <mergeCell ref="I379:J379"/>
    <mergeCell ref="A379:H379"/>
    <mergeCell ref="A382:K382"/>
    <mergeCell ref="I384:J384"/>
    <mergeCell ref="I386:J386"/>
    <mergeCell ref="I388:J388"/>
    <mergeCell ref="A362:K362"/>
    <mergeCell ref="I364:J364"/>
    <mergeCell ref="I366:J366"/>
    <mergeCell ref="I368:J368"/>
    <mergeCell ref="I375:J375"/>
    <mergeCell ref="I377:J377"/>
    <mergeCell ref="I352:J352"/>
    <mergeCell ref="I354:J354"/>
    <mergeCell ref="A354:H354"/>
    <mergeCell ref="I357:J357"/>
    <mergeCell ref="A357:H357"/>
    <mergeCell ref="A360:K360"/>
    <mergeCell ref="I318:J318"/>
    <mergeCell ref="I328:J328"/>
    <mergeCell ref="I330:J330"/>
    <mergeCell ref="A330:H330"/>
    <mergeCell ref="A333:K333"/>
    <mergeCell ref="I343:J343"/>
    <mergeCell ref="A285:K285"/>
    <mergeCell ref="I296:J296"/>
    <mergeCell ref="I303:J303"/>
    <mergeCell ref="I305:J305"/>
    <mergeCell ref="A305:H305"/>
    <mergeCell ref="A308:K308"/>
    <mergeCell ref="I264:J264"/>
    <mergeCell ref="I266:J266"/>
    <mergeCell ref="A266:H266"/>
    <mergeCell ref="A269:K269"/>
    <mergeCell ref="I280:J280"/>
    <mergeCell ref="I282:J282"/>
    <mergeCell ref="A282:H282"/>
    <mergeCell ref="I228:J228"/>
    <mergeCell ref="I239:J239"/>
    <mergeCell ref="I249:J249"/>
    <mergeCell ref="I251:J251"/>
    <mergeCell ref="A251:H251"/>
    <mergeCell ref="A254:K254"/>
    <mergeCell ref="I182:J182"/>
    <mergeCell ref="A182:H182"/>
    <mergeCell ref="A185:K185"/>
    <mergeCell ref="I195:J195"/>
    <mergeCell ref="I205:J205"/>
    <mergeCell ref="I217:J217"/>
    <mergeCell ref="I160:J160"/>
    <mergeCell ref="I166:J166"/>
    <mergeCell ref="I170:J170"/>
    <mergeCell ref="I174:J174"/>
    <mergeCell ref="I178:J178"/>
    <mergeCell ref="I180:J180"/>
    <mergeCell ref="A116:H116"/>
    <mergeCell ref="A119:K119"/>
    <mergeCell ref="I128:J128"/>
    <mergeCell ref="I137:J137"/>
    <mergeCell ref="I146:J146"/>
    <mergeCell ref="I155:J155"/>
    <mergeCell ref="I100:J100"/>
    <mergeCell ref="I104:J104"/>
    <mergeCell ref="I108:J108"/>
    <mergeCell ref="I112:J112"/>
    <mergeCell ref="I114:J114"/>
    <mergeCell ref="I116:J116"/>
    <mergeCell ref="I58:J58"/>
    <mergeCell ref="I64:J64"/>
    <mergeCell ref="I73:J73"/>
    <mergeCell ref="I82:J82"/>
    <mergeCell ref="I89:J89"/>
    <mergeCell ref="I94:J94"/>
    <mergeCell ref="I27:I29"/>
    <mergeCell ref="J27:J29"/>
    <mergeCell ref="A32:K32"/>
    <mergeCell ref="A34:K34"/>
    <mergeCell ref="I40:J40"/>
    <mergeCell ref="I49:J49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F22:H22"/>
    <mergeCell ref="I22:J22"/>
    <mergeCell ref="F23:H23"/>
    <mergeCell ref="I23:J23"/>
    <mergeCell ref="F24:H24"/>
    <mergeCell ref="I24:J24"/>
    <mergeCell ref="A15:K15"/>
    <mergeCell ref="A16:K16"/>
    <mergeCell ref="A18:K18"/>
    <mergeCell ref="F20:H20"/>
    <mergeCell ref="I20:J20"/>
    <mergeCell ref="F21:H21"/>
    <mergeCell ref="I21:J21"/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tabSelected="1" workbookViewId="0">
      <selection activeCell="I15" sqref="I15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114.7109375" hidden="1" customWidth="1"/>
    <col min="31" max="31" width="0" hidden="1" customWidth="1"/>
  </cols>
  <sheetData>
    <row r="1" spans="1:30" x14ac:dyDescent="0.2">
      <c r="A1" s="1" t="str">
        <f>Source!B1</f>
        <v>Smeta.RU  (495) 974-1589</v>
      </c>
    </row>
    <row r="2" spans="1:30" ht="14.25" x14ac:dyDescent="0.2">
      <c r="C2" s="3"/>
      <c r="D2" s="3"/>
    </row>
    <row r="3" spans="1:30" ht="15" x14ac:dyDescent="0.25">
      <c r="C3" s="3"/>
      <c r="D3" s="25" t="s">
        <v>963</v>
      </c>
    </row>
    <row r="4" spans="1:30" ht="15" x14ac:dyDescent="0.25">
      <c r="C4" s="25"/>
      <c r="D4" s="25"/>
    </row>
    <row r="5" spans="1:30" ht="15" x14ac:dyDescent="0.25">
      <c r="B5" s="63" t="s">
        <v>1011</v>
      </c>
      <c r="C5" s="63"/>
      <c r="D5" s="63"/>
    </row>
    <row r="6" spans="1:30" ht="15" x14ac:dyDescent="0.25">
      <c r="C6" s="29"/>
      <c r="D6" s="29"/>
    </row>
    <row r="7" spans="1:30" ht="15" x14ac:dyDescent="0.25">
      <c r="C7" s="63" t="s">
        <v>1013</v>
      </c>
      <c r="D7" s="63"/>
    </row>
    <row r="8" spans="1:30" ht="15" x14ac:dyDescent="0.25">
      <c r="C8" s="29"/>
      <c r="D8" s="29"/>
    </row>
    <row r="9" spans="1:30" ht="15" x14ac:dyDescent="0.25">
      <c r="C9" s="25" t="s">
        <v>1004</v>
      </c>
      <c r="D9" s="3"/>
    </row>
    <row r="10" spans="1:30" ht="14.25" x14ac:dyDescent="0.2">
      <c r="A10" s="3"/>
      <c r="B10" s="3"/>
      <c r="C10" s="3"/>
      <c r="D10" s="3"/>
      <c r="E10" s="3"/>
    </row>
    <row r="11" spans="1:30" ht="15.75" x14ac:dyDescent="0.25">
      <c r="A11" s="64" t="str">
        <f>CONCATENATE("Ведомость объемов работ ", IF(Source!AN15&lt;&gt;"", Source!AN15," "))</f>
        <v xml:space="preserve">Ведомость объемов работ  </v>
      </c>
      <c r="B11" s="64"/>
      <c r="C11" s="64"/>
      <c r="D11" s="64"/>
      <c r="E11" s="3"/>
    </row>
    <row r="12" spans="1:30" ht="15" x14ac:dyDescent="0.25">
      <c r="A12" s="65" t="s">
        <v>1010</v>
      </c>
      <c r="B12" s="65"/>
      <c r="C12" s="65"/>
      <c r="D12" s="65"/>
      <c r="E12" s="3"/>
      <c r="AD12" s="30" t="str">
        <f>CONCATENATE("На капитальный ремонт ", Source!F12, " ", Source!G12)</f>
        <v>На капитальный ремонт  ул. Свободы д. 15/10</v>
      </c>
    </row>
    <row r="13" spans="1:30" ht="14.25" x14ac:dyDescent="0.2">
      <c r="A13" s="3"/>
      <c r="B13" s="3"/>
      <c r="C13" s="3"/>
      <c r="D13" s="3"/>
      <c r="E13" s="3"/>
    </row>
    <row r="14" spans="1:30" ht="28.5" x14ac:dyDescent="0.2">
      <c r="A14" s="13" t="s">
        <v>1005</v>
      </c>
      <c r="B14" s="13" t="s">
        <v>977</v>
      </c>
      <c r="C14" s="13" t="s">
        <v>978</v>
      </c>
      <c r="D14" s="13" t="s">
        <v>1006</v>
      </c>
      <c r="E14" s="11" t="s">
        <v>1007</v>
      </c>
    </row>
    <row r="15" spans="1:30" ht="14.25" x14ac:dyDescent="0.2">
      <c r="A15" s="31">
        <v>1</v>
      </c>
      <c r="B15" s="31">
        <v>2</v>
      </c>
      <c r="C15" s="31">
        <v>3</v>
      </c>
      <c r="D15" s="31">
        <v>4</v>
      </c>
      <c r="E15" s="32">
        <v>5</v>
      </c>
    </row>
    <row r="16" spans="1:30" ht="16.5" x14ac:dyDescent="0.25">
      <c r="A16" s="62" t="str">
        <f>CONCATENATE("Локальная смета: ", Source!G20)</f>
        <v>Локальная смета: ЛС № 02-01-01 Благоустройство (ул. Свободы д. 15/10)</v>
      </c>
      <c r="B16" s="62"/>
      <c r="C16" s="62"/>
      <c r="D16" s="62"/>
      <c r="E16" s="62"/>
    </row>
    <row r="17" spans="1:5" ht="16.5" x14ac:dyDescent="0.25">
      <c r="A17" s="62" t="str">
        <f>CONCATENATE("Раздел: ", Source!G24)</f>
        <v>Раздел: Демонтаж покрытий</v>
      </c>
      <c r="B17" s="62"/>
      <c r="C17" s="62"/>
      <c r="D17" s="62"/>
      <c r="E17" s="62"/>
    </row>
    <row r="18" spans="1:5" ht="14.25" x14ac:dyDescent="0.2">
      <c r="A18" s="37" t="str">
        <f>Source!E50</f>
        <v>1</v>
      </c>
      <c r="B18" s="38" t="str">
        <f>Source!G50</f>
        <v>Разборка тротуаров и дорожек из плит с отноской и укладкой в штабель</v>
      </c>
      <c r="C18" s="39" t="str">
        <f>Source!H50</f>
        <v>100 м2</v>
      </c>
      <c r="D18" s="40">
        <f>Source!I50</f>
        <v>0.69</v>
      </c>
      <c r="E18" s="38"/>
    </row>
    <row r="19" spans="1:5" ht="28.5" x14ac:dyDescent="0.2">
      <c r="A19" s="37" t="str">
        <f>Source!E51</f>
        <v>2</v>
      </c>
      <c r="B19" s="38" t="str">
        <f>Source!G51</f>
        <v>Разборка покрытий и оснований асфальтобетонных (118м2*0,05м+13м2*0,1м)</v>
      </c>
      <c r="C19" s="39" t="str">
        <f>Source!H51</f>
        <v>100 м3</v>
      </c>
      <c r="D19" s="40">
        <f>Source!I51</f>
        <v>7.1999999999999995E-2</v>
      </c>
      <c r="E19" s="38"/>
    </row>
    <row r="20" spans="1:5" ht="28.5" x14ac:dyDescent="0.2">
      <c r="A20" s="37" t="str">
        <f>Source!E52</f>
        <v>3</v>
      </c>
      <c r="B20" s="38" t="str">
        <f>Source!G52</f>
        <v>Разборка покрытий и оснований щебеночных (118м2*0,12м+147м2*0,05м+147м2*0,12м+13м2*0,12м)</v>
      </c>
      <c r="C20" s="39" t="str">
        <f>Source!H52</f>
        <v>100 м3</v>
      </c>
      <c r="D20" s="40">
        <f>Source!I52</f>
        <v>0.40799999999999997</v>
      </c>
      <c r="E20" s="38"/>
    </row>
    <row r="21" spans="1:5" ht="14.25" x14ac:dyDescent="0.2">
      <c r="A21" s="37" t="str">
        <f>Source!E54</f>
        <v>4</v>
      </c>
      <c r="B21" s="38" t="str">
        <f>Source!G54</f>
        <v>Разборка бортовых камней на бетонном основании</v>
      </c>
      <c r="C21" s="39" t="str">
        <f>Source!H54</f>
        <v>100 м</v>
      </c>
      <c r="D21" s="40">
        <f>Source!I54</f>
        <v>3.37</v>
      </c>
      <c r="E21" s="38"/>
    </row>
    <row r="22" spans="1:5" ht="28.5" x14ac:dyDescent="0.2">
      <c r="A22" s="37" t="str">
        <f>Source!E55</f>
        <v>5</v>
      </c>
      <c r="B22" s="38" t="str">
        <f>Source!G55</f>
        <v>Разборка покрытий и оснований цементобетонных (ступень) = 5,3м2*0,15м</v>
      </c>
      <c r="C22" s="39" t="str">
        <f>Source!H55</f>
        <v>100 м3</v>
      </c>
      <c r="D22" s="40">
        <f>Source!I55</f>
        <v>8.0000000000000002E-3</v>
      </c>
      <c r="E22" s="38"/>
    </row>
    <row r="23" spans="1:5" ht="28.5" x14ac:dyDescent="0.2">
      <c r="A23" s="37" t="str">
        <f>Source!E56</f>
        <v>6</v>
      </c>
      <c r="B23" s="38" t="str">
        <f>Source!G56</f>
        <v>Монтаж мелких конструкций из стали различного профиля массой до 20 кг /демонтаж МАФ к=0,2</v>
      </c>
      <c r="C23" s="39" t="str">
        <f>Source!H56</f>
        <v>т</v>
      </c>
      <c r="D23" s="40">
        <f>Source!I56</f>
        <v>1.2E-2</v>
      </c>
      <c r="E23" s="38"/>
    </row>
    <row r="24" spans="1:5" ht="28.5" x14ac:dyDescent="0.2">
      <c r="A24" s="37" t="str">
        <f>Source!E57</f>
        <v>7</v>
      </c>
      <c r="B24" s="38" t="str">
        <f>Source!G57</f>
        <v>Разборка каркаса из бревен каркасно-обшивных стен (разборка деревянных элементов МАФ)</v>
      </c>
      <c r="C24" s="39" t="str">
        <f>Source!H57</f>
        <v>100 м2</v>
      </c>
      <c r="D24" s="40">
        <f>Source!I57</f>
        <v>1.6E-2</v>
      </c>
      <c r="E24" s="38"/>
    </row>
    <row r="25" spans="1:5" ht="28.5" x14ac:dyDescent="0.2">
      <c r="A25" s="37" t="str">
        <f>Source!E58</f>
        <v>8</v>
      </c>
      <c r="B25" s="38" t="str">
        <f>Source!G58</f>
        <v>Механизированная погрузка строительного мусора в автомобили-самосвалы</v>
      </c>
      <c r="C25" s="39" t="str">
        <f>Source!H58</f>
        <v>т</v>
      </c>
      <c r="D25" s="40">
        <f>Source!I58</f>
        <v>142.86049199999999</v>
      </c>
      <c r="E25" s="38"/>
    </row>
    <row r="26" spans="1:5" ht="28.5" x14ac:dyDescent="0.2">
      <c r="A26" s="37" t="str">
        <f>Source!E59</f>
        <v>9</v>
      </c>
      <c r="B26" s="38" t="str">
        <f>Source!G59</f>
        <v>Погрузка и выгрузка вручную строительного мусора на транспортные средства</v>
      </c>
      <c r="C26" s="39" t="str">
        <f>Source!H59</f>
        <v>т</v>
      </c>
      <c r="D26" s="40">
        <f>Source!I59</f>
        <v>15.873388</v>
      </c>
      <c r="E26" s="38"/>
    </row>
    <row r="27" spans="1:5" ht="28.5" x14ac:dyDescent="0.2">
      <c r="A27" s="37" t="str">
        <f>Source!E60</f>
        <v>10</v>
      </c>
      <c r="B27" s="38" t="str">
        <f>Source!G60</f>
        <v>Перевозка строительного мусора автосамосвалами грузоподъемностью до 10 т на расстояние 1 км - при механизированной погрузке</v>
      </c>
      <c r="C27" s="39" t="str">
        <f>Source!H60</f>
        <v>т</v>
      </c>
      <c r="D27" s="40">
        <f>Source!I60</f>
        <v>142.86049199999999</v>
      </c>
      <c r="E27" s="38"/>
    </row>
    <row r="28" spans="1:5" ht="28.5" x14ac:dyDescent="0.2">
      <c r="A28" s="37" t="str">
        <f>Source!E61</f>
        <v>11</v>
      </c>
      <c r="B28" s="38" t="str">
        <f>Source!G61</f>
        <v>Перевозка строительного мусора автосамосвалами грузоподъемностью до 10 т на расстояние 1 км - при погрузке вручную</v>
      </c>
      <c r="C28" s="39" t="str">
        <f>Source!H61</f>
        <v>т</v>
      </c>
      <c r="D28" s="40">
        <f>Source!I61</f>
        <v>15.873388</v>
      </c>
      <c r="E28" s="38"/>
    </row>
    <row r="29" spans="1:5" ht="85.5" x14ac:dyDescent="0.2">
      <c r="A29" s="37" t="str">
        <f>Source!E62</f>
        <v>12</v>
      </c>
      <c r="B29" s="38" t="str">
        <f>Source!G62</f>
        <v>Перевозка строительного мусора автосамосвалами грузоподъемностью до 10 т - добавляется на каждый последующий 1 км до 100 км к=42 до 43 км =бет.плитка(0,69м2*100*0,08*2,4)+цем.песч смесь(2,1м3*2,4)+асф-бет(0,072м3*100*2,4)+цем.бет(0,008м3*100*2,4)+резин.покр(118м2*0,03*0,75)+щебень(0,408м3*100*1,6)+дор.борт(31пм*0,23408)+сад.борт(306пм*0,1504)+МЕ(0,012т)+дерево(0,02т)</v>
      </c>
      <c r="C29" s="39" t="str">
        <f>Source!H62</f>
        <v>т</v>
      </c>
      <c r="D29" s="40">
        <f>Source!I62</f>
        <v>158.73388</v>
      </c>
      <c r="E29" s="38"/>
    </row>
    <row r="30" spans="1:5" ht="71.25" x14ac:dyDescent="0.2">
      <c r="A30" s="37" t="str">
        <f>Source!E63</f>
        <v>13</v>
      </c>
      <c r="B30" s="38" t="str">
        <f>Source!G63</f>
        <v>Стоимость приема строительного мусора  =бет.плитка(0,69м2*100*0,08*2,4)+цем.песч смесь(2,1м3*2,4)+асф-бет(0,072м3*100*2,4)+цем.бет(0,008м3*100*2,4)+резин.покр(118м2*0,03*0,75)+щебень(0,408м3*100*1,6)+дор.борт(31пм*0,23408)+сад.борт(306пм*0,1504)+дерево(0,02т)</v>
      </c>
      <c r="C30" s="39" t="str">
        <f>Source!H63</f>
        <v>т</v>
      </c>
      <c r="D30" s="40">
        <f>Source!I63</f>
        <v>158.72188</v>
      </c>
      <c r="E30" s="38"/>
    </row>
    <row r="31" spans="1:5" ht="16.5" x14ac:dyDescent="0.25">
      <c r="A31" s="62" t="str">
        <f>CONCATENATE("Раздел: ", Source!G95)</f>
        <v>Раздел: Демонтаж МАФ</v>
      </c>
      <c r="B31" s="62"/>
      <c r="C31" s="62"/>
      <c r="D31" s="62"/>
      <c r="E31" s="62"/>
    </row>
    <row r="32" spans="1:5" ht="28.5" x14ac:dyDescent="0.2">
      <c r="A32" s="37" t="str">
        <f>Source!E100</f>
        <v>14</v>
      </c>
      <c r="B32" s="38" t="str">
        <f>Source!G100</f>
        <v>Монтаж мелких конструкций из стали различного профиля массой до 20 кг /демонтаж МАФ к=0,2   =(48+114+40+30)/1000</v>
      </c>
      <c r="C32" s="39" t="str">
        <f>Source!H100</f>
        <v>т</v>
      </c>
      <c r="D32" s="40">
        <f>Source!I100</f>
        <v>0.23200000000000001</v>
      </c>
      <c r="E32" s="38"/>
    </row>
    <row r="33" spans="1:5" ht="28.5" x14ac:dyDescent="0.2">
      <c r="A33" s="37" t="str">
        <f>Source!E101</f>
        <v>15</v>
      </c>
      <c r="B33" s="38" t="str">
        <f>Source!G101</f>
        <v>Монтаж мелких конструкций из стали различного профиля массой до 50 кг =(50+50+50)/1000</v>
      </c>
      <c r="C33" s="39" t="str">
        <f>Source!H101</f>
        <v>т</v>
      </c>
      <c r="D33" s="40">
        <f>Source!I101</f>
        <v>0.15</v>
      </c>
      <c r="E33" s="38"/>
    </row>
    <row r="34" spans="1:5" ht="28.5" x14ac:dyDescent="0.2">
      <c r="A34" s="37" t="str">
        <f>Source!E103</f>
        <v>16</v>
      </c>
      <c r="B34" s="38" t="str">
        <f>Source!G103</f>
        <v>Разборка каркаса из бревен каркасно-обшивных стен (разборка деревянных элементов МАФ) =(6*1+4*1+8)/100</v>
      </c>
      <c r="C34" s="39" t="str">
        <f>Source!H103</f>
        <v>100 м2</v>
      </c>
      <c r="D34" s="40">
        <f>Source!I103</f>
        <v>0.18</v>
      </c>
      <c r="E34" s="38"/>
    </row>
    <row r="35" spans="1:5" ht="14.25" x14ac:dyDescent="0.2">
      <c r="A35" s="37" t="str">
        <f>Source!E115</f>
        <v>17</v>
      </c>
      <c r="B35" s="38" t="str">
        <f>Source!G115</f>
        <v>Разборка покрытий и оснований цементобетонных</v>
      </c>
      <c r="C35" s="39" t="str">
        <f>Source!H115</f>
        <v>100 м3</v>
      </c>
      <c r="D35" s="40">
        <f>Source!I115</f>
        <v>2.4E-2</v>
      </c>
      <c r="E35" s="38"/>
    </row>
    <row r="36" spans="1:5" ht="28.5" x14ac:dyDescent="0.2">
      <c r="A36" s="37" t="str">
        <f>Source!E116</f>
        <v>18</v>
      </c>
      <c r="B36" s="38" t="str">
        <f>Source!G116</f>
        <v>Механизированная погрузка строительного мусора в автомобили-самосвалы</v>
      </c>
      <c r="C36" s="39" t="str">
        <f>Source!H116</f>
        <v>т</v>
      </c>
      <c r="D36" s="40">
        <f>Source!I116</f>
        <v>5.9238</v>
      </c>
      <c r="E36" s="38"/>
    </row>
    <row r="37" spans="1:5" ht="28.5" x14ac:dyDescent="0.2">
      <c r="A37" s="37" t="str">
        <f>Source!E117</f>
        <v>19</v>
      </c>
      <c r="B37" s="38" t="str">
        <f>Source!G117</f>
        <v>Погрузка и выгрузка вручную строительного мусора на транспортные средства</v>
      </c>
      <c r="C37" s="39" t="str">
        <f>Source!H117</f>
        <v>т</v>
      </c>
      <c r="D37" s="40">
        <f>Source!I117</f>
        <v>0.65820000000000001</v>
      </c>
      <c r="E37" s="38"/>
    </row>
    <row r="38" spans="1:5" ht="28.5" x14ac:dyDescent="0.2">
      <c r="A38" s="37" t="str">
        <f>Source!E118</f>
        <v>20</v>
      </c>
      <c r="B38" s="38" t="str">
        <f>Source!G118</f>
        <v>Перевозка строительного мусора автосамосвалами грузоподъемностью до 10 т на расстояние 1 км - при механизированной погрузке</v>
      </c>
      <c r="C38" s="39" t="str">
        <f>Source!H118</f>
        <v>т</v>
      </c>
      <c r="D38" s="40">
        <f>Source!I118</f>
        <v>5.9238</v>
      </c>
      <c r="E38" s="38"/>
    </row>
    <row r="39" spans="1:5" ht="28.5" x14ac:dyDescent="0.2">
      <c r="A39" s="37" t="str">
        <f>Source!E119</f>
        <v>21</v>
      </c>
      <c r="B39" s="38" t="str">
        <f>Source!G119</f>
        <v>Перевозка строительного мусора автосамосвалами грузоподъемностью до 10 т на расстояние 1 км - при погрузке вручную</v>
      </c>
      <c r="C39" s="39" t="str">
        <f>Source!H119</f>
        <v>т</v>
      </c>
      <c r="D39" s="40">
        <f>Source!I119</f>
        <v>0.65820000000000001</v>
      </c>
      <c r="E39" s="38"/>
    </row>
    <row r="40" spans="1:5" ht="71.25" x14ac:dyDescent="0.2">
      <c r="A40" s="37" t="str">
        <f>Source!E120</f>
        <v>22</v>
      </c>
      <c r="B40" s="38" t="str">
        <f>Source!G120</f>
        <v>Перевозка строительного мусора автосамосвалами грузоподъемностью до 10 т - добавляется на каждый последующий 1 км до 100 км к=42 до 43 км =МЕ(0,232т+0,15т)+дерево(0,3м3*0,8+(50кг+150кг)/1000)+бетон(0,024м3*100*2,4)</v>
      </c>
      <c r="C40" s="39" t="str">
        <f>Source!H120</f>
        <v>т</v>
      </c>
      <c r="D40" s="40">
        <f>Source!I120</f>
        <v>6.5819999999999999</v>
      </c>
      <c r="E40" s="38"/>
    </row>
    <row r="41" spans="1:5" ht="28.5" x14ac:dyDescent="0.2">
      <c r="A41" s="37" t="str">
        <f>Source!E121</f>
        <v>23</v>
      </c>
      <c r="B41" s="38" t="str">
        <f>Source!G121</f>
        <v>Стоимость приема строительного мусора =дерево(0,3м3*0,8+(50кг+150кг)/1000)+бетон(0,024м3*100*2,4)</v>
      </c>
      <c r="C41" s="39" t="str">
        <f>Source!H121</f>
        <v>т</v>
      </c>
      <c r="D41" s="40">
        <f>Source!I121</f>
        <v>6.2</v>
      </c>
      <c r="E41" s="38"/>
    </row>
    <row r="42" spans="1:5" ht="16.5" x14ac:dyDescent="0.25">
      <c r="A42" s="62" t="str">
        <f>CONCATENATE("Раздел: ", Source!G158)</f>
        <v>Раздел: Устройство покрытия из резиновой крошки  на детских площадках(ТИП I)</v>
      </c>
      <c r="B42" s="62"/>
      <c r="C42" s="62"/>
      <c r="D42" s="62"/>
      <c r="E42" s="62"/>
    </row>
    <row r="43" spans="1:5" ht="28.5" x14ac:dyDescent="0.2">
      <c r="A43" s="37" t="str">
        <f>Source!E162</f>
        <v>24</v>
      </c>
      <c r="B43" s="38" t="str">
        <f>Source!G162</f>
        <v>Устройство подстилающих и выравнивающих слоев оснований из песка (290м2*0,2м)</v>
      </c>
      <c r="C43" s="39" t="str">
        <f>Source!H162</f>
        <v>100 м3</v>
      </c>
      <c r="D43" s="40">
        <f>Source!I162</f>
        <v>0.57999999999999996</v>
      </c>
      <c r="E43" s="38"/>
    </row>
    <row r="44" spans="1:5" ht="28.5" x14ac:dyDescent="0.2">
      <c r="A44" s="37" t="str">
        <f>Source!E163</f>
        <v>25</v>
      </c>
      <c r="B44" s="38" t="str">
        <f>Source!G163</f>
        <v>Устройство подстилающих и выравнивающих слоев оснований из щебня (290м2*0,12м)</v>
      </c>
      <c r="C44" s="39" t="str">
        <f>Source!H163</f>
        <v>100 м3</v>
      </c>
      <c r="D44" s="40">
        <f>Source!I163</f>
        <v>0.34799999999999998</v>
      </c>
      <c r="E44" s="38"/>
    </row>
    <row r="45" spans="1:5" ht="42.75" x14ac:dyDescent="0.2">
      <c r="A45" s="37" t="str">
        <f>Source!E164</f>
        <v>26</v>
      </c>
      <c r="B45" s="38" t="str">
        <f>Source!G164</f>
        <v>Устройство асфальтобетонных покрытий дорожек и тротуаров двухслойных, верхний слой из песчаной асфальтобетонной смеси толщиной 3 см до 5 см</v>
      </c>
      <c r="C45" s="39" t="str">
        <f>Source!H164</f>
        <v>100 м2</v>
      </c>
      <c r="D45" s="40">
        <f>Source!I164</f>
        <v>2.9</v>
      </c>
      <c r="E45" s="38"/>
    </row>
    <row r="46" spans="1:5" ht="14.25" x14ac:dyDescent="0.2">
      <c r="A46" s="37" t="str">
        <f>Source!E165</f>
        <v>26,1</v>
      </c>
      <c r="B46" s="38" t="str">
        <f>Source!G165</f>
        <v>Смеси асфальтобетонные дорожные горячие песчаные, тип Д, марка III</v>
      </c>
      <c r="C46" s="39" t="str">
        <f>Source!H165</f>
        <v>т</v>
      </c>
      <c r="D46" s="40">
        <f>Source!I165</f>
        <v>-20.706</v>
      </c>
      <c r="E46" s="38"/>
    </row>
    <row r="47" spans="1:5" ht="28.5" x14ac:dyDescent="0.2">
      <c r="A47" s="37" t="str">
        <f>Source!E166</f>
        <v>26,2</v>
      </c>
      <c r="B47" s="38" t="str">
        <f>Source!G166</f>
        <v>Смеси асфальтобетонные дорожные горячие песчаные, тип Д, марка III (норма расхода 7,14/3*5=11,9)</v>
      </c>
      <c r="C47" s="39" t="str">
        <f>Source!H166</f>
        <v>т</v>
      </c>
      <c r="D47" s="40">
        <f>Source!I166</f>
        <v>34.51</v>
      </c>
      <c r="E47" s="38"/>
    </row>
    <row r="48" spans="1:5" ht="28.5" x14ac:dyDescent="0.2">
      <c r="A48" s="37" t="str">
        <f>Source!E167</f>
        <v>27</v>
      </c>
      <c r="B48" s="38" t="str">
        <f>Source!G167</f>
        <v>Устройство наливного полиуретанового покрытия спортивных площадок и беговых дорожек толщиной 10 мм</v>
      </c>
      <c r="C48" s="39" t="str">
        <f>Source!H167</f>
        <v>100 м2</v>
      </c>
      <c r="D48" s="40">
        <f>Source!I167</f>
        <v>2.9</v>
      </c>
      <c r="E48" s="38"/>
    </row>
    <row r="49" spans="1:5" ht="14.25" x14ac:dyDescent="0.2">
      <c r="A49" s="37" t="str">
        <f>Source!E168</f>
        <v>27,1</v>
      </c>
      <c r="B49" s="38" t="str">
        <f>Source!G168</f>
        <v>Пигменты сухие для красок, кислотный желтый</v>
      </c>
      <c r="C49" s="39" t="str">
        <f>Source!H168</f>
        <v>т</v>
      </c>
      <c r="D49" s="40">
        <f>Source!I168</f>
        <v>-0.15225</v>
      </c>
      <c r="E49" s="38"/>
    </row>
    <row r="50" spans="1:5" ht="28.5" x14ac:dyDescent="0.2">
      <c r="A50" s="37" t="str">
        <f>Source!E169</f>
        <v>28</v>
      </c>
      <c r="B50" s="38" t="str">
        <f>Source!G169</f>
        <v>Устройство наливного полиуретанового покрытия спортивных площадок и беговых дорожек, добавляется на 2 мм толщины покрытия к=5 до 20 см</v>
      </c>
      <c r="C50" s="39" t="str">
        <f>Source!H169</f>
        <v>100 м2</v>
      </c>
      <c r="D50" s="40">
        <f>Source!I169</f>
        <v>2.9</v>
      </c>
      <c r="E50" s="38"/>
    </row>
    <row r="51" spans="1:5" ht="14.25" x14ac:dyDescent="0.2">
      <c r="A51" s="37" t="str">
        <f>Source!E170</f>
        <v>28,1</v>
      </c>
      <c r="B51" s="38" t="str">
        <f>Source!G170</f>
        <v>Пигменты сухие для красок, кислотный желтый</v>
      </c>
      <c r="C51" s="39" t="str">
        <f>Source!H170</f>
        <v>т</v>
      </c>
      <c r="D51" s="40">
        <f>Source!I170</f>
        <v>-0.30449999999999999</v>
      </c>
      <c r="E51" s="38"/>
    </row>
    <row r="52" spans="1:5" ht="42.75" x14ac:dyDescent="0.2">
      <c r="A52" s="37" t="str">
        <f>Source!E171</f>
        <v>29</v>
      </c>
      <c r="B52" s="38" t="str">
        <f>Source!G171</f>
        <v>Устройство наливного полиуретанового покрытия спортивных площадок и беговых дорожек, добавляется на 2 мм толщины покрытия к=5 до 10 см цветной</v>
      </c>
      <c r="C52" s="39" t="str">
        <f>Source!H171</f>
        <v>100 м2</v>
      </c>
      <c r="D52" s="40">
        <f>Source!I171</f>
        <v>2.9</v>
      </c>
      <c r="E52" s="38"/>
    </row>
    <row r="53" spans="1:5" ht="16.5" x14ac:dyDescent="0.25">
      <c r="A53" s="62" t="str">
        <f>CONCATENATE("Раздел: ", Source!G205)</f>
        <v>Раздел: Ремонт плиточного покрытия (ТИП II)</v>
      </c>
      <c r="B53" s="62"/>
      <c r="C53" s="62"/>
      <c r="D53" s="62"/>
      <c r="E53" s="62"/>
    </row>
    <row r="54" spans="1:5" ht="28.5" x14ac:dyDescent="0.2">
      <c r="A54" s="37" t="str">
        <f>Source!E213</f>
        <v>30</v>
      </c>
      <c r="B54" s="38" t="str">
        <f>Source!G213</f>
        <v>Устройство плитных тротуаров из гладких бетонных плит с заполнением швов цементным раствором, толщина плит 70 мм, цвет плит разный</v>
      </c>
      <c r="C54" s="39" t="str">
        <f>Source!H213</f>
        <v>100 м2</v>
      </c>
      <c r="D54" s="40">
        <f>Source!I213</f>
        <v>0.69</v>
      </c>
      <c r="E54" s="38"/>
    </row>
    <row r="55" spans="1:5" ht="16.5" x14ac:dyDescent="0.25">
      <c r="A55" s="62" t="str">
        <f>CONCATENATE("Раздел: ", Source!G246)</f>
        <v>Раздел: Устройство плиточного покрытия (ТИП  III)</v>
      </c>
      <c r="B55" s="62"/>
      <c r="C55" s="62"/>
      <c r="D55" s="62"/>
      <c r="E55" s="62"/>
    </row>
    <row r="56" spans="1:5" ht="28.5" x14ac:dyDescent="0.2">
      <c r="A56" s="37" t="str">
        <f>Source!E252</f>
        <v>31</v>
      </c>
      <c r="B56" s="38" t="str">
        <f>Source!G252</f>
        <v>Устройство покрытий тротуаров из бетонной плитки типа "Брусчатка" рядовым или паркетным мощением</v>
      </c>
      <c r="C56" s="39" t="str">
        <f>Source!H252</f>
        <v>100 м2</v>
      </c>
      <c r="D56" s="40">
        <f>Source!I252</f>
        <v>0.20200000000000001</v>
      </c>
      <c r="E56" s="38"/>
    </row>
    <row r="57" spans="1:5" ht="28.5" x14ac:dyDescent="0.2">
      <c r="A57" s="37" t="str">
        <f>Source!E253</f>
        <v>31,1</v>
      </c>
      <c r="B57" s="38" t="str">
        <f>Source!G253</f>
        <v>Брусчатка бетонная прямая, марка 1ПБ 20.10.7, цвет светло-серый  (плитка бетонная серая 200х100х80)</v>
      </c>
      <c r="C57" s="39" t="str">
        <f>Source!H253</f>
        <v>м2</v>
      </c>
      <c r="D57" s="40">
        <f>Source!I253</f>
        <v>20.2</v>
      </c>
      <c r="E57" s="38"/>
    </row>
    <row r="58" spans="1:5" ht="16.5" x14ac:dyDescent="0.25">
      <c r="A58" s="62" t="str">
        <f>CONCATENATE("Раздел: ", Source!G285)</f>
        <v>Раздел: Ремонт лестницы</v>
      </c>
      <c r="B58" s="62"/>
      <c r="C58" s="62"/>
      <c r="D58" s="62"/>
      <c r="E58" s="62"/>
    </row>
    <row r="59" spans="1:5" ht="28.5" x14ac:dyDescent="0.2">
      <c r="A59" s="37" t="str">
        <f>Source!E291</f>
        <v>32</v>
      </c>
      <c r="B59" s="38" t="str">
        <f>Source!G291</f>
        <v>Устройство покрытий тротуаров из бетонной плитки типа "Брусчатка" рядовым или паркетным мощением</v>
      </c>
      <c r="C59" s="39" t="str">
        <f>Source!H291</f>
        <v>100 м2</v>
      </c>
      <c r="D59" s="40">
        <f>Source!I291</f>
        <v>5.2999999999999999E-2</v>
      </c>
      <c r="E59" s="38"/>
    </row>
    <row r="60" spans="1:5" ht="28.5" x14ac:dyDescent="0.2">
      <c r="A60" s="37" t="str">
        <f>Source!E292</f>
        <v>32,1</v>
      </c>
      <c r="B60" s="38" t="str">
        <f>Source!G292</f>
        <v>Брусчатка бетонная прямая, марка 1ПБ 20.10.7, цвет светло-серый  (плитка бетонная серая 200х100х80)</v>
      </c>
      <c r="C60" s="39" t="str">
        <f>Source!H292</f>
        <v>м2</v>
      </c>
      <c r="D60" s="40">
        <f>Source!I292</f>
        <v>5.5650000000000004</v>
      </c>
      <c r="E60" s="38"/>
    </row>
    <row r="61" spans="1:5" ht="28.5" x14ac:dyDescent="0.2">
      <c r="A61" s="37" t="str">
        <f>Source!E295</f>
        <v>33</v>
      </c>
      <c r="B61" s="38" t="str">
        <f>Source!G295</f>
        <v>Установка бортовых камней бетонных марки БР 100.30.15 при других видах покрытий</v>
      </c>
      <c r="C61" s="39" t="str">
        <f>Source!H295</f>
        <v>100 м</v>
      </c>
      <c r="D61" s="40">
        <f>Source!I295</f>
        <v>0.19</v>
      </c>
      <c r="E61" s="38"/>
    </row>
    <row r="62" spans="1:5" ht="16.5" x14ac:dyDescent="0.25">
      <c r="A62" s="62" t="str">
        <f>CONCATENATE("Раздел: ", Source!G328)</f>
        <v>Раздел: Установка садового бортового камня БР 100.20.8 на бетонное основание</v>
      </c>
      <c r="B62" s="62"/>
      <c r="C62" s="62"/>
      <c r="D62" s="62"/>
      <c r="E62" s="62"/>
    </row>
    <row r="63" spans="1:5" ht="14.25" x14ac:dyDescent="0.2">
      <c r="A63" s="37" t="str">
        <f>Source!E332</f>
        <v>34</v>
      </c>
      <c r="B63" s="38" t="str">
        <f>Source!G332</f>
        <v>Устройство подстилающих и выравнивающих слоев оснований из песка</v>
      </c>
      <c r="C63" s="39" t="str">
        <f>Source!H332</f>
        <v>100 м3</v>
      </c>
      <c r="D63" s="40">
        <f>Source!I332</f>
        <v>9.8400000000000001E-2</v>
      </c>
      <c r="E63" s="38"/>
    </row>
    <row r="64" spans="1:5" ht="28.5" x14ac:dyDescent="0.2">
      <c r="A64" s="37" t="str">
        <f>Source!E334</f>
        <v>35</v>
      </c>
      <c r="B64" s="38" t="str">
        <f>Source!G334</f>
        <v>Установка бортовых камней бетонных газонных и садовых марка БР60.20.8, при других видах покрытий</v>
      </c>
      <c r="C64" s="39" t="str">
        <f>Source!H334</f>
        <v>100 м</v>
      </c>
      <c r="D64" s="40">
        <f>Source!I334</f>
        <v>1.64</v>
      </c>
      <c r="E64" s="38"/>
    </row>
    <row r="65" spans="1:5" ht="16.5" x14ac:dyDescent="0.25">
      <c r="A65" s="62" t="str">
        <f>CONCATENATE("Раздел: ", Source!G366)</f>
        <v>Раздел: Установка магистрального бортового камня  на бетонное основание БР 100.60.20</v>
      </c>
      <c r="B65" s="62"/>
      <c r="C65" s="62"/>
      <c r="D65" s="62"/>
      <c r="E65" s="62"/>
    </row>
    <row r="66" spans="1:5" ht="14.25" x14ac:dyDescent="0.2">
      <c r="A66" s="37" t="str">
        <f>Source!E370</f>
        <v>36</v>
      </c>
      <c r="B66" s="38" t="str">
        <f>Source!G370</f>
        <v>Устройство подстилающих и выравнивающих слоев оснований из песка</v>
      </c>
      <c r="C66" s="39" t="str">
        <f>Source!H370</f>
        <v>100 м3</v>
      </c>
      <c r="D66" s="40">
        <f>Source!I370</f>
        <v>1.7399999999999999E-2</v>
      </c>
      <c r="E66" s="38"/>
    </row>
    <row r="67" spans="1:5" ht="28.5" x14ac:dyDescent="0.2">
      <c r="A67" s="37" t="str">
        <f>Source!E371</f>
        <v>37</v>
      </c>
      <c r="B67" s="38" t="str">
        <f>Source!G371</f>
        <v>Установка бортовых камней бетонных марки БР 100.30.15 при других видах покрытий</v>
      </c>
      <c r="C67" s="39" t="str">
        <f>Source!H371</f>
        <v>100 м</v>
      </c>
      <c r="D67" s="40">
        <f>Source!I371</f>
        <v>0.28999999999999998</v>
      </c>
      <c r="E67" s="38"/>
    </row>
    <row r="68" spans="1:5" ht="14.25" x14ac:dyDescent="0.2">
      <c r="A68" s="37" t="str">
        <f>Source!E372</f>
        <v>37,1</v>
      </c>
      <c r="B68" s="38" t="str">
        <f>Source!G372</f>
        <v>Камни бетонные бортовые, марка БР 100.30.15</v>
      </c>
      <c r="C68" s="39" t="str">
        <f>Source!H372</f>
        <v>м3</v>
      </c>
      <c r="D68" s="40">
        <f>Source!I372</f>
        <v>-1.2470000000000001</v>
      </c>
      <c r="E68" s="38"/>
    </row>
    <row r="69" spans="1:5" ht="28.5" x14ac:dyDescent="0.2">
      <c r="A69" s="37" t="str">
        <f>Source!E373</f>
        <v>37,2</v>
      </c>
      <c r="B69" s="38" t="str">
        <f>Source!G373</f>
        <v>Камни бетонные бортовые, марка БР 100.30.18 (эквивалент проекта) Магистральный бортовой камень на бетонное основание БР 100.60.20</v>
      </c>
      <c r="C69" s="39" t="str">
        <f>Source!H373</f>
        <v>м3</v>
      </c>
      <c r="D69" s="40">
        <f>Source!I373</f>
        <v>3.4799999999999995</v>
      </c>
      <c r="E69" s="38"/>
    </row>
    <row r="70" spans="1:5" ht="16.5" x14ac:dyDescent="0.25">
      <c r="A70" s="62" t="str">
        <f>CONCATENATE("Локальная смета: ", Source!G447)</f>
        <v>Локальная смета: ЛС № 02-01-02 Установка МАФ (ул. Свободы д. 15/10)</v>
      </c>
      <c r="B70" s="62"/>
      <c r="C70" s="62"/>
      <c r="D70" s="62"/>
      <c r="E70" s="62"/>
    </row>
    <row r="71" spans="1:5" ht="16.5" x14ac:dyDescent="0.25">
      <c r="A71" s="62" t="str">
        <f>CONCATENATE("Раздел: ", Source!G451)</f>
        <v>Раздел: Общие МАФ</v>
      </c>
      <c r="B71" s="62"/>
      <c r="C71" s="62"/>
      <c r="D71" s="62"/>
      <c r="E71" s="62"/>
    </row>
    <row r="72" spans="1:5" ht="42.75" x14ac:dyDescent="0.2">
      <c r="A72" s="37" t="str">
        <f>Source!E456</f>
        <v>1</v>
      </c>
      <c r="B72" s="38" t="str">
        <f>Source!G456</f>
        <v>Скамья - диван парковый - 2 из влагостойкой фанеры, на каркасе из полосовой стали, 600х2000х789 мм (эквивалент проекта) Скамья Скамейка.ру</v>
      </c>
      <c r="C72" s="39" t="str">
        <f>Source!H456</f>
        <v>шт.</v>
      </c>
      <c r="D72" s="40">
        <f>Source!I456</f>
        <v>4</v>
      </c>
      <c r="E72" s="38"/>
    </row>
    <row r="73" spans="1:5" ht="71.25" x14ac:dyDescent="0.2">
      <c r="A73" s="37" t="str">
        <f>Source!E458</f>
        <v>2</v>
      </c>
      <c r="B73" s="38" t="str">
        <f>Source!G458</f>
        <v>Игровой комплекс «ТКМ-8» на опорах из клееного бруса с каркасом из металл. труб, с навесами из влагостойкой фанеры, скаты из нержавеющей стали, 6250х6400х3315 мм, в составе: две горки с переходными мостиками, беседка, две башни, лиана, элемент для лазанья (эквивалент проекта) Пергола  Радуга</v>
      </c>
      <c r="C73" s="39" t="str">
        <f>Source!H458</f>
        <v>комплекс</v>
      </c>
      <c r="D73" s="40">
        <f>Source!I458</f>
        <v>2</v>
      </c>
      <c r="E73" s="38"/>
    </row>
    <row r="74" spans="1:5" ht="71.25" x14ac:dyDescent="0.2">
      <c r="A74" s="37" t="str">
        <f>Source!E459</f>
        <v>3</v>
      </c>
      <c r="B74" s="38" t="str">
        <f>Source!G459</f>
        <v>Игровой комплекс «ТКМ-4» на опорах из клееного бруса с каркасом из металл. труб, с навесами из влагостойкой фанеры, скаты из нержавеющей стали, 5750х6900х3315 мм, в составе: две горки с переходными мостиками, две беседки, башня, лиана, элемент для лазанья (эквивалент проекта) Пергола Радуга с качелями</v>
      </c>
      <c r="C74" s="39" t="str">
        <f>Source!H459</f>
        <v>комплекс</v>
      </c>
      <c r="D74" s="40">
        <f>Source!I459</f>
        <v>2</v>
      </c>
      <c r="E74" s="38"/>
    </row>
    <row r="75" spans="1:5" ht="14.25" x14ac:dyDescent="0.2">
      <c r="A75" s="37" t="str">
        <f>Source!E460</f>
        <v>4</v>
      </c>
      <c r="B75" s="38" t="str">
        <f>Source!G460</f>
        <v>Установка металлических ограждений без поручня (перила)</v>
      </c>
      <c r="C75" s="39" t="str">
        <f>Source!H460</f>
        <v>100 м</v>
      </c>
      <c r="D75" s="40">
        <f>Source!I460</f>
        <v>0.06</v>
      </c>
      <c r="E75" s="38"/>
    </row>
    <row r="76" spans="1:5" ht="42.75" x14ac:dyDescent="0.2">
      <c r="A76" s="37" t="str">
        <f>Source!E461</f>
        <v>5</v>
      </c>
      <c r="B76" s="38" t="str">
        <f>Source!G461</f>
        <v>Урна У-32 Б переворачивающаяся из стального листа, на ножках из стальной трубы, окрашена цветными эмалями, размеры 1100х485х235 мм (эквивалент проекта) Урна арт. 12167</v>
      </c>
      <c r="C76" s="39" t="str">
        <f>Source!H461</f>
        <v>шт.</v>
      </c>
      <c r="D76" s="40">
        <f>Source!I461</f>
        <v>3</v>
      </c>
      <c r="E76" s="38"/>
    </row>
    <row r="77" spans="1:5" ht="16.5" x14ac:dyDescent="0.25">
      <c r="A77" s="62" t="str">
        <f>CONCATENATE("Раздел: ", Source!G498)</f>
        <v>Раздел: Детские МАФ</v>
      </c>
      <c r="B77" s="62"/>
      <c r="C77" s="62"/>
      <c r="D77" s="62"/>
      <c r="E77" s="62"/>
    </row>
    <row r="78" spans="1:5" ht="71.25" x14ac:dyDescent="0.2">
      <c r="A78" s="37" t="str">
        <f>Source!E502</f>
        <v>6</v>
      </c>
      <c r="B78" s="38" t="str">
        <f>Source!G502</f>
        <v>Игровой комплекс детский городок, марка Г-5 из метал. проф, влагостойкой фанеры, настил из досок, скат из нерж. стали, с приставными элем. и переходным мостиком, с баскетбольной стойкой, 8100х6300х4800мм,"бизнес класс",с крышей, с худ. оформлением эмалями  (эквивалент проекта) Детский городок "Ярославль"</v>
      </c>
      <c r="C78" s="39" t="str">
        <f>Source!H502</f>
        <v>комплекс</v>
      </c>
      <c r="D78" s="40">
        <f>Source!I502</f>
        <v>1</v>
      </c>
      <c r="E78" s="38"/>
    </row>
    <row r="79" spans="1:5" ht="71.25" x14ac:dyDescent="0.2">
      <c r="A79" s="37" t="str">
        <f>Source!E503</f>
        <v>7</v>
      </c>
      <c r="B79" s="38" t="str">
        <f>Source!G503</f>
        <v>Игровой комплекс «ТКМ-3» на опорах из клееного бруса с каркасом из металл. труб, с навесами из влагостойкой фанеры, скаты из нержавеющей стали, 7300х7300х3315 мм, в составе: две горки с переходными мостиками и элементами для лазанья, две беседки, башня  (эквивалент проекта) Игровой комплекс «Сапсан» (стой-ки дуб)</v>
      </c>
      <c r="C79" s="39" t="str">
        <f>Source!H503</f>
        <v>комплекс</v>
      </c>
      <c r="D79" s="40">
        <f>Source!I503</f>
        <v>1</v>
      </c>
      <c r="E79" s="38"/>
    </row>
    <row r="80" spans="1:5" ht="28.5" x14ac:dyDescent="0.2">
      <c r="A80" s="37" t="str">
        <f>Source!E506</f>
        <v>8</v>
      </c>
      <c r="B80" s="38" t="str">
        <f>Source!G506</f>
        <v>Комплекс детский городок "АБВГДейка", русские качели (эквивалент проекта) Качели «Драйв» (цветовое решение «Fairytale»)</v>
      </c>
      <c r="C80" s="39" t="str">
        <f>Source!H506</f>
        <v>шт.</v>
      </c>
      <c r="D80" s="40">
        <f>Source!I506</f>
        <v>1</v>
      </c>
      <c r="E80" s="38"/>
    </row>
    <row r="81" spans="1:5" ht="42.75" x14ac:dyDescent="0.2">
      <c r="A81" s="37" t="str">
        <f>Source!E507</f>
        <v>9</v>
      </c>
      <c r="B81" s="38" t="str">
        <f>Source!G507</f>
        <v>Качалка пружинная деревянная, окрашена цветными эмалями, размеры 1000х900х290 мм (эквивалент проекта) Качалка «Галоп» (универсальный паттерн, балка дуб)</v>
      </c>
      <c r="C81" s="39" t="str">
        <f>Source!H507</f>
        <v>шт.</v>
      </c>
      <c r="D81" s="40">
        <f>Source!I507</f>
        <v>1</v>
      </c>
      <c r="E81" s="38"/>
    </row>
    <row r="82" spans="1:5" ht="42.75" x14ac:dyDescent="0.2">
      <c r="A82" s="37" t="str">
        <f>Source!E508</f>
        <v>10</v>
      </c>
      <c r="B82" s="38" t="str">
        <f>Source!G508</f>
        <v>Карусель КР014, диаметр 2000 мм, высота 1000 мм, на металлическом каркасе, сиденье из влагостойкой фанеры (эквивалент проекта) Карусель «Цирк»</v>
      </c>
      <c r="C82" s="39" t="str">
        <f>Source!H508</f>
        <v>шт.</v>
      </c>
      <c r="D82" s="40">
        <f>Source!I508</f>
        <v>1</v>
      </c>
      <c r="E82" s="38"/>
    </row>
    <row r="83" spans="1:5" ht="16.5" x14ac:dyDescent="0.25">
      <c r="A83" s="62" t="str">
        <f>CONCATENATE("Локальная смета: ", Source!G626)</f>
        <v>Локальная смета: ЛС № 02-01-03 Озеленение (ул. Свободы д. 15/10)</v>
      </c>
      <c r="B83" s="62"/>
      <c r="C83" s="62"/>
      <c r="D83" s="62"/>
      <c r="E83" s="62"/>
    </row>
    <row r="84" spans="1:5" ht="16.5" x14ac:dyDescent="0.25">
      <c r="A84" s="62" t="str">
        <f>CONCATENATE("Раздел: ", Source!G630)</f>
        <v>Раздел: Посадка лиственных кустарников в группы D=0,25; h=0,2</v>
      </c>
      <c r="B84" s="62"/>
      <c r="C84" s="62"/>
      <c r="D84" s="62"/>
      <c r="E84" s="62"/>
    </row>
    <row r="85" spans="1:5" ht="42.75" x14ac:dyDescent="0.2">
      <c r="A85" s="37" t="str">
        <f>Source!E634</f>
        <v>1</v>
      </c>
      <c r="B85" s="38" t="str">
        <f>Source!G634</f>
        <v>Подготовка стандартных посадочных мест для деревьев и кустарников механизированным способом, с круглым комом земли размером 0,2х0,15 м и 0,25х0,2м с добавлением растительной земли до 50%</v>
      </c>
      <c r="C85" s="39" t="str">
        <f>Source!H634</f>
        <v>10 ям</v>
      </c>
      <c r="D85" s="40">
        <f>Source!I634</f>
        <v>13</v>
      </c>
      <c r="E85" s="38"/>
    </row>
    <row r="86" spans="1:5" ht="42.75" x14ac:dyDescent="0.2">
      <c r="A86" s="37" t="str">
        <f>Source!E635</f>
        <v>2</v>
      </c>
      <c r="B86" s="38" t="str">
        <f>Source!G635</f>
        <v>Подготовка стандартных посадочных мест вручную, с круглым комом земли размером 0,2х0,15 м и 0,25х0,2 м с добавлением растительной земли до 50%</v>
      </c>
      <c r="C86" s="39" t="str">
        <f>Source!H635</f>
        <v>10 ям</v>
      </c>
      <c r="D86" s="40">
        <f>Source!I635</f>
        <v>19.5</v>
      </c>
      <c r="E86" s="38"/>
    </row>
    <row r="87" spans="1:5" ht="28.5" x14ac:dyDescent="0.2">
      <c r="A87" s="37" t="str">
        <f>Source!E636</f>
        <v>3</v>
      </c>
      <c r="B87" s="38" t="str">
        <f>Source!G636</f>
        <v>Посадка деревьев и кустарников с комом земли, диаметром 0,2 м и высотой 0,15 м, диаметром 0,25 м и высотой 0,2 м</v>
      </c>
      <c r="C87" s="39" t="str">
        <f>Source!H636</f>
        <v>10 шт.</v>
      </c>
      <c r="D87" s="40">
        <f>Source!I636</f>
        <v>32.5</v>
      </c>
      <c r="E87" s="38"/>
    </row>
    <row r="88" spans="1:5" ht="28.5" x14ac:dyDescent="0.2">
      <c r="A88" s="37" t="str">
        <f>Source!E637</f>
        <v>3,1</v>
      </c>
      <c r="B88" s="38" t="str">
        <f>Source!G637</f>
        <v>Кустарники декоративные с комом земли: барбарис тунберга, высота 0,15 м, диаметр 0,2 м (эквивалент проекта)</v>
      </c>
      <c r="C88" s="39" t="str">
        <f>Source!H637</f>
        <v>шт.</v>
      </c>
      <c r="D88" s="40">
        <f>Source!I637</f>
        <v>325</v>
      </c>
      <c r="E88" s="38"/>
    </row>
    <row r="89" spans="1:5" ht="16.5" x14ac:dyDescent="0.25">
      <c r="A89" s="62" t="str">
        <f>CONCATENATE("Раздел: ", Source!G669)</f>
        <v>Раздел: Устройство газона</v>
      </c>
      <c r="B89" s="62"/>
      <c r="C89" s="62"/>
      <c r="D89" s="62"/>
      <c r="E89" s="62"/>
    </row>
    <row r="90" spans="1:5" ht="42.75" x14ac:dyDescent="0.2">
      <c r="A90" s="37" t="str">
        <f>Source!E673</f>
        <v>4</v>
      </c>
      <c r="B90" s="38" t="str">
        <f>Source!G673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C90" s="39" t="str">
        <f>Source!H673</f>
        <v>100 м2</v>
      </c>
      <c r="D90" s="40">
        <f>Source!I673</f>
        <v>0.36749999999999999</v>
      </c>
      <c r="E90" s="38"/>
    </row>
    <row r="91" spans="1:5" ht="28.5" x14ac:dyDescent="0.2">
      <c r="A91" s="37" t="str">
        <f>Source!E674</f>
        <v>5</v>
      </c>
      <c r="B91" s="38" t="str">
        <f>Source!G674</f>
        <v>Подготовка почвы для устройства партерного и обыкновенного газонов с внесением растительной земли слоем 15 см вручную</v>
      </c>
      <c r="C91" s="39" t="str">
        <f>Source!H674</f>
        <v>100 м2</v>
      </c>
      <c r="D91" s="40">
        <f>Source!I674</f>
        <v>0.1225</v>
      </c>
      <c r="E91" s="38"/>
    </row>
    <row r="92" spans="1:5" ht="28.5" x14ac:dyDescent="0.2">
      <c r="A92" s="37" t="str">
        <f>Source!E675</f>
        <v>6</v>
      </c>
      <c r="B92" s="38" t="str">
        <f>Source!G675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C92" s="39" t="str">
        <f>Source!H675</f>
        <v>100 м2</v>
      </c>
      <c r="D92" s="40">
        <f>Source!I675</f>
        <v>-0.49</v>
      </c>
      <c r="E92" s="38"/>
    </row>
    <row r="93" spans="1:5" ht="14.25" x14ac:dyDescent="0.2">
      <c r="A93" s="33" t="str">
        <f>Source!E676</f>
        <v>7</v>
      </c>
      <c r="B93" s="34" t="str">
        <f>Source!G676</f>
        <v>Посев газонов партерных, мавританских, и обыкновенных вручную</v>
      </c>
      <c r="C93" s="35" t="str">
        <f>Source!H676</f>
        <v>100 м2</v>
      </c>
      <c r="D93" s="36">
        <f>Source!I676</f>
        <v>0.49</v>
      </c>
      <c r="E93" s="34"/>
    </row>
    <row r="96" spans="1:5" ht="15" x14ac:dyDescent="0.25">
      <c r="A96" s="24" t="s">
        <v>1008</v>
      </c>
      <c r="B96" s="24"/>
      <c r="C96" s="24" t="s">
        <v>1009</v>
      </c>
      <c r="D96" s="24"/>
      <c r="E96" s="24"/>
    </row>
  </sheetData>
  <mergeCells count="19">
    <mergeCell ref="B5:D5"/>
    <mergeCell ref="A62:E62"/>
    <mergeCell ref="C7:D7"/>
    <mergeCell ref="A11:D11"/>
    <mergeCell ref="A12:D12"/>
    <mergeCell ref="A16:E16"/>
    <mergeCell ref="A17:E17"/>
    <mergeCell ref="A31:E31"/>
    <mergeCell ref="A42:E42"/>
    <mergeCell ref="A53:E53"/>
    <mergeCell ref="A55:E55"/>
    <mergeCell ref="A58:E58"/>
    <mergeCell ref="A89:E89"/>
    <mergeCell ref="A65:E65"/>
    <mergeCell ref="A70:E70"/>
    <mergeCell ref="A71:E71"/>
    <mergeCell ref="A77:E77"/>
    <mergeCell ref="A83:E83"/>
    <mergeCell ref="A84:E84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781"/>
  <sheetViews>
    <sheetView workbookViewId="0">
      <selection activeCell="H21" sqref="H21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15859</v>
      </c>
      <c r="M1">
        <v>10</v>
      </c>
      <c r="N1">
        <v>11</v>
      </c>
      <c r="O1">
        <v>0</v>
      </c>
      <c r="P1">
        <v>2</v>
      </c>
      <c r="Q1">
        <v>6</v>
      </c>
    </row>
    <row r="12" spans="1:133" x14ac:dyDescent="0.2">
      <c r="A12">
        <v>1</v>
      </c>
      <c r="B12">
        <v>777</v>
      </c>
      <c r="C12">
        <v>0</v>
      </c>
      <c r="D12">
        <f>ROW(A742)</f>
        <v>742</v>
      </c>
      <c r="E12">
        <v>0</v>
      </c>
      <c r="G12" t="s">
        <v>5</v>
      </c>
      <c r="H12" t="s">
        <v>3</v>
      </c>
      <c r="I12">
        <v>0</v>
      </c>
      <c r="J12" t="s">
        <v>3</v>
      </c>
      <c r="K12">
        <v>0</v>
      </c>
      <c r="O12">
        <v>0</v>
      </c>
      <c r="P12">
        <v>0</v>
      </c>
      <c r="Q12">
        <v>0</v>
      </c>
      <c r="R12">
        <v>108</v>
      </c>
      <c r="U12" t="s">
        <v>3</v>
      </c>
      <c r="V12">
        <v>0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L12" t="s">
        <v>3</v>
      </c>
      <c r="AM12" t="s">
        <v>3</v>
      </c>
      <c r="AN12" t="s">
        <v>3</v>
      </c>
      <c r="AP12" t="s">
        <v>3</v>
      </c>
      <c r="AQ12" t="s">
        <v>3</v>
      </c>
      <c r="AR12" t="s">
        <v>3</v>
      </c>
      <c r="AX12" t="s">
        <v>3</v>
      </c>
      <c r="AY12" t="s">
        <v>3</v>
      </c>
      <c r="AZ12" t="s">
        <v>3</v>
      </c>
      <c r="BH12" t="s">
        <v>6</v>
      </c>
      <c r="BI12" t="s">
        <v>7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6</v>
      </c>
      <c r="BQ12">
        <v>2</v>
      </c>
      <c r="BR12">
        <v>1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0</v>
      </c>
      <c r="BY12" t="s">
        <v>8</v>
      </c>
      <c r="BZ12" t="s">
        <v>9</v>
      </c>
      <c r="CA12" t="s">
        <v>10</v>
      </c>
      <c r="CB12" t="s">
        <v>10</v>
      </c>
      <c r="CC12" t="s">
        <v>10</v>
      </c>
      <c r="CD12" t="s">
        <v>10</v>
      </c>
      <c r="CE12" t="s">
        <v>11</v>
      </c>
      <c r="CF12">
        <v>0</v>
      </c>
      <c r="CG12">
        <v>0</v>
      </c>
      <c r="CH12">
        <v>8</v>
      </c>
      <c r="CI12" t="s">
        <v>3</v>
      </c>
      <c r="CJ12" t="s">
        <v>3</v>
      </c>
      <c r="CK12">
        <v>0</v>
      </c>
      <c r="EC12">
        <v>0</v>
      </c>
    </row>
    <row r="15" spans="1:133" x14ac:dyDescent="0.2">
      <c r="A15">
        <v>15</v>
      </c>
      <c r="B15">
        <v>1</v>
      </c>
    </row>
    <row r="18" spans="1:245" x14ac:dyDescent="0.2">
      <c r="A18">
        <v>52</v>
      </c>
      <c r="B18">
        <f t="shared" ref="B18:G18" si="0">B742</f>
        <v>777</v>
      </c>
      <c r="C18">
        <f t="shared" si="0"/>
        <v>1</v>
      </c>
      <c r="D18">
        <f t="shared" si="0"/>
        <v>12</v>
      </c>
      <c r="E18">
        <f t="shared" si="0"/>
        <v>0</v>
      </c>
      <c r="F18" t="str">
        <f t="shared" si="0"/>
        <v/>
      </c>
      <c r="G18" t="str">
        <f t="shared" si="0"/>
        <v>ул. Свободы д. 15/10</v>
      </c>
      <c r="O18">
        <f t="shared" ref="O18:AT18" si="1">O742</f>
        <v>4388375.3499999996</v>
      </c>
      <c r="P18">
        <f t="shared" si="1"/>
        <v>3859523.55</v>
      </c>
      <c r="Q18">
        <f t="shared" si="1"/>
        <v>291912.86</v>
      </c>
      <c r="R18">
        <f t="shared" si="1"/>
        <v>149888.5</v>
      </c>
      <c r="S18">
        <f t="shared" si="1"/>
        <v>236938.94</v>
      </c>
      <c r="T18">
        <f t="shared" si="1"/>
        <v>0</v>
      </c>
      <c r="U18">
        <f t="shared" si="1"/>
        <v>1157.1290277600001</v>
      </c>
      <c r="V18">
        <f t="shared" si="1"/>
        <v>0</v>
      </c>
      <c r="W18">
        <f t="shared" si="1"/>
        <v>0</v>
      </c>
      <c r="X18">
        <f t="shared" si="1"/>
        <v>165857.26999999999</v>
      </c>
      <c r="Y18">
        <f t="shared" si="1"/>
        <v>23693.9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1"/>
        <v>4621487.9800000004</v>
      </c>
      <c r="AS18">
        <f t="shared" si="1"/>
        <v>16541.66</v>
      </c>
      <c r="AT18">
        <f t="shared" si="1"/>
        <v>0</v>
      </c>
      <c r="AU18">
        <f t="shared" ref="AU18:BZ18" si="2">AU742</f>
        <v>4604946.32</v>
      </c>
      <c r="AV18">
        <f t="shared" si="2"/>
        <v>3859523.55</v>
      </c>
      <c r="AW18">
        <f t="shared" si="2"/>
        <v>3859523.55</v>
      </c>
      <c r="AX18">
        <f t="shared" si="2"/>
        <v>0</v>
      </c>
      <c r="AY18">
        <f t="shared" si="2"/>
        <v>3859523.55</v>
      </c>
      <c r="AZ18">
        <f t="shared" si="2"/>
        <v>0</v>
      </c>
      <c r="BA18">
        <f t="shared" si="2"/>
        <v>0</v>
      </c>
      <c r="BB18">
        <f t="shared" si="2"/>
        <v>0</v>
      </c>
      <c r="BC18">
        <f t="shared" si="2"/>
        <v>0</v>
      </c>
      <c r="BD18">
        <f t="shared" si="2"/>
        <v>0</v>
      </c>
      <c r="BE18">
        <f t="shared" si="2"/>
        <v>0</v>
      </c>
      <c r="BF18">
        <f t="shared" si="2"/>
        <v>0</v>
      </c>
      <c r="BG18">
        <f t="shared" si="2"/>
        <v>0</v>
      </c>
      <c r="BH18">
        <f t="shared" si="2"/>
        <v>0</v>
      </c>
      <c r="BI18">
        <f t="shared" si="2"/>
        <v>0</v>
      </c>
      <c r="BJ18">
        <f t="shared" si="2"/>
        <v>0</v>
      </c>
      <c r="BK18">
        <f t="shared" si="2"/>
        <v>0</v>
      </c>
      <c r="BL18">
        <f t="shared" si="2"/>
        <v>0</v>
      </c>
      <c r="BM18">
        <f t="shared" si="2"/>
        <v>0</v>
      </c>
      <c r="BN18">
        <f t="shared" si="2"/>
        <v>0</v>
      </c>
      <c r="BO18">
        <f t="shared" si="2"/>
        <v>0</v>
      </c>
      <c r="BP18">
        <f t="shared" si="2"/>
        <v>0</v>
      </c>
      <c r="BQ18">
        <f t="shared" si="2"/>
        <v>0</v>
      </c>
      <c r="BR18">
        <f t="shared" si="2"/>
        <v>0</v>
      </c>
      <c r="BS18">
        <f t="shared" si="2"/>
        <v>0</v>
      </c>
      <c r="BT18">
        <f t="shared" si="2"/>
        <v>0</v>
      </c>
      <c r="BU18">
        <f t="shared" si="2"/>
        <v>0</v>
      </c>
      <c r="BV18">
        <f t="shared" si="2"/>
        <v>0</v>
      </c>
      <c r="BW18">
        <f t="shared" si="2"/>
        <v>0</v>
      </c>
      <c r="BX18">
        <f t="shared" si="2"/>
        <v>0</v>
      </c>
      <c r="BY18">
        <f t="shared" si="2"/>
        <v>0</v>
      </c>
      <c r="BZ18">
        <f t="shared" si="2"/>
        <v>0</v>
      </c>
      <c r="CA18">
        <f t="shared" ref="CA18:DF18" si="3">CA742</f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si="3"/>
        <v>0</v>
      </c>
      <c r="CF18">
        <f t="shared" si="3"/>
        <v>0</v>
      </c>
      <c r="CG18">
        <f t="shared" si="3"/>
        <v>0</v>
      </c>
      <c r="CH18">
        <f t="shared" si="3"/>
        <v>0</v>
      </c>
      <c r="CI18">
        <f t="shared" si="3"/>
        <v>0</v>
      </c>
      <c r="CJ18">
        <f t="shared" si="3"/>
        <v>0</v>
      </c>
      <c r="CK18">
        <f t="shared" si="3"/>
        <v>0</v>
      </c>
      <c r="CL18">
        <f t="shared" si="3"/>
        <v>0</v>
      </c>
      <c r="CM18">
        <f t="shared" si="3"/>
        <v>0</v>
      </c>
      <c r="CN18">
        <f t="shared" si="3"/>
        <v>0</v>
      </c>
      <c r="CO18">
        <f t="shared" si="3"/>
        <v>0</v>
      </c>
      <c r="CP18">
        <f t="shared" si="3"/>
        <v>0</v>
      </c>
      <c r="CQ18">
        <f t="shared" si="3"/>
        <v>0</v>
      </c>
      <c r="CR18">
        <f t="shared" si="3"/>
        <v>0</v>
      </c>
      <c r="CS18">
        <f t="shared" si="3"/>
        <v>0</v>
      </c>
      <c r="CT18">
        <f t="shared" si="3"/>
        <v>0</v>
      </c>
      <c r="CU18">
        <f t="shared" si="3"/>
        <v>0</v>
      </c>
      <c r="CV18">
        <f t="shared" si="3"/>
        <v>0</v>
      </c>
      <c r="CW18">
        <f t="shared" si="3"/>
        <v>0</v>
      </c>
      <c r="CX18">
        <f t="shared" si="3"/>
        <v>0</v>
      </c>
      <c r="CY18">
        <f t="shared" si="3"/>
        <v>0</v>
      </c>
      <c r="CZ18">
        <f t="shared" si="3"/>
        <v>0</v>
      </c>
      <c r="DA18">
        <f t="shared" si="3"/>
        <v>0</v>
      </c>
      <c r="DB18">
        <f t="shared" si="3"/>
        <v>0</v>
      </c>
      <c r="DC18">
        <f t="shared" si="3"/>
        <v>0</v>
      </c>
      <c r="DD18">
        <f t="shared" si="3"/>
        <v>0</v>
      </c>
      <c r="DE18">
        <f t="shared" si="3"/>
        <v>0</v>
      </c>
      <c r="DF18">
        <f t="shared" si="3"/>
        <v>0</v>
      </c>
      <c r="DG18">
        <f t="shared" ref="DG18:EL18" si="4">DG742</f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ref="EM18:FR18" si="5">EM742</f>
        <v>0</v>
      </c>
      <c r="EN18">
        <f t="shared" si="5"/>
        <v>0</v>
      </c>
      <c r="EO18">
        <f t="shared" si="5"/>
        <v>0</v>
      </c>
      <c r="EP18">
        <f t="shared" si="5"/>
        <v>0</v>
      </c>
      <c r="EQ18">
        <f t="shared" si="5"/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  <c r="FD18">
        <f t="shared" si="5"/>
        <v>0</v>
      </c>
      <c r="FE18">
        <f t="shared" si="5"/>
        <v>0</v>
      </c>
      <c r="FF18">
        <f t="shared" si="5"/>
        <v>0</v>
      </c>
      <c r="FG18">
        <f t="shared" si="5"/>
        <v>0</v>
      </c>
      <c r="FH18">
        <f t="shared" si="5"/>
        <v>0</v>
      </c>
      <c r="FI18">
        <f t="shared" si="5"/>
        <v>0</v>
      </c>
      <c r="FJ18">
        <f t="shared" si="5"/>
        <v>0</v>
      </c>
      <c r="FK18">
        <f t="shared" si="5"/>
        <v>0</v>
      </c>
      <c r="FL18">
        <f t="shared" si="5"/>
        <v>0</v>
      </c>
      <c r="FM18">
        <f t="shared" si="5"/>
        <v>0</v>
      </c>
      <c r="FN18">
        <f t="shared" si="5"/>
        <v>0</v>
      </c>
      <c r="FO18">
        <f t="shared" si="5"/>
        <v>0</v>
      </c>
      <c r="FP18">
        <f t="shared" si="5"/>
        <v>0</v>
      </c>
      <c r="FQ18">
        <f t="shared" si="5"/>
        <v>0</v>
      </c>
      <c r="FR18">
        <f t="shared" si="5"/>
        <v>0</v>
      </c>
      <c r="FS18">
        <f t="shared" ref="FS18:GX18" si="6">FS742</f>
        <v>0</v>
      </c>
      <c r="FT18">
        <f t="shared" si="6"/>
        <v>0</v>
      </c>
      <c r="FU18">
        <f t="shared" si="6"/>
        <v>0</v>
      </c>
      <c r="FV18">
        <f t="shared" si="6"/>
        <v>0</v>
      </c>
      <c r="FW18">
        <f t="shared" si="6"/>
        <v>0</v>
      </c>
      <c r="FX18">
        <f t="shared" si="6"/>
        <v>0</v>
      </c>
      <c r="FY18">
        <f t="shared" si="6"/>
        <v>0</v>
      </c>
      <c r="FZ18">
        <f t="shared" si="6"/>
        <v>0</v>
      </c>
      <c r="GA18">
        <f t="shared" si="6"/>
        <v>0</v>
      </c>
      <c r="GB18">
        <f t="shared" si="6"/>
        <v>0</v>
      </c>
      <c r="GC18">
        <f t="shared" si="6"/>
        <v>0</v>
      </c>
      <c r="GD18">
        <f t="shared" si="6"/>
        <v>0</v>
      </c>
      <c r="GE18">
        <f t="shared" si="6"/>
        <v>0</v>
      </c>
      <c r="GF18">
        <f t="shared" si="6"/>
        <v>0</v>
      </c>
      <c r="GG18">
        <f t="shared" si="6"/>
        <v>0</v>
      </c>
      <c r="GH18">
        <f t="shared" si="6"/>
        <v>0</v>
      </c>
      <c r="GI18">
        <f t="shared" si="6"/>
        <v>0</v>
      </c>
      <c r="GJ18">
        <f t="shared" si="6"/>
        <v>0</v>
      </c>
      <c r="GK18">
        <f t="shared" si="6"/>
        <v>0</v>
      </c>
      <c r="GL18">
        <f t="shared" si="6"/>
        <v>0</v>
      </c>
      <c r="GM18">
        <f t="shared" si="6"/>
        <v>0</v>
      </c>
      <c r="GN18">
        <f t="shared" si="6"/>
        <v>0</v>
      </c>
      <c r="GO18">
        <f t="shared" si="6"/>
        <v>0</v>
      </c>
      <c r="GP18">
        <f t="shared" si="6"/>
        <v>0</v>
      </c>
      <c r="GQ18">
        <f t="shared" si="6"/>
        <v>0</v>
      </c>
      <c r="GR18">
        <f t="shared" si="6"/>
        <v>0</v>
      </c>
      <c r="GS18">
        <f t="shared" si="6"/>
        <v>0</v>
      </c>
      <c r="GT18">
        <f t="shared" si="6"/>
        <v>0</v>
      </c>
      <c r="GU18">
        <f t="shared" si="6"/>
        <v>0</v>
      </c>
      <c r="GV18">
        <f t="shared" si="6"/>
        <v>0</v>
      </c>
      <c r="GW18">
        <f t="shared" si="6"/>
        <v>0</v>
      </c>
      <c r="GX18">
        <f t="shared" si="6"/>
        <v>0</v>
      </c>
    </row>
    <row r="20" spans="1:245" x14ac:dyDescent="0.2">
      <c r="A20">
        <v>3</v>
      </c>
      <c r="B20">
        <v>1</v>
      </c>
      <c r="D20">
        <f>ROW(A405)</f>
        <v>405</v>
      </c>
      <c r="F20" t="s">
        <v>12</v>
      </c>
      <c r="G20" t="s">
        <v>13</v>
      </c>
      <c r="H20" t="s">
        <v>3</v>
      </c>
      <c r="I20">
        <v>0</v>
      </c>
      <c r="J20" t="s">
        <v>3</v>
      </c>
      <c r="K20">
        <v>-1</v>
      </c>
      <c r="L20" t="s">
        <v>3</v>
      </c>
      <c r="U20" t="s">
        <v>3</v>
      </c>
      <c r="V20">
        <v>0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P20" t="s">
        <v>3</v>
      </c>
      <c r="AQ20" t="s">
        <v>3</v>
      </c>
      <c r="AR20" t="s">
        <v>3</v>
      </c>
      <c r="AZ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X20">
        <v>0</v>
      </c>
      <c r="CF20">
        <v>0</v>
      </c>
      <c r="CG20">
        <v>0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</row>
    <row r="22" spans="1:245" x14ac:dyDescent="0.2">
      <c r="A22">
        <v>52</v>
      </c>
      <c r="B22">
        <f t="shared" ref="B22:G22" si="7">B405</f>
        <v>1</v>
      </c>
      <c r="C22">
        <f t="shared" si="7"/>
        <v>3</v>
      </c>
      <c r="D22">
        <f t="shared" si="7"/>
        <v>20</v>
      </c>
      <c r="E22">
        <f t="shared" si="7"/>
        <v>0</v>
      </c>
      <c r="F22" t="str">
        <f t="shared" si="7"/>
        <v>Новая локальная смета</v>
      </c>
      <c r="G22" t="str">
        <f t="shared" si="7"/>
        <v>ЛС № 02-01-01 Благоустройство (ул. Свободы д. 15/10)</v>
      </c>
      <c r="O22">
        <f t="shared" ref="O22:AT22" si="8">O405</f>
        <v>1349754.17</v>
      </c>
      <c r="P22">
        <f t="shared" si="8"/>
        <v>932604.97</v>
      </c>
      <c r="Q22">
        <f t="shared" si="8"/>
        <v>267563.03999999998</v>
      </c>
      <c r="R22">
        <f t="shared" si="8"/>
        <v>143899.42000000001</v>
      </c>
      <c r="S22">
        <f t="shared" si="8"/>
        <v>149586.16</v>
      </c>
      <c r="T22">
        <f t="shared" si="8"/>
        <v>0</v>
      </c>
      <c r="U22">
        <f t="shared" si="8"/>
        <v>737.09932776000005</v>
      </c>
      <c r="V22">
        <f t="shared" si="8"/>
        <v>0</v>
      </c>
      <c r="W22">
        <f t="shared" si="8"/>
        <v>0</v>
      </c>
      <c r="X22">
        <f t="shared" si="8"/>
        <v>104710.33</v>
      </c>
      <c r="Y22">
        <f t="shared" si="8"/>
        <v>14958.62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  <c r="AH22">
        <f t="shared" si="8"/>
        <v>0</v>
      </c>
      <c r="AI22">
        <f t="shared" si="8"/>
        <v>0</v>
      </c>
      <c r="AJ22">
        <f t="shared" si="8"/>
        <v>0</v>
      </c>
      <c r="AK22">
        <f t="shared" si="8"/>
        <v>0</v>
      </c>
      <c r="AL22">
        <f t="shared" si="8"/>
        <v>0</v>
      </c>
      <c r="AM22">
        <f t="shared" si="8"/>
        <v>0</v>
      </c>
      <c r="AN22">
        <f t="shared" si="8"/>
        <v>0</v>
      </c>
      <c r="AO22">
        <f t="shared" si="8"/>
        <v>0</v>
      </c>
      <c r="AP22">
        <f t="shared" si="8"/>
        <v>0</v>
      </c>
      <c r="AQ22">
        <f t="shared" si="8"/>
        <v>0</v>
      </c>
      <c r="AR22">
        <f t="shared" si="8"/>
        <v>1506516.38</v>
      </c>
      <c r="AS22">
        <f t="shared" si="8"/>
        <v>16541.66</v>
      </c>
      <c r="AT22">
        <f t="shared" si="8"/>
        <v>0</v>
      </c>
      <c r="AU22">
        <f t="shared" ref="AU22:BZ22" si="9">AU405</f>
        <v>1489974.72</v>
      </c>
      <c r="AV22">
        <f t="shared" si="9"/>
        <v>932604.97</v>
      </c>
      <c r="AW22">
        <f t="shared" si="9"/>
        <v>932604.97</v>
      </c>
      <c r="AX22">
        <f t="shared" si="9"/>
        <v>0</v>
      </c>
      <c r="AY22">
        <f t="shared" si="9"/>
        <v>932604.97</v>
      </c>
      <c r="AZ22">
        <f t="shared" si="9"/>
        <v>0</v>
      </c>
      <c r="BA22">
        <f t="shared" si="9"/>
        <v>0</v>
      </c>
      <c r="BB22">
        <f t="shared" si="9"/>
        <v>0</v>
      </c>
      <c r="BC22">
        <f t="shared" si="9"/>
        <v>0</v>
      </c>
      <c r="BD22">
        <f t="shared" si="9"/>
        <v>0</v>
      </c>
      <c r="BE22">
        <f t="shared" si="9"/>
        <v>0</v>
      </c>
      <c r="BF22">
        <f t="shared" si="9"/>
        <v>0</v>
      </c>
      <c r="BG22">
        <f t="shared" si="9"/>
        <v>0</v>
      </c>
      <c r="BH22">
        <f t="shared" si="9"/>
        <v>0</v>
      </c>
      <c r="BI22">
        <f t="shared" si="9"/>
        <v>0</v>
      </c>
      <c r="BJ22">
        <f t="shared" si="9"/>
        <v>0</v>
      </c>
      <c r="BK22">
        <f t="shared" si="9"/>
        <v>0</v>
      </c>
      <c r="BL22">
        <f t="shared" si="9"/>
        <v>0</v>
      </c>
      <c r="BM22">
        <f t="shared" si="9"/>
        <v>0</v>
      </c>
      <c r="BN22">
        <f t="shared" si="9"/>
        <v>0</v>
      </c>
      <c r="BO22">
        <f t="shared" si="9"/>
        <v>0</v>
      </c>
      <c r="BP22">
        <f t="shared" si="9"/>
        <v>0</v>
      </c>
      <c r="BQ22">
        <f t="shared" si="9"/>
        <v>0</v>
      </c>
      <c r="BR22">
        <f t="shared" si="9"/>
        <v>0</v>
      </c>
      <c r="BS22">
        <f t="shared" si="9"/>
        <v>0</v>
      </c>
      <c r="BT22">
        <f t="shared" si="9"/>
        <v>0</v>
      </c>
      <c r="BU22">
        <f t="shared" si="9"/>
        <v>0</v>
      </c>
      <c r="BV22">
        <f t="shared" si="9"/>
        <v>0</v>
      </c>
      <c r="BW22">
        <f t="shared" si="9"/>
        <v>0</v>
      </c>
      <c r="BX22">
        <f t="shared" si="9"/>
        <v>0</v>
      </c>
      <c r="BY22">
        <f t="shared" si="9"/>
        <v>0</v>
      </c>
      <c r="BZ22">
        <f t="shared" si="9"/>
        <v>0</v>
      </c>
      <c r="CA22">
        <f t="shared" ref="CA22:DF22" si="10">CA405</f>
        <v>0</v>
      </c>
      <c r="CB22">
        <f t="shared" si="10"/>
        <v>0</v>
      </c>
      <c r="CC22">
        <f t="shared" si="10"/>
        <v>0</v>
      </c>
      <c r="CD22">
        <f t="shared" si="10"/>
        <v>0</v>
      </c>
      <c r="CE22">
        <f t="shared" si="10"/>
        <v>0</v>
      </c>
      <c r="CF22">
        <f t="shared" si="10"/>
        <v>0</v>
      </c>
      <c r="CG22">
        <f t="shared" si="10"/>
        <v>0</v>
      </c>
      <c r="CH22">
        <f t="shared" si="10"/>
        <v>0</v>
      </c>
      <c r="CI22">
        <f t="shared" si="10"/>
        <v>0</v>
      </c>
      <c r="CJ22">
        <f t="shared" si="10"/>
        <v>0</v>
      </c>
      <c r="CK22">
        <f t="shared" si="10"/>
        <v>0</v>
      </c>
      <c r="CL22">
        <f t="shared" si="10"/>
        <v>0</v>
      </c>
      <c r="CM22">
        <f t="shared" si="10"/>
        <v>0</v>
      </c>
      <c r="CN22">
        <f t="shared" si="10"/>
        <v>0</v>
      </c>
      <c r="CO22">
        <f t="shared" si="10"/>
        <v>0</v>
      </c>
      <c r="CP22">
        <f t="shared" si="10"/>
        <v>0</v>
      </c>
      <c r="CQ22">
        <f t="shared" si="10"/>
        <v>0</v>
      </c>
      <c r="CR22">
        <f t="shared" si="10"/>
        <v>0</v>
      </c>
      <c r="CS22">
        <f t="shared" si="10"/>
        <v>0</v>
      </c>
      <c r="CT22">
        <f t="shared" si="10"/>
        <v>0</v>
      </c>
      <c r="CU22">
        <f t="shared" si="10"/>
        <v>0</v>
      </c>
      <c r="CV22">
        <f t="shared" si="10"/>
        <v>0</v>
      </c>
      <c r="CW22">
        <f t="shared" si="10"/>
        <v>0</v>
      </c>
      <c r="CX22">
        <f t="shared" si="10"/>
        <v>0</v>
      </c>
      <c r="CY22">
        <f t="shared" si="10"/>
        <v>0</v>
      </c>
      <c r="CZ22">
        <f t="shared" si="10"/>
        <v>0</v>
      </c>
      <c r="DA22">
        <f t="shared" si="10"/>
        <v>0</v>
      </c>
      <c r="DB22">
        <f t="shared" si="10"/>
        <v>0</v>
      </c>
      <c r="DC22">
        <f t="shared" si="10"/>
        <v>0</v>
      </c>
      <c r="DD22">
        <f t="shared" si="10"/>
        <v>0</v>
      </c>
      <c r="DE22">
        <f t="shared" si="10"/>
        <v>0</v>
      </c>
      <c r="DF22">
        <f t="shared" si="10"/>
        <v>0</v>
      </c>
      <c r="DG22">
        <f t="shared" ref="DG22:EL22" si="11">DG405</f>
        <v>0</v>
      </c>
      <c r="DH22">
        <f t="shared" si="11"/>
        <v>0</v>
      </c>
      <c r="DI22">
        <f t="shared" si="11"/>
        <v>0</v>
      </c>
      <c r="DJ22">
        <f t="shared" si="11"/>
        <v>0</v>
      </c>
      <c r="DK22">
        <f t="shared" si="11"/>
        <v>0</v>
      </c>
      <c r="DL22">
        <f t="shared" si="11"/>
        <v>0</v>
      </c>
      <c r="DM22">
        <f t="shared" si="11"/>
        <v>0</v>
      </c>
      <c r="DN22">
        <f t="shared" si="11"/>
        <v>0</v>
      </c>
      <c r="DO22">
        <f t="shared" si="11"/>
        <v>0</v>
      </c>
      <c r="DP22">
        <f t="shared" si="11"/>
        <v>0</v>
      </c>
      <c r="DQ22">
        <f t="shared" si="11"/>
        <v>0</v>
      </c>
      <c r="DR22">
        <f t="shared" si="11"/>
        <v>0</v>
      </c>
      <c r="DS22">
        <f t="shared" si="11"/>
        <v>0</v>
      </c>
      <c r="DT22">
        <f t="shared" si="11"/>
        <v>0</v>
      </c>
      <c r="DU22">
        <f t="shared" si="11"/>
        <v>0</v>
      </c>
      <c r="DV22">
        <f t="shared" si="11"/>
        <v>0</v>
      </c>
      <c r="DW22">
        <f t="shared" si="11"/>
        <v>0</v>
      </c>
      <c r="DX22">
        <f t="shared" si="11"/>
        <v>0</v>
      </c>
      <c r="DY22">
        <f t="shared" si="11"/>
        <v>0</v>
      </c>
      <c r="DZ22">
        <f t="shared" si="11"/>
        <v>0</v>
      </c>
      <c r="EA22">
        <f t="shared" si="11"/>
        <v>0</v>
      </c>
      <c r="EB22">
        <f t="shared" si="11"/>
        <v>0</v>
      </c>
      <c r="EC22">
        <f t="shared" si="11"/>
        <v>0</v>
      </c>
      <c r="ED22">
        <f t="shared" si="11"/>
        <v>0</v>
      </c>
      <c r="EE22">
        <f t="shared" si="11"/>
        <v>0</v>
      </c>
      <c r="EF22">
        <f t="shared" si="11"/>
        <v>0</v>
      </c>
      <c r="EG22">
        <f t="shared" si="11"/>
        <v>0</v>
      </c>
      <c r="EH22">
        <f t="shared" si="11"/>
        <v>0</v>
      </c>
      <c r="EI22">
        <f t="shared" si="11"/>
        <v>0</v>
      </c>
      <c r="EJ22">
        <f t="shared" si="11"/>
        <v>0</v>
      </c>
      <c r="EK22">
        <f t="shared" si="11"/>
        <v>0</v>
      </c>
      <c r="EL22">
        <f t="shared" si="11"/>
        <v>0</v>
      </c>
      <c r="EM22">
        <f t="shared" ref="EM22:FR22" si="12">EM405</f>
        <v>0</v>
      </c>
      <c r="EN22">
        <f t="shared" si="12"/>
        <v>0</v>
      </c>
      <c r="EO22">
        <f t="shared" si="12"/>
        <v>0</v>
      </c>
      <c r="EP22">
        <f t="shared" si="12"/>
        <v>0</v>
      </c>
      <c r="EQ22">
        <f t="shared" si="12"/>
        <v>0</v>
      </c>
      <c r="ER22">
        <f t="shared" si="12"/>
        <v>0</v>
      </c>
      <c r="ES22">
        <f t="shared" si="12"/>
        <v>0</v>
      </c>
      <c r="ET22">
        <f t="shared" si="12"/>
        <v>0</v>
      </c>
      <c r="EU22">
        <f t="shared" si="12"/>
        <v>0</v>
      </c>
      <c r="EV22">
        <f t="shared" si="12"/>
        <v>0</v>
      </c>
      <c r="EW22">
        <f t="shared" si="12"/>
        <v>0</v>
      </c>
      <c r="EX22">
        <f t="shared" si="12"/>
        <v>0</v>
      </c>
      <c r="EY22">
        <f t="shared" si="12"/>
        <v>0</v>
      </c>
      <c r="EZ22">
        <f t="shared" si="12"/>
        <v>0</v>
      </c>
      <c r="FA22">
        <f t="shared" si="12"/>
        <v>0</v>
      </c>
      <c r="FB22">
        <f t="shared" si="12"/>
        <v>0</v>
      </c>
      <c r="FC22">
        <f t="shared" si="12"/>
        <v>0</v>
      </c>
      <c r="FD22">
        <f t="shared" si="12"/>
        <v>0</v>
      </c>
      <c r="FE22">
        <f t="shared" si="12"/>
        <v>0</v>
      </c>
      <c r="FF22">
        <f t="shared" si="12"/>
        <v>0</v>
      </c>
      <c r="FG22">
        <f t="shared" si="12"/>
        <v>0</v>
      </c>
      <c r="FH22">
        <f t="shared" si="12"/>
        <v>0</v>
      </c>
      <c r="FI22">
        <f t="shared" si="12"/>
        <v>0</v>
      </c>
      <c r="FJ22">
        <f t="shared" si="12"/>
        <v>0</v>
      </c>
      <c r="FK22">
        <f t="shared" si="12"/>
        <v>0</v>
      </c>
      <c r="FL22">
        <f t="shared" si="12"/>
        <v>0</v>
      </c>
      <c r="FM22">
        <f t="shared" si="12"/>
        <v>0</v>
      </c>
      <c r="FN22">
        <f t="shared" si="12"/>
        <v>0</v>
      </c>
      <c r="FO22">
        <f t="shared" si="12"/>
        <v>0</v>
      </c>
      <c r="FP22">
        <f t="shared" si="12"/>
        <v>0</v>
      </c>
      <c r="FQ22">
        <f t="shared" si="12"/>
        <v>0</v>
      </c>
      <c r="FR22">
        <f t="shared" si="12"/>
        <v>0</v>
      </c>
      <c r="FS22">
        <f t="shared" ref="FS22:GX22" si="13">FS405</f>
        <v>0</v>
      </c>
      <c r="FT22">
        <f t="shared" si="13"/>
        <v>0</v>
      </c>
      <c r="FU22">
        <f t="shared" si="13"/>
        <v>0</v>
      </c>
      <c r="FV22">
        <f t="shared" si="13"/>
        <v>0</v>
      </c>
      <c r="FW22">
        <f t="shared" si="13"/>
        <v>0</v>
      </c>
      <c r="FX22">
        <f t="shared" si="13"/>
        <v>0</v>
      </c>
      <c r="FY22">
        <f t="shared" si="13"/>
        <v>0</v>
      </c>
      <c r="FZ22">
        <f t="shared" si="13"/>
        <v>0</v>
      </c>
      <c r="GA22">
        <f t="shared" si="13"/>
        <v>0</v>
      </c>
      <c r="GB22">
        <f t="shared" si="13"/>
        <v>0</v>
      </c>
      <c r="GC22">
        <f t="shared" si="13"/>
        <v>0</v>
      </c>
      <c r="GD22">
        <f t="shared" si="13"/>
        <v>0</v>
      </c>
      <c r="GE22">
        <f t="shared" si="13"/>
        <v>0</v>
      </c>
      <c r="GF22">
        <f t="shared" si="13"/>
        <v>0</v>
      </c>
      <c r="GG22">
        <f t="shared" si="13"/>
        <v>0</v>
      </c>
      <c r="GH22">
        <f t="shared" si="13"/>
        <v>0</v>
      </c>
      <c r="GI22">
        <f t="shared" si="13"/>
        <v>0</v>
      </c>
      <c r="GJ22">
        <f t="shared" si="13"/>
        <v>0</v>
      </c>
      <c r="GK22">
        <f t="shared" si="13"/>
        <v>0</v>
      </c>
      <c r="GL22">
        <f t="shared" si="13"/>
        <v>0</v>
      </c>
      <c r="GM22">
        <f t="shared" si="13"/>
        <v>0</v>
      </c>
      <c r="GN22">
        <f t="shared" si="13"/>
        <v>0</v>
      </c>
      <c r="GO22">
        <f t="shared" si="13"/>
        <v>0</v>
      </c>
      <c r="GP22">
        <f t="shared" si="13"/>
        <v>0</v>
      </c>
      <c r="GQ22">
        <f t="shared" si="13"/>
        <v>0</v>
      </c>
      <c r="GR22">
        <f t="shared" si="13"/>
        <v>0</v>
      </c>
      <c r="GS22">
        <f t="shared" si="13"/>
        <v>0</v>
      </c>
      <c r="GT22">
        <f t="shared" si="13"/>
        <v>0</v>
      </c>
      <c r="GU22">
        <f t="shared" si="13"/>
        <v>0</v>
      </c>
      <c r="GV22">
        <f t="shared" si="13"/>
        <v>0</v>
      </c>
      <c r="GW22">
        <f t="shared" si="13"/>
        <v>0</v>
      </c>
      <c r="GX22">
        <f t="shared" si="13"/>
        <v>0</v>
      </c>
    </row>
    <row r="24" spans="1:245" x14ac:dyDescent="0.2">
      <c r="A24">
        <v>4</v>
      </c>
      <c r="B24">
        <v>1</v>
      </c>
      <c r="D24">
        <f>ROW(A65)</f>
        <v>65</v>
      </c>
      <c r="F24" t="s">
        <v>14</v>
      </c>
      <c r="G24" t="s">
        <v>15</v>
      </c>
      <c r="H24" t="s">
        <v>3</v>
      </c>
      <c r="I24">
        <v>0</v>
      </c>
      <c r="K24">
        <v>-1</v>
      </c>
      <c r="U24" t="s">
        <v>3</v>
      </c>
      <c r="V24">
        <v>0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P24" t="s">
        <v>3</v>
      </c>
      <c r="AQ24" t="s">
        <v>3</v>
      </c>
      <c r="AR24" t="s">
        <v>3</v>
      </c>
      <c r="AZ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</v>
      </c>
      <c r="BO24" t="s">
        <v>3</v>
      </c>
      <c r="BP24" t="s">
        <v>3</v>
      </c>
      <c r="BX24">
        <v>0</v>
      </c>
      <c r="CJ24">
        <v>0</v>
      </c>
    </row>
    <row r="26" spans="1:245" x14ac:dyDescent="0.2">
      <c r="A26">
        <v>52</v>
      </c>
      <c r="B26">
        <f t="shared" ref="B26:G26" si="14">B65</f>
        <v>1</v>
      </c>
      <c r="C26">
        <f t="shared" si="14"/>
        <v>4</v>
      </c>
      <c r="D26">
        <f t="shared" si="14"/>
        <v>24</v>
      </c>
      <c r="E26">
        <f t="shared" si="14"/>
        <v>0</v>
      </c>
      <c r="F26" t="str">
        <f t="shared" si="14"/>
        <v>Новый раздел</v>
      </c>
      <c r="G26" t="str">
        <f t="shared" si="14"/>
        <v>Демонтаж покрытий</v>
      </c>
      <c r="O26">
        <f t="shared" ref="O26:AT26" si="15">O65</f>
        <v>284001.46000000002</v>
      </c>
      <c r="P26">
        <f t="shared" si="15"/>
        <v>15919.8</v>
      </c>
      <c r="Q26">
        <f t="shared" si="15"/>
        <v>208643.18</v>
      </c>
      <c r="R26">
        <f t="shared" si="15"/>
        <v>110793.59</v>
      </c>
      <c r="S26">
        <f t="shared" si="15"/>
        <v>59438.48</v>
      </c>
      <c r="T26">
        <f t="shared" si="15"/>
        <v>0</v>
      </c>
      <c r="U26">
        <f t="shared" si="15"/>
        <v>305.22513576</v>
      </c>
      <c r="V26">
        <f t="shared" si="15"/>
        <v>0</v>
      </c>
      <c r="W26">
        <f t="shared" si="15"/>
        <v>0</v>
      </c>
      <c r="X26">
        <f t="shared" si="15"/>
        <v>41606.94</v>
      </c>
      <c r="Y26">
        <f t="shared" si="15"/>
        <v>5943.85</v>
      </c>
      <c r="Z26">
        <f t="shared" si="15"/>
        <v>0</v>
      </c>
      <c r="AA26">
        <f t="shared" si="15"/>
        <v>0</v>
      </c>
      <c r="AB26">
        <f t="shared" si="15"/>
        <v>284001.46000000002</v>
      </c>
      <c r="AC26">
        <f t="shared" si="15"/>
        <v>15919.8</v>
      </c>
      <c r="AD26">
        <f t="shared" si="15"/>
        <v>208643.18</v>
      </c>
      <c r="AE26">
        <f t="shared" si="15"/>
        <v>110793.59</v>
      </c>
      <c r="AF26">
        <f t="shared" si="15"/>
        <v>59438.48</v>
      </c>
      <c r="AG26">
        <f t="shared" si="15"/>
        <v>0</v>
      </c>
      <c r="AH26">
        <f t="shared" si="15"/>
        <v>305.22513576</v>
      </c>
      <c r="AI26">
        <f t="shared" si="15"/>
        <v>0</v>
      </c>
      <c r="AJ26">
        <f t="shared" si="15"/>
        <v>0</v>
      </c>
      <c r="AK26">
        <f t="shared" si="15"/>
        <v>41606.94</v>
      </c>
      <c r="AL26">
        <f t="shared" si="15"/>
        <v>5943.85</v>
      </c>
      <c r="AM26">
        <f t="shared" si="15"/>
        <v>0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337601.99</v>
      </c>
      <c r="AS26">
        <f t="shared" si="15"/>
        <v>15919.8</v>
      </c>
      <c r="AT26">
        <f t="shared" si="15"/>
        <v>0</v>
      </c>
      <c r="AU26">
        <f t="shared" ref="AU26:BZ26" si="16">AU65</f>
        <v>321682.19</v>
      </c>
      <c r="AV26">
        <f t="shared" si="16"/>
        <v>15919.8</v>
      </c>
      <c r="AW26">
        <f t="shared" si="16"/>
        <v>15919.8</v>
      </c>
      <c r="AX26">
        <f t="shared" si="16"/>
        <v>0</v>
      </c>
      <c r="AY26">
        <f t="shared" si="16"/>
        <v>15919.8</v>
      </c>
      <c r="AZ26">
        <f t="shared" si="16"/>
        <v>0</v>
      </c>
      <c r="BA26">
        <f t="shared" si="16"/>
        <v>0</v>
      </c>
      <c r="BB26">
        <f t="shared" si="16"/>
        <v>0</v>
      </c>
      <c r="BC26">
        <f t="shared" si="16"/>
        <v>0</v>
      </c>
      <c r="BD26">
        <f t="shared" si="16"/>
        <v>0</v>
      </c>
      <c r="BE26">
        <f t="shared" si="16"/>
        <v>0</v>
      </c>
      <c r="BF26">
        <f t="shared" si="16"/>
        <v>0</v>
      </c>
      <c r="BG26">
        <f t="shared" si="16"/>
        <v>0</v>
      </c>
      <c r="BH26">
        <f t="shared" si="16"/>
        <v>0</v>
      </c>
      <c r="BI26">
        <f t="shared" si="16"/>
        <v>0</v>
      </c>
      <c r="BJ26">
        <f t="shared" si="16"/>
        <v>0</v>
      </c>
      <c r="BK26">
        <f t="shared" si="16"/>
        <v>0</v>
      </c>
      <c r="BL26">
        <f t="shared" si="16"/>
        <v>0</v>
      </c>
      <c r="BM26">
        <f t="shared" si="16"/>
        <v>0</v>
      </c>
      <c r="BN26">
        <f t="shared" si="16"/>
        <v>0</v>
      </c>
      <c r="BO26">
        <f t="shared" si="16"/>
        <v>0</v>
      </c>
      <c r="BP26">
        <f t="shared" si="16"/>
        <v>0</v>
      </c>
      <c r="BQ26">
        <f t="shared" si="16"/>
        <v>0</v>
      </c>
      <c r="BR26">
        <f t="shared" si="16"/>
        <v>0</v>
      </c>
      <c r="BS26">
        <f t="shared" si="16"/>
        <v>0</v>
      </c>
      <c r="BT26">
        <f t="shared" si="16"/>
        <v>0</v>
      </c>
      <c r="BU26">
        <f t="shared" si="16"/>
        <v>0</v>
      </c>
      <c r="BV26">
        <f t="shared" si="16"/>
        <v>0</v>
      </c>
      <c r="BW26">
        <f t="shared" si="16"/>
        <v>0</v>
      </c>
      <c r="BX26">
        <f t="shared" si="16"/>
        <v>0</v>
      </c>
      <c r="BY26">
        <f t="shared" si="16"/>
        <v>0</v>
      </c>
      <c r="BZ26">
        <f t="shared" si="16"/>
        <v>0</v>
      </c>
      <c r="CA26">
        <f t="shared" ref="CA26:DF26" si="17">CA65</f>
        <v>337601.99</v>
      </c>
      <c r="CB26">
        <f t="shared" si="17"/>
        <v>15919.8</v>
      </c>
      <c r="CC26">
        <f t="shared" si="17"/>
        <v>0</v>
      </c>
      <c r="CD26">
        <f t="shared" si="17"/>
        <v>321682.19</v>
      </c>
      <c r="CE26">
        <f t="shared" si="17"/>
        <v>15919.8</v>
      </c>
      <c r="CF26">
        <f t="shared" si="17"/>
        <v>15919.8</v>
      </c>
      <c r="CG26">
        <f t="shared" si="17"/>
        <v>0</v>
      </c>
      <c r="CH26">
        <f t="shared" si="17"/>
        <v>15919.8</v>
      </c>
      <c r="CI26">
        <f t="shared" si="17"/>
        <v>0</v>
      </c>
      <c r="CJ26">
        <f t="shared" si="17"/>
        <v>0</v>
      </c>
      <c r="CK26">
        <f t="shared" si="17"/>
        <v>0</v>
      </c>
      <c r="CL26">
        <f t="shared" si="17"/>
        <v>0</v>
      </c>
      <c r="CM26">
        <f t="shared" si="17"/>
        <v>0</v>
      </c>
      <c r="CN26">
        <f t="shared" si="17"/>
        <v>0</v>
      </c>
      <c r="CO26">
        <f t="shared" si="17"/>
        <v>0</v>
      </c>
      <c r="CP26">
        <f t="shared" si="17"/>
        <v>0</v>
      </c>
      <c r="CQ26">
        <f t="shared" si="17"/>
        <v>0</v>
      </c>
      <c r="CR26">
        <f t="shared" si="17"/>
        <v>0</v>
      </c>
      <c r="CS26">
        <f t="shared" si="17"/>
        <v>0</v>
      </c>
      <c r="CT26">
        <f t="shared" si="17"/>
        <v>0</v>
      </c>
      <c r="CU26">
        <f t="shared" si="17"/>
        <v>0</v>
      </c>
      <c r="CV26">
        <f t="shared" si="17"/>
        <v>0</v>
      </c>
      <c r="CW26">
        <f t="shared" si="17"/>
        <v>0</v>
      </c>
      <c r="CX26">
        <f t="shared" si="17"/>
        <v>0</v>
      </c>
      <c r="CY26">
        <f t="shared" si="17"/>
        <v>0</v>
      </c>
      <c r="CZ26">
        <f t="shared" si="17"/>
        <v>0</v>
      </c>
      <c r="DA26">
        <f t="shared" si="17"/>
        <v>0</v>
      </c>
      <c r="DB26">
        <f t="shared" si="17"/>
        <v>0</v>
      </c>
      <c r="DC26">
        <f t="shared" si="17"/>
        <v>0</v>
      </c>
      <c r="DD26">
        <f t="shared" si="17"/>
        <v>0</v>
      </c>
      <c r="DE26">
        <f t="shared" si="17"/>
        <v>0</v>
      </c>
      <c r="DF26">
        <f t="shared" si="17"/>
        <v>0</v>
      </c>
      <c r="DG26">
        <f t="shared" ref="DG26:EL26" si="18">DG65</f>
        <v>0</v>
      </c>
      <c r="DH26">
        <f t="shared" si="18"/>
        <v>0</v>
      </c>
      <c r="DI26">
        <f t="shared" si="18"/>
        <v>0</v>
      </c>
      <c r="DJ26">
        <f t="shared" si="18"/>
        <v>0</v>
      </c>
      <c r="DK26">
        <f t="shared" si="18"/>
        <v>0</v>
      </c>
      <c r="DL26">
        <f t="shared" si="18"/>
        <v>0</v>
      </c>
      <c r="DM26">
        <f t="shared" si="18"/>
        <v>0</v>
      </c>
      <c r="DN26">
        <f t="shared" si="18"/>
        <v>0</v>
      </c>
      <c r="DO26">
        <f t="shared" si="18"/>
        <v>0</v>
      </c>
      <c r="DP26">
        <f t="shared" si="18"/>
        <v>0</v>
      </c>
      <c r="DQ26">
        <f t="shared" si="18"/>
        <v>0</v>
      </c>
      <c r="DR26">
        <f t="shared" si="18"/>
        <v>0</v>
      </c>
      <c r="DS26">
        <f t="shared" si="18"/>
        <v>0</v>
      </c>
      <c r="DT26">
        <f t="shared" si="18"/>
        <v>0</v>
      </c>
      <c r="DU26">
        <f t="shared" si="18"/>
        <v>0</v>
      </c>
      <c r="DV26">
        <f t="shared" si="18"/>
        <v>0</v>
      </c>
      <c r="DW26">
        <f t="shared" si="18"/>
        <v>0</v>
      </c>
      <c r="DX26">
        <f t="shared" si="18"/>
        <v>0</v>
      </c>
      <c r="DY26">
        <f t="shared" si="18"/>
        <v>0</v>
      </c>
      <c r="DZ26">
        <f t="shared" si="18"/>
        <v>0</v>
      </c>
      <c r="EA26">
        <f t="shared" si="18"/>
        <v>0</v>
      </c>
      <c r="EB26">
        <f t="shared" si="18"/>
        <v>0</v>
      </c>
      <c r="EC26">
        <f t="shared" si="18"/>
        <v>0</v>
      </c>
      <c r="ED26">
        <f t="shared" si="18"/>
        <v>0</v>
      </c>
      <c r="EE26">
        <f t="shared" si="18"/>
        <v>0</v>
      </c>
      <c r="EF26">
        <f t="shared" si="18"/>
        <v>0</v>
      </c>
      <c r="EG26">
        <f t="shared" si="18"/>
        <v>0</v>
      </c>
      <c r="EH26">
        <f t="shared" si="18"/>
        <v>0</v>
      </c>
      <c r="EI26">
        <f t="shared" si="18"/>
        <v>0</v>
      </c>
      <c r="EJ26">
        <f t="shared" si="18"/>
        <v>0</v>
      </c>
      <c r="EK26">
        <f t="shared" si="18"/>
        <v>0</v>
      </c>
      <c r="EL26">
        <f t="shared" si="18"/>
        <v>0</v>
      </c>
      <c r="EM26">
        <f t="shared" ref="EM26:FR26" si="19">EM65</f>
        <v>0</v>
      </c>
      <c r="EN26">
        <f t="shared" si="19"/>
        <v>0</v>
      </c>
      <c r="EO26">
        <f t="shared" si="19"/>
        <v>0</v>
      </c>
      <c r="EP26">
        <f t="shared" si="19"/>
        <v>0</v>
      </c>
      <c r="EQ26">
        <f t="shared" si="19"/>
        <v>0</v>
      </c>
      <c r="ER26">
        <f t="shared" si="19"/>
        <v>0</v>
      </c>
      <c r="ES26">
        <f t="shared" si="19"/>
        <v>0</v>
      </c>
      <c r="ET26">
        <f t="shared" si="19"/>
        <v>0</v>
      </c>
      <c r="EU26">
        <f t="shared" si="19"/>
        <v>0</v>
      </c>
      <c r="EV26">
        <f t="shared" si="19"/>
        <v>0</v>
      </c>
      <c r="EW26">
        <f t="shared" si="19"/>
        <v>0</v>
      </c>
      <c r="EX26">
        <f t="shared" si="19"/>
        <v>0</v>
      </c>
      <c r="EY26">
        <f t="shared" si="19"/>
        <v>0</v>
      </c>
      <c r="EZ26">
        <f t="shared" si="19"/>
        <v>0</v>
      </c>
      <c r="FA26">
        <f t="shared" si="19"/>
        <v>0</v>
      </c>
      <c r="FB26">
        <f t="shared" si="19"/>
        <v>0</v>
      </c>
      <c r="FC26">
        <f t="shared" si="19"/>
        <v>0</v>
      </c>
      <c r="FD26">
        <f t="shared" si="19"/>
        <v>0</v>
      </c>
      <c r="FE26">
        <f t="shared" si="19"/>
        <v>0</v>
      </c>
      <c r="FF26">
        <f t="shared" si="19"/>
        <v>0</v>
      </c>
      <c r="FG26">
        <f t="shared" si="19"/>
        <v>0</v>
      </c>
      <c r="FH26">
        <f t="shared" si="19"/>
        <v>0</v>
      </c>
      <c r="FI26">
        <f t="shared" si="19"/>
        <v>0</v>
      </c>
      <c r="FJ26">
        <f t="shared" si="19"/>
        <v>0</v>
      </c>
      <c r="FK26">
        <f t="shared" si="19"/>
        <v>0</v>
      </c>
      <c r="FL26">
        <f t="shared" si="19"/>
        <v>0</v>
      </c>
      <c r="FM26">
        <f t="shared" si="19"/>
        <v>0</v>
      </c>
      <c r="FN26">
        <f t="shared" si="19"/>
        <v>0</v>
      </c>
      <c r="FO26">
        <f t="shared" si="19"/>
        <v>0</v>
      </c>
      <c r="FP26">
        <f t="shared" si="19"/>
        <v>0</v>
      </c>
      <c r="FQ26">
        <f t="shared" si="19"/>
        <v>0</v>
      </c>
      <c r="FR26">
        <f t="shared" si="19"/>
        <v>0</v>
      </c>
      <c r="FS26">
        <f t="shared" ref="FS26:GX26" si="20">FS65</f>
        <v>0</v>
      </c>
      <c r="FT26">
        <f t="shared" si="20"/>
        <v>0</v>
      </c>
      <c r="FU26">
        <f t="shared" si="20"/>
        <v>0</v>
      </c>
      <c r="FV26">
        <f t="shared" si="20"/>
        <v>0</v>
      </c>
      <c r="FW26">
        <f t="shared" si="20"/>
        <v>0</v>
      </c>
      <c r="FX26">
        <f t="shared" si="20"/>
        <v>0</v>
      </c>
      <c r="FY26">
        <f t="shared" si="20"/>
        <v>0</v>
      </c>
      <c r="FZ26">
        <f t="shared" si="20"/>
        <v>0</v>
      </c>
      <c r="GA26">
        <f t="shared" si="20"/>
        <v>0</v>
      </c>
      <c r="GB26">
        <f t="shared" si="20"/>
        <v>0</v>
      </c>
      <c r="GC26">
        <f t="shared" si="20"/>
        <v>0</v>
      </c>
      <c r="GD26">
        <f t="shared" si="20"/>
        <v>0</v>
      </c>
      <c r="GE26">
        <f t="shared" si="20"/>
        <v>0</v>
      </c>
      <c r="GF26">
        <f t="shared" si="20"/>
        <v>0</v>
      </c>
      <c r="GG26">
        <f t="shared" si="20"/>
        <v>0</v>
      </c>
      <c r="GH26">
        <f t="shared" si="20"/>
        <v>0</v>
      </c>
      <c r="GI26">
        <f t="shared" si="20"/>
        <v>0</v>
      </c>
      <c r="GJ26">
        <f t="shared" si="20"/>
        <v>0</v>
      </c>
      <c r="GK26">
        <f t="shared" si="20"/>
        <v>0</v>
      </c>
      <c r="GL26">
        <f t="shared" si="20"/>
        <v>0</v>
      </c>
      <c r="GM26">
        <f t="shared" si="20"/>
        <v>0</v>
      </c>
      <c r="GN26">
        <f t="shared" si="20"/>
        <v>0</v>
      </c>
      <c r="GO26">
        <f t="shared" si="20"/>
        <v>0</v>
      </c>
      <c r="GP26">
        <f t="shared" si="20"/>
        <v>0</v>
      </c>
      <c r="GQ26">
        <f t="shared" si="20"/>
        <v>0</v>
      </c>
      <c r="GR26">
        <f t="shared" si="20"/>
        <v>0</v>
      </c>
      <c r="GS26">
        <f t="shared" si="20"/>
        <v>0</v>
      </c>
      <c r="GT26">
        <f t="shared" si="20"/>
        <v>0</v>
      </c>
      <c r="GU26">
        <f t="shared" si="20"/>
        <v>0</v>
      </c>
      <c r="GV26">
        <f t="shared" si="20"/>
        <v>0</v>
      </c>
      <c r="GW26">
        <f t="shared" si="20"/>
        <v>0</v>
      </c>
      <c r="GX26">
        <f t="shared" si="20"/>
        <v>0</v>
      </c>
    </row>
    <row r="28" spans="1:245" x14ac:dyDescent="0.2">
      <c r="A28">
        <v>17</v>
      </c>
      <c r="B28">
        <v>1</v>
      </c>
      <c r="D28">
        <f>ROW(EtalonRes!A5)</f>
        <v>5</v>
      </c>
      <c r="E28" t="s">
        <v>3</v>
      </c>
      <c r="F28" t="s">
        <v>16</v>
      </c>
      <c r="G28" t="s">
        <v>17</v>
      </c>
      <c r="H28" t="s">
        <v>18</v>
      </c>
      <c r="I28">
        <f>ROUND(F435+F436,9)</f>
        <v>1136</v>
      </c>
      <c r="J28">
        <v>0</v>
      </c>
      <c r="O28">
        <f t="shared" ref="O28:O63" si="21">ROUND(CP28,2)</f>
        <v>101569.76</v>
      </c>
      <c r="P28">
        <f t="shared" ref="P28:P63" si="22">ROUND(CQ28*I28,2)</f>
        <v>10678.4</v>
      </c>
      <c r="Q28">
        <f t="shared" ref="Q28:Q63" si="23">ROUND(CR28*I28,2)</f>
        <v>82950.720000000001</v>
      </c>
      <c r="R28">
        <f t="shared" ref="R28:R63" si="24">ROUND(CS28*I28,2)</f>
        <v>42088.800000000003</v>
      </c>
      <c r="S28">
        <f t="shared" ref="S28:S63" si="25">ROUND(CT28*I28,2)</f>
        <v>7940.64</v>
      </c>
      <c r="T28">
        <f t="shared" ref="T28:T63" si="26">ROUND(CU28*I28,2)</f>
        <v>0</v>
      </c>
      <c r="U28">
        <f t="shared" ref="U28:U63" si="27">CV28*I28</f>
        <v>34.08</v>
      </c>
      <c r="V28">
        <f t="shared" ref="V28:V63" si="28">CW28*I28</f>
        <v>0</v>
      </c>
      <c r="W28">
        <f t="shared" ref="W28:W63" si="29">ROUND(CX28*I28,2)</f>
        <v>0</v>
      </c>
      <c r="X28">
        <f t="shared" ref="X28:X63" si="30">ROUND(CY28,2)</f>
        <v>5558.45</v>
      </c>
      <c r="Y28">
        <f t="shared" ref="Y28:Y63" si="31">ROUND(CZ28,2)</f>
        <v>794.06</v>
      </c>
      <c r="AA28">
        <v>-1</v>
      </c>
      <c r="AB28">
        <f t="shared" ref="AB28:AB63" si="32">ROUND((AC28+AD28+AF28),6)</f>
        <v>89.41</v>
      </c>
      <c r="AC28">
        <f>ROUND((ES28),6)</f>
        <v>9.4</v>
      </c>
      <c r="AD28">
        <f>ROUND((((ET28)-(EU28))+AE28),6)</f>
        <v>73.02</v>
      </c>
      <c r="AE28">
        <f t="shared" ref="AE28:AF32" si="33">ROUND((EU28),6)</f>
        <v>37.049999999999997</v>
      </c>
      <c r="AF28">
        <f t="shared" si="33"/>
        <v>6.99</v>
      </c>
      <c r="AG28">
        <f t="shared" ref="AG28:AG63" si="34">ROUND((AP28),6)</f>
        <v>0</v>
      </c>
      <c r="AH28">
        <f t="shared" ref="AH28:AI32" si="35">(EW28)</f>
        <v>0.03</v>
      </c>
      <c r="AI28">
        <f t="shared" si="35"/>
        <v>0</v>
      </c>
      <c r="AJ28">
        <f t="shared" ref="AJ28:AJ63" si="36">(AS28)</f>
        <v>0</v>
      </c>
      <c r="AK28">
        <v>89.41</v>
      </c>
      <c r="AL28">
        <v>9.4</v>
      </c>
      <c r="AM28">
        <v>73.02</v>
      </c>
      <c r="AN28">
        <v>37.049999999999997</v>
      </c>
      <c r="AO28">
        <v>6.99</v>
      </c>
      <c r="AP28">
        <v>0</v>
      </c>
      <c r="AQ28">
        <v>0.03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19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63" si="37">(P28+Q28+S28)</f>
        <v>101569.76</v>
      </c>
      <c r="CQ28">
        <f t="shared" ref="CQ28:CQ62" si="38">(AC28*BC28*AW28)</f>
        <v>9.4</v>
      </c>
      <c r="CR28">
        <f>((((ET28)*BB28-(EU28)*BS28)+AE28*BS28)*AV28)</f>
        <v>73.02</v>
      </c>
      <c r="CS28">
        <f t="shared" ref="CS28:CS62" si="39">(AE28*BS28*AV28)</f>
        <v>37.049999999999997</v>
      </c>
      <c r="CT28">
        <f t="shared" ref="CT28:CT62" si="40">(AF28*BA28*AV28)</f>
        <v>6.99</v>
      </c>
      <c r="CU28">
        <f t="shared" ref="CU28:CU63" si="41">AG28</f>
        <v>0</v>
      </c>
      <c r="CV28">
        <f t="shared" ref="CV28:CV62" si="42">(AH28*AV28)</f>
        <v>0.03</v>
      </c>
      <c r="CW28">
        <f t="shared" ref="CW28:CW63" si="43">AI28</f>
        <v>0</v>
      </c>
      <c r="CX28">
        <f t="shared" ref="CX28:CX63" si="44">AJ28</f>
        <v>0</v>
      </c>
      <c r="CY28">
        <f t="shared" ref="CY28:CY62" si="45">((S28*BZ28)/100)</f>
        <v>5558.4480000000003</v>
      </c>
      <c r="CZ28">
        <f t="shared" ref="CZ28:CZ62" si="46">((S28*CA28)/100)</f>
        <v>794.06400000000008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18</v>
      </c>
      <c r="DW28" t="s">
        <v>18</v>
      </c>
      <c r="DX28">
        <v>1</v>
      </c>
      <c r="EE28">
        <v>67874524</v>
      </c>
      <c r="EF28">
        <v>1</v>
      </c>
      <c r="EG28" t="s">
        <v>20</v>
      </c>
      <c r="EH28">
        <v>0</v>
      </c>
      <c r="EI28" t="s">
        <v>3</v>
      </c>
      <c r="EJ28">
        <v>4</v>
      </c>
      <c r="EK28">
        <v>0</v>
      </c>
      <c r="EL28" t="s">
        <v>21</v>
      </c>
      <c r="EM28" t="s">
        <v>22</v>
      </c>
      <c r="EO28" t="s">
        <v>3</v>
      </c>
      <c r="EQ28">
        <v>132096</v>
      </c>
      <c r="ER28">
        <v>89.41</v>
      </c>
      <c r="ES28">
        <v>9.4</v>
      </c>
      <c r="ET28">
        <v>73.02</v>
      </c>
      <c r="EU28">
        <v>37.049999999999997</v>
      </c>
      <c r="EV28">
        <v>6.99</v>
      </c>
      <c r="EW28">
        <v>0.03</v>
      </c>
      <c r="EX28">
        <v>0</v>
      </c>
      <c r="EY28">
        <v>0</v>
      </c>
      <c r="FQ28">
        <v>0</v>
      </c>
      <c r="FR28">
        <f t="shared" ref="FR28:FR63" si="47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-1582374487</v>
      </c>
      <c r="GG28">
        <v>2</v>
      </c>
      <c r="GH28">
        <v>1</v>
      </c>
      <c r="GI28">
        <v>-2</v>
      </c>
      <c r="GJ28">
        <v>0</v>
      </c>
      <c r="GK28">
        <f>ROUND(R28*(R12)/100,2)</f>
        <v>45455.9</v>
      </c>
      <c r="GL28">
        <f t="shared" ref="GL28:GL63" si="48">ROUND(IF(AND(BH28=3,BI28=3,FS28&lt;&gt;0),P28,0),2)</f>
        <v>0</v>
      </c>
      <c r="GM28">
        <f>ROUND(O28+X28+Y28+GK28,2)+GX28</f>
        <v>153378.17000000001</v>
      </c>
      <c r="GN28">
        <f>IF(OR(BI28=0,BI28=1),ROUND(O28+X28+Y28+GK28,2),0)</f>
        <v>0</v>
      </c>
      <c r="GO28">
        <f>IF(BI28=2,ROUND(O28+X28+Y28+GK28,2),0)</f>
        <v>0</v>
      </c>
      <c r="GP28">
        <f>IF(BI28=4,ROUND(O28+X28+Y28+GK28,2)+GX28,0)</f>
        <v>153378.17000000001</v>
      </c>
      <c r="GR28">
        <v>0</v>
      </c>
      <c r="GS28">
        <v>3</v>
      </c>
      <c r="GT28">
        <v>0</v>
      </c>
      <c r="GU28" t="s">
        <v>3</v>
      </c>
      <c r="GV28">
        <f t="shared" ref="GV28:GV55" si="49">ROUND((GT28),6)</f>
        <v>0</v>
      </c>
      <c r="GW28">
        <v>1</v>
      </c>
      <c r="GX28">
        <f t="shared" ref="GX28:GX63" si="50">ROUND(HC28*I28,2)</f>
        <v>0</v>
      </c>
      <c r="HA28">
        <v>0</v>
      </c>
      <c r="HB28">
        <v>0</v>
      </c>
      <c r="HC28">
        <f t="shared" ref="HC28:HC63" si="51">GV28*GW28</f>
        <v>0</v>
      </c>
      <c r="IK28">
        <v>0</v>
      </c>
    </row>
    <row r="29" spans="1:245" x14ac:dyDescent="0.2">
      <c r="A29">
        <v>17</v>
      </c>
      <c r="B29">
        <v>1</v>
      </c>
      <c r="D29">
        <f>ROW(EtalonRes!A10)</f>
        <v>10</v>
      </c>
      <c r="E29" t="s">
        <v>3</v>
      </c>
      <c r="F29" t="s">
        <v>23</v>
      </c>
      <c r="G29" t="s">
        <v>24</v>
      </c>
      <c r="H29" t="s">
        <v>18</v>
      </c>
      <c r="I29">
        <v>0</v>
      </c>
      <c r="J29">
        <v>0</v>
      </c>
      <c r="O29">
        <f t="shared" si="21"/>
        <v>0</v>
      </c>
      <c r="P29">
        <f t="shared" si="22"/>
        <v>0</v>
      </c>
      <c r="Q29">
        <f t="shared" si="23"/>
        <v>0</v>
      </c>
      <c r="R29">
        <f t="shared" si="2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0</v>
      </c>
      <c r="W29">
        <f t="shared" si="29"/>
        <v>0</v>
      </c>
      <c r="X29">
        <f t="shared" si="30"/>
        <v>0</v>
      </c>
      <c r="Y29">
        <f t="shared" si="31"/>
        <v>0</v>
      </c>
      <c r="AA29">
        <v>-1</v>
      </c>
      <c r="AB29">
        <f t="shared" si="32"/>
        <v>100.35</v>
      </c>
      <c r="AC29">
        <f>ROUND((ES29),6)</f>
        <v>15.68</v>
      </c>
      <c r="AD29">
        <f>ROUND((((ET29)-(EU29))+AE29),6)</f>
        <v>73.02</v>
      </c>
      <c r="AE29">
        <f t="shared" si="33"/>
        <v>37.049999999999997</v>
      </c>
      <c r="AF29">
        <f t="shared" si="33"/>
        <v>11.65</v>
      </c>
      <c r="AG29">
        <f t="shared" si="34"/>
        <v>0</v>
      </c>
      <c r="AH29">
        <f t="shared" si="35"/>
        <v>0.05</v>
      </c>
      <c r="AI29">
        <f t="shared" si="35"/>
        <v>0</v>
      </c>
      <c r="AJ29">
        <f t="shared" si="36"/>
        <v>0</v>
      </c>
      <c r="AK29">
        <v>100.35</v>
      </c>
      <c r="AL29">
        <v>15.68</v>
      </c>
      <c r="AM29">
        <v>73.02</v>
      </c>
      <c r="AN29">
        <v>37.049999999999997</v>
      </c>
      <c r="AO29">
        <v>11.65</v>
      </c>
      <c r="AP29">
        <v>0</v>
      </c>
      <c r="AQ29">
        <v>0.05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25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7"/>
        <v>0</v>
      </c>
      <c r="CQ29">
        <f t="shared" si="38"/>
        <v>15.68</v>
      </c>
      <c r="CR29">
        <f>((((ET29)*BB29-(EU29)*BS29)+AE29*BS29)*AV29)</f>
        <v>73.02</v>
      </c>
      <c r="CS29">
        <f t="shared" si="39"/>
        <v>37.049999999999997</v>
      </c>
      <c r="CT29">
        <f t="shared" si="40"/>
        <v>11.65</v>
      </c>
      <c r="CU29">
        <f t="shared" si="41"/>
        <v>0</v>
      </c>
      <c r="CV29">
        <f t="shared" si="42"/>
        <v>0.05</v>
      </c>
      <c r="CW29">
        <f t="shared" si="43"/>
        <v>0</v>
      </c>
      <c r="CX29">
        <f t="shared" si="44"/>
        <v>0</v>
      </c>
      <c r="CY29">
        <f t="shared" si="45"/>
        <v>0</v>
      </c>
      <c r="CZ29">
        <f t="shared" si="46"/>
        <v>0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1005</v>
      </c>
      <c r="DV29" t="s">
        <v>18</v>
      </c>
      <c r="DW29" t="s">
        <v>18</v>
      </c>
      <c r="DX29">
        <v>1</v>
      </c>
      <c r="EE29">
        <v>67874524</v>
      </c>
      <c r="EF29">
        <v>1</v>
      </c>
      <c r="EG29" t="s">
        <v>20</v>
      </c>
      <c r="EH29">
        <v>0</v>
      </c>
      <c r="EI29" t="s">
        <v>3</v>
      </c>
      <c r="EJ29">
        <v>4</v>
      </c>
      <c r="EK29">
        <v>0</v>
      </c>
      <c r="EL29" t="s">
        <v>21</v>
      </c>
      <c r="EM29" t="s">
        <v>22</v>
      </c>
      <c r="EO29" t="s">
        <v>3</v>
      </c>
      <c r="EQ29">
        <v>132096</v>
      </c>
      <c r="ER29">
        <v>100.35</v>
      </c>
      <c r="ES29">
        <v>15.68</v>
      </c>
      <c r="ET29">
        <v>73.02</v>
      </c>
      <c r="EU29">
        <v>37.049999999999997</v>
      </c>
      <c r="EV29">
        <v>11.65</v>
      </c>
      <c r="EW29">
        <v>0.05</v>
      </c>
      <c r="EX29">
        <v>0</v>
      </c>
      <c r="EY29">
        <v>0</v>
      </c>
      <c r="FQ29">
        <v>0</v>
      </c>
      <c r="FR29">
        <f t="shared" si="47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805820139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48"/>
        <v>0</v>
      </c>
      <c r="GM29">
        <f>ROUND(O29+X29+Y29+GK29,2)+GX29</f>
        <v>0</v>
      </c>
      <c r="GN29">
        <f>IF(OR(BI29=0,BI29=1),ROUND(O29+X29+Y29+GK29,2),0)</f>
        <v>0</v>
      </c>
      <c r="GO29">
        <f>IF(BI29=2,ROUND(O29+X29+Y29+GK29,2),0)</f>
        <v>0</v>
      </c>
      <c r="GP29">
        <f>IF(BI29=4,ROUND(O29+X29+Y29+GK29,2)+GX29,0)</f>
        <v>0</v>
      </c>
      <c r="GR29">
        <v>0</v>
      </c>
      <c r="GS29">
        <v>3</v>
      </c>
      <c r="GT29">
        <v>0</v>
      </c>
      <c r="GU29" t="s">
        <v>3</v>
      </c>
      <c r="GV29">
        <f t="shared" si="49"/>
        <v>0</v>
      </c>
      <c r="GW29">
        <v>1</v>
      </c>
      <c r="GX29">
        <f t="shared" si="50"/>
        <v>0</v>
      </c>
      <c r="HA29">
        <v>0</v>
      </c>
      <c r="HB29">
        <v>0</v>
      </c>
      <c r="HC29">
        <f t="shared" si="51"/>
        <v>0</v>
      </c>
      <c r="IK29">
        <v>0</v>
      </c>
    </row>
    <row r="30" spans="1:245" x14ac:dyDescent="0.2">
      <c r="A30">
        <v>17</v>
      </c>
      <c r="B30">
        <v>1</v>
      </c>
      <c r="D30">
        <f>ROW(EtalonRes!A18)</f>
        <v>18</v>
      </c>
      <c r="E30" t="s">
        <v>3</v>
      </c>
      <c r="F30" t="s">
        <v>26</v>
      </c>
      <c r="G30" t="s">
        <v>27</v>
      </c>
      <c r="H30" t="s">
        <v>28</v>
      </c>
      <c r="I30">
        <f>ROUND((1244)/100,9)</f>
        <v>12.44</v>
      </c>
      <c r="J30">
        <v>0</v>
      </c>
      <c r="O30">
        <f t="shared" si="21"/>
        <v>40629.660000000003</v>
      </c>
      <c r="P30">
        <f t="shared" si="22"/>
        <v>7361.87</v>
      </c>
      <c r="Q30">
        <f t="shared" si="23"/>
        <v>31134.21</v>
      </c>
      <c r="R30">
        <f t="shared" si="24"/>
        <v>6042.23</v>
      </c>
      <c r="S30">
        <f t="shared" si="25"/>
        <v>2133.58</v>
      </c>
      <c r="T30">
        <f t="shared" si="26"/>
        <v>0</v>
      </c>
      <c r="U30">
        <f t="shared" si="27"/>
        <v>9.8276000000000003</v>
      </c>
      <c r="V30">
        <f t="shared" si="28"/>
        <v>0</v>
      </c>
      <c r="W30">
        <f t="shared" si="29"/>
        <v>0</v>
      </c>
      <c r="X30">
        <f t="shared" si="30"/>
        <v>1493.51</v>
      </c>
      <c r="Y30">
        <f t="shared" si="31"/>
        <v>213.36</v>
      </c>
      <c r="AA30">
        <v>-1</v>
      </c>
      <c r="AB30">
        <f t="shared" si="32"/>
        <v>3266.05</v>
      </c>
      <c r="AC30">
        <f>ROUND((ES30),6)</f>
        <v>591.79</v>
      </c>
      <c r="AD30">
        <f>ROUND((((ET30)-(EU30))+AE30),6)</f>
        <v>2502.75</v>
      </c>
      <c r="AE30">
        <f t="shared" si="33"/>
        <v>485.71</v>
      </c>
      <c r="AF30">
        <f t="shared" si="33"/>
        <v>171.51</v>
      </c>
      <c r="AG30">
        <f t="shared" si="34"/>
        <v>0</v>
      </c>
      <c r="AH30">
        <f t="shared" si="35"/>
        <v>0.79</v>
      </c>
      <c r="AI30">
        <f t="shared" si="35"/>
        <v>0</v>
      </c>
      <c r="AJ30">
        <f t="shared" si="36"/>
        <v>0</v>
      </c>
      <c r="AK30">
        <v>3266.05</v>
      </c>
      <c r="AL30">
        <v>591.79</v>
      </c>
      <c r="AM30">
        <v>2502.75</v>
      </c>
      <c r="AN30">
        <v>485.71</v>
      </c>
      <c r="AO30">
        <v>171.51</v>
      </c>
      <c r="AP30">
        <v>0</v>
      </c>
      <c r="AQ30">
        <v>0.79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29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7"/>
        <v>40629.660000000003</v>
      </c>
      <c r="CQ30">
        <f t="shared" si="38"/>
        <v>591.79</v>
      </c>
      <c r="CR30">
        <f>((((ET30)*BB30-(EU30)*BS30)+AE30*BS30)*AV30)</f>
        <v>2502.75</v>
      </c>
      <c r="CS30">
        <f t="shared" si="39"/>
        <v>485.71</v>
      </c>
      <c r="CT30">
        <f t="shared" si="40"/>
        <v>171.51</v>
      </c>
      <c r="CU30">
        <f t="shared" si="41"/>
        <v>0</v>
      </c>
      <c r="CV30">
        <f t="shared" si="42"/>
        <v>0.79</v>
      </c>
      <c r="CW30">
        <f t="shared" si="43"/>
        <v>0</v>
      </c>
      <c r="CX30">
        <f t="shared" si="44"/>
        <v>0</v>
      </c>
      <c r="CY30">
        <f t="shared" si="45"/>
        <v>1493.5060000000001</v>
      </c>
      <c r="CZ30">
        <f t="shared" si="46"/>
        <v>213.358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1005</v>
      </c>
      <c r="DV30" t="s">
        <v>28</v>
      </c>
      <c r="DW30" t="s">
        <v>28</v>
      </c>
      <c r="DX30">
        <v>100</v>
      </c>
      <c r="EE30">
        <v>67874524</v>
      </c>
      <c r="EF30">
        <v>1</v>
      </c>
      <c r="EG30" t="s">
        <v>20</v>
      </c>
      <c r="EH30">
        <v>0</v>
      </c>
      <c r="EI30" t="s">
        <v>3</v>
      </c>
      <c r="EJ30">
        <v>4</v>
      </c>
      <c r="EK30">
        <v>0</v>
      </c>
      <c r="EL30" t="s">
        <v>21</v>
      </c>
      <c r="EM30" t="s">
        <v>22</v>
      </c>
      <c r="EO30" t="s">
        <v>3</v>
      </c>
      <c r="EQ30">
        <v>132096</v>
      </c>
      <c r="ER30">
        <v>3266.05</v>
      </c>
      <c r="ES30">
        <v>591.79</v>
      </c>
      <c r="ET30">
        <v>2502.75</v>
      </c>
      <c r="EU30">
        <v>485.71</v>
      </c>
      <c r="EV30">
        <v>171.51</v>
      </c>
      <c r="EW30">
        <v>0.79</v>
      </c>
      <c r="EX30">
        <v>0</v>
      </c>
      <c r="EY30">
        <v>0</v>
      </c>
      <c r="FQ30">
        <v>0</v>
      </c>
      <c r="FR30">
        <f t="shared" si="47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986814371</v>
      </c>
      <c r="GG30">
        <v>2</v>
      </c>
      <c r="GH30">
        <v>1</v>
      </c>
      <c r="GI30">
        <v>-2</v>
      </c>
      <c r="GJ30">
        <v>0</v>
      </c>
      <c r="GK30">
        <f>ROUND(R30*(R12)/100,2)</f>
        <v>6525.61</v>
      </c>
      <c r="GL30">
        <f t="shared" si="48"/>
        <v>0</v>
      </c>
      <c r="GM30">
        <f>ROUND(O30+X30+Y30+GK30,2)+GX30</f>
        <v>48862.14</v>
      </c>
      <c r="GN30">
        <f>IF(OR(BI30=0,BI30=1),ROUND(O30+X30+Y30+GK30,2),0)</f>
        <v>0</v>
      </c>
      <c r="GO30">
        <f>IF(BI30=2,ROUND(O30+X30+Y30+GK30,2),0)</f>
        <v>0</v>
      </c>
      <c r="GP30">
        <f>IF(BI30=4,ROUND(O30+X30+Y30+GK30,2)+GX30,0)</f>
        <v>48862.14</v>
      </c>
      <c r="GR30">
        <v>0</v>
      </c>
      <c r="GS30">
        <v>3</v>
      </c>
      <c r="GT30">
        <v>0</v>
      </c>
      <c r="GU30" t="s">
        <v>3</v>
      </c>
      <c r="GV30">
        <f t="shared" si="49"/>
        <v>0</v>
      </c>
      <c r="GW30">
        <v>1</v>
      </c>
      <c r="GX30">
        <f t="shared" si="50"/>
        <v>0</v>
      </c>
      <c r="HA30">
        <v>0</v>
      </c>
      <c r="HB30">
        <v>0</v>
      </c>
      <c r="HC30">
        <f t="shared" si="51"/>
        <v>0</v>
      </c>
      <c r="IK30">
        <v>0</v>
      </c>
    </row>
    <row r="31" spans="1:245" x14ac:dyDescent="0.2">
      <c r="A31">
        <v>17</v>
      </c>
      <c r="B31">
        <v>1</v>
      </c>
      <c r="D31">
        <f>ROW(EtalonRes!A23)</f>
        <v>23</v>
      </c>
      <c r="E31" t="s">
        <v>3</v>
      </c>
      <c r="F31" t="s">
        <v>30</v>
      </c>
      <c r="G31" t="s">
        <v>31</v>
      </c>
      <c r="H31" t="s">
        <v>28</v>
      </c>
      <c r="I31">
        <f>ROUND(-I30,9)</f>
        <v>-12.44</v>
      </c>
      <c r="J31">
        <v>0</v>
      </c>
      <c r="O31">
        <f t="shared" si="21"/>
        <v>-5766.18</v>
      </c>
      <c r="P31">
        <f t="shared" si="22"/>
        <v>-1207.92</v>
      </c>
      <c r="Q31">
        <f t="shared" si="23"/>
        <v>-4435.7299999999996</v>
      </c>
      <c r="R31">
        <f t="shared" si="24"/>
        <v>-739.56</v>
      </c>
      <c r="S31">
        <f t="shared" si="25"/>
        <v>-122.53</v>
      </c>
      <c r="T31">
        <f t="shared" si="26"/>
        <v>0</v>
      </c>
      <c r="U31">
        <f t="shared" si="27"/>
        <v>-0.49759999999999999</v>
      </c>
      <c r="V31">
        <f t="shared" si="28"/>
        <v>0</v>
      </c>
      <c r="W31">
        <f t="shared" si="29"/>
        <v>0</v>
      </c>
      <c r="X31">
        <f t="shared" si="30"/>
        <v>-85.77</v>
      </c>
      <c r="Y31">
        <f t="shared" si="31"/>
        <v>-12.25</v>
      </c>
      <c r="AA31">
        <v>-1</v>
      </c>
      <c r="AB31">
        <f t="shared" si="32"/>
        <v>463.52</v>
      </c>
      <c r="AC31">
        <f>ROUND((ES31),6)</f>
        <v>97.1</v>
      </c>
      <c r="AD31">
        <f>ROUND((((ET31)-(EU31))+AE31),6)</f>
        <v>356.57</v>
      </c>
      <c r="AE31">
        <f t="shared" si="33"/>
        <v>59.45</v>
      </c>
      <c r="AF31">
        <f t="shared" si="33"/>
        <v>9.85</v>
      </c>
      <c r="AG31">
        <f t="shared" si="34"/>
        <v>0</v>
      </c>
      <c r="AH31">
        <f t="shared" si="35"/>
        <v>0.04</v>
      </c>
      <c r="AI31">
        <f t="shared" si="35"/>
        <v>0</v>
      </c>
      <c r="AJ31">
        <f t="shared" si="36"/>
        <v>0</v>
      </c>
      <c r="AK31">
        <v>463.52</v>
      </c>
      <c r="AL31">
        <v>97.1</v>
      </c>
      <c r="AM31">
        <v>356.57</v>
      </c>
      <c r="AN31">
        <v>59.45</v>
      </c>
      <c r="AO31">
        <v>9.85</v>
      </c>
      <c r="AP31">
        <v>0</v>
      </c>
      <c r="AQ31">
        <v>0.04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32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7"/>
        <v>-5766.1799999999994</v>
      </c>
      <c r="CQ31">
        <f t="shared" si="38"/>
        <v>97.1</v>
      </c>
      <c r="CR31">
        <f>((((ET31)*BB31-(EU31)*BS31)+AE31*BS31)*AV31)</f>
        <v>356.57</v>
      </c>
      <c r="CS31">
        <f t="shared" si="39"/>
        <v>59.45</v>
      </c>
      <c r="CT31">
        <f t="shared" si="40"/>
        <v>9.85</v>
      </c>
      <c r="CU31">
        <f t="shared" si="41"/>
        <v>0</v>
      </c>
      <c r="CV31">
        <f t="shared" si="42"/>
        <v>0.04</v>
      </c>
      <c r="CW31">
        <f t="shared" si="43"/>
        <v>0</v>
      </c>
      <c r="CX31">
        <f t="shared" si="44"/>
        <v>0</v>
      </c>
      <c r="CY31">
        <f t="shared" si="45"/>
        <v>-85.771000000000001</v>
      </c>
      <c r="CZ31">
        <f t="shared" si="46"/>
        <v>-12.253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1005</v>
      </c>
      <c r="DV31" t="s">
        <v>28</v>
      </c>
      <c r="DW31" t="s">
        <v>28</v>
      </c>
      <c r="DX31">
        <v>100</v>
      </c>
      <c r="EE31">
        <v>67874524</v>
      </c>
      <c r="EF31">
        <v>1</v>
      </c>
      <c r="EG31" t="s">
        <v>20</v>
      </c>
      <c r="EH31">
        <v>0</v>
      </c>
      <c r="EI31" t="s">
        <v>3</v>
      </c>
      <c r="EJ31">
        <v>4</v>
      </c>
      <c r="EK31">
        <v>0</v>
      </c>
      <c r="EL31" t="s">
        <v>21</v>
      </c>
      <c r="EM31" t="s">
        <v>22</v>
      </c>
      <c r="EO31" t="s">
        <v>3</v>
      </c>
      <c r="EQ31">
        <v>132096</v>
      </c>
      <c r="ER31">
        <v>463.52</v>
      </c>
      <c r="ES31">
        <v>97.1</v>
      </c>
      <c r="ET31">
        <v>356.57</v>
      </c>
      <c r="EU31">
        <v>59.45</v>
      </c>
      <c r="EV31">
        <v>9.85</v>
      </c>
      <c r="EW31">
        <v>0.04</v>
      </c>
      <c r="EX31">
        <v>0</v>
      </c>
      <c r="EY31">
        <v>0</v>
      </c>
      <c r="FQ31">
        <v>0</v>
      </c>
      <c r="FR31">
        <f t="shared" si="47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-1158457382</v>
      </c>
      <c r="GG31">
        <v>2</v>
      </c>
      <c r="GH31">
        <v>1</v>
      </c>
      <c r="GI31">
        <v>-2</v>
      </c>
      <c r="GJ31">
        <v>0</v>
      </c>
      <c r="GK31">
        <f>ROUND(R31*(R12)/100,2)</f>
        <v>-798.72</v>
      </c>
      <c r="GL31">
        <f t="shared" si="48"/>
        <v>0</v>
      </c>
      <c r="GM31">
        <f>ROUND(O31+X31+Y31+GK31,2)+GX31</f>
        <v>-6662.92</v>
      </c>
      <c r="GN31">
        <f>IF(OR(BI31=0,BI31=1),ROUND(O31+X31+Y31+GK31,2),0)</f>
        <v>0</v>
      </c>
      <c r="GO31">
        <f>IF(BI31=2,ROUND(O31+X31+Y31+GK31,2),0)</f>
        <v>0</v>
      </c>
      <c r="GP31">
        <f>IF(BI31=4,ROUND(O31+X31+Y31+GK31,2)+GX31,0)</f>
        <v>-6662.92</v>
      </c>
      <c r="GR31">
        <v>0</v>
      </c>
      <c r="GS31">
        <v>3</v>
      </c>
      <c r="GT31">
        <v>0</v>
      </c>
      <c r="GU31" t="s">
        <v>3</v>
      </c>
      <c r="GV31">
        <f t="shared" si="49"/>
        <v>0</v>
      </c>
      <c r="GW31">
        <v>1</v>
      </c>
      <c r="GX31">
        <f t="shared" si="50"/>
        <v>0</v>
      </c>
      <c r="HA31">
        <v>0</v>
      </c>
      <c r="HB31">
        <v>0</v>
      </c>
      <c r="HC31">
        <f t="shared" si="51"/>
        <v>0</v>
      </c>
      <c r="IK31">
        <v>0</v>
      </c>
    </row>
    <row r="32" spans="1:245" x14ac:dyDescent="0.2">
      <c r="A32">
        <v>17</v>
      </c>
      <c r="B32">
        <v>1</v>
      </c>
      <c r="D32">
        <f>ROW(EtalonRes!A24)</f>
        <v>24</v>
      </c>
      <c r="E32" t="s">
        <v>3</v>
      </c>
      <c r="F32" t="s">
        <v>33</v>
      </c>
      <c r="G32" t="s">
        <v>34</v>
      </c>
      <c r="H32" t="s">
        <v>35</v>
      </c>
      <c r="I32">
        <f>ROUND(I28*0.05*2.4,9)</f>
        <v>136.32</v>
      </c>
      <c r="J32">
        <v>0</v>
      </c>
      <c r="O32">
        <f t="shared" si="21"/>
        <v>7689.81</v>
      </c>
      <c r="P32">
        <f t="shared" si="22"/>
        <v>0</v>
      </c>
      <c r="Q32">
        <f t="shared" si="23"/>
        <v>7689.81</v>
      </c>
      <c r="R32">
        <f t="shared" si="24"/>
        <v>4175.4799999999996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0</v>
      </c>
      <c r="W32">
        <f t="shared" si="29"/>
        <v>0</v>
      </c>
      <c r="X32">
        <f t="shared" si="30"/>
        <v>0</v>
      </c>
      <c r="Y32">
        <f t="shared" si="31"/>
        <v>0</v>
      </c>
      <c r="AA32">
        <v>-1</v>
      </c>
      <c r="AB32">
        <f t="shared" si="32"/>
        <v>56.41</v>
      </c>
      <c r="AC32">
        <f>ROUND((ES32),6)</f>
        <v>0</v>
      </c>
      <c r="AD32">
        <f>ROUND((((ET32)-(EU32))+AE32),6)</f>
        <v>56.41</v>
      </c>
      <c r="AE32">
        <f t="shared" si="33"/>
        <v>30.63</v>
      </c>
      <c r="AF32">
        <f t="shared" si="33"/>
        <v>0</v>
      </c>
      <c r="AG32">
        <f t="shared" si="34"/>
        <v>0</v>
      </c>
      <c r="AH32">
        <f t="shared" si="35"/>
        <v>0</v>
      </c>
      <c r="AI32">
        <f t="shared" si="35"/>
        <v>0</v>
      </c>
      <c r="AJ32">
        <f t="shared" si="36"/>
        <v>0</v>
      </c>
      <c r="AK32">
        <v>56.41</v>
      </c>
      <c r="AL32">
        <v>0</v>
      </c>
      <c r="AM32">
        <v>56.41</v>
      </c>
      <c r="AN32">
        <v>30.63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36</v>
      </c>
      <c r="BM32">
        <v>1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0</v>
      </c>
      <c r="CA32">
        <v>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7"/>
        <v>7689.81</v>
      </c>
      <c r="CQ32">
        <f t="shared" si="38"/>
        <v>0</v>
      </c>
      <c r="CR32">
        <f>((((ET32)*BB32-(EU32)*BS32)+AE32*BS32)*AV32)</f>
        <v>56.41</v>
      </c>
      <c r="CS32">
        <f t="shared" si="39"/>
        <v>30.63</v>
      </c>
      <c r="CT32">
        <f t="shared" si="40"/>
        <v>0</v>
      </c>
      <c r="CU32">
        <f t="shared" si="41"/>
        <v>0</v>
      </c>
      <c r="CV32">
        <f t="shared" si="42"/>
        <v>0</v>
      </c>
      <c r="CW32">
        <f t="shared" si="43"/>
        <v>0</v>
      </c>
      <c r="CX32">
        <f t="shared" si="44"/>
        <v>0</v>
      </c>
      <c r="CY32">
        <f t="shared" si="45"/>
        <v>0</v>
      </c>
      <c r="CZ32">
        <f t="shared" si="46"/>
        <v>0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1009</v>
      </c>
      <c r="DV32" t="s">
        <v>35</v>
      </c>
      <c r="DW32" t="s">
        <v>35</v>
      </c>
      <c r="DX32">
        <v>1000</v>
      </c>
      <c r="EE32">
        <v>67874526</v>
      </c>
      <c r="EF32">
        <v>1</v>
      </c>
      <c r="EG32" t="s">
        <v>20</v>
      </c>
      <c r="EH32">
        <v>0</v>
      </c>
      <c r="EI32" t="s">
        <v>3</v>
      </c>
      <c r="EJ32">
        <v>4</v>
      </c>
      <c r="EK32">
        <v>1</v>
      </c>
      <c r="EL32" t="s">
        <v>37</v>
      </c>
      <c r="EM32" t="s">
        <v>22</v>
      </c>
      <c r="EO32" t="s">
        <v>3</v>
      </c>
      <c r="EQ32">
        <v>132096</v>
      </c>
      <c r="ER32">
        <v>56.41</v>
      </c>
      <c r="ES32">
        <v>0</v>
      </c>
      <c r="ET32">
        <v>56.41</v>
      </c>
      <c r="EU32">
        <v>30.63</v>
      </c>
      <c r="EV32">
        <v>0</v>
      </c>
      <c r="EW32">
        <v>0</v>
      </c>
      <c r="EX32">
        <v>0</v>
      </c>
      <c r="EY32">
        <v>0</v>
      </c>
      <c r="FQ32">
        <v>0</v>
      </c>
      <c r="FR32">
        <f t="shared" si="47"/>
        <v>0</v>
      </c>
      <c r="FS32">
        <v>0</v>
      </c>
      <c r="FX32">
        <v>0</v>
      </c>
      <c r="FY32">
        <v>0</v>
      </c>
      <c r="GA32" t="s">
        <v>3</v>
      </c>
      <c r="GD32">
        <v>1</v>
      </c>
      <c r="GF32">
        <v>794946806</v>
      </c>
      <c r="GG32">
        <v>2</v>
      </c>
      <c r="GH32">
        <v>1</v>
      </c>
      <c r="GI32">
        <v>-2</v>
      </c>
      <c r="GJ32">
        <v>0</v>
      </c>
      <c r="GK32">
        <v>0</v>
      </c>
      <c r="GL32">
        <f t="shared" si="48"/>
        <v>0</v>
      </c>
      <c r="GM32">
        <f>ROUND(O32+X32+Y32,2)+GX32</f>
        <v>7689.81</v>
      </c>
      <c r="GN32">
        <f>IF(OR(BI32=0,BI32=1),ROUND(O32+X32+Y32,2),0)</f>
        <v>0</v>
      </c>
      <c r="GO32">
        <f>IF(BI32=2,ROUND(O32+X32+Y32,2),0)</f>
        <v>0</v>
      </c>
      <c r="GP32">
        <f>IF(BI32=4,ROUND(O32+X32+Y32,2)+GX32,0)</f>
        <v>7689.81</v>
      </c>
      <c r="GR32">
        <v>0</v>
      </c>
      <c r="GS32">
        <v>3</v>
      </c>
      <c r="GT32">
        <v>0</v>
      </c>
      <c r="GU32" t="s">
        <v>3</v>
      </c>
      <c r="GV32">
        <f t="shared" si="49"/>
        <v>0</v>
      </c>
      <c r="GW32">
        <v>1</v>
      </c>
      <c r="GX32">
        <f t="shared" si="50"/>
        <v>0</v>
      </c>
      <c r="HA32">
        <v>0</v>
      </c>
      <c r="HB32">
        <v>0</v>
      </c>
      <c r="HC32">
        <f t="shared" si="51"/>
        <v>0</v>
      </c>
      <c r="IK32">
        <v>0</v>
      </c>
    </row>
    <row r="33" spans="1:245" x14ac:dyDescent="0.2">
      <c r="A33">
        <v>17</v>
      </c>
      <c r="B33">
        <v>1</v>
      </c>
      <c r="D33">
        <f>ROW(EtalonRes!A25)</f>
        <v>25</v>
      </c>
      <c r="E33" t="s">
        <v>3</v>
      </c>
      <c r="F33" t="s">
        <v>38</v>
      </c>
      <c r="G33" t="s">
        <v>39</v>
      </c>
      <c r="H33" t="s">
        <v>35</v>
      </c>
      <c r="I33">
        <f>ROUND(I32,9)</f>
        <v>136.32</v>
      </c>
      <c r="J33">
        <v>0</v>
      </c>
      <c r="O33">
        <f t="shared" si="21"/>
        <v>66524.160000000003</v>
      </c>
      <c r="P33">
        <f t="shared" si="22"/>
        <v>0</v>
      </c>
      <c r="Q33">
        <f t="shared" si="23"/>
        <v>66524.160000000003</v>
      </c>
      <c r="R33">
        <f t="shared" si="24"/>
        <v>36119.35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-1</v>
      </c>
      <c r="AB33">
        <f t="shared" si="32"/>
        <v>488</v>
      </c>
      <c r="AC33">
        <f>ROUND(((ES33*32)),6)</f>
        <v>0</v>
      </c>
      <c r="AD33">
        <f>ROUND(((((ET33*32))-((EU33*32)))+AE33),6)</f>
        <v>488</v>
      </c>
      <c r="AE33">
        <f>ROUND(((EU33*32)),6)</f>
        <v>264.95999999999998</v>
      </c>
      <c r="AF33">
        <f>ROUND(((EV33*32)),6)</f>
        <v>0</v>
      </c>
      <c r="AG33">
        <f t="shared" si="34"/>
        <v>0</v>
      </c>
      <c r="AH33">
        <f>((EW33*32))</f>
        <v>0</v>
      </c>
      <c r="AI33">
        <f>((EX33*32))</f>
        <v>0</v>
      </c>
      <c r="AJ33">
        <f t="shared" si="36"/>
        <v>0</v>
      </c>
      <c r="AK33">
        <v>15.25</v>
      </c>
      <c r="AL33">
        <v>0</v>
      </c>
      <c r="AM33">
        <v>15.25</v>
      </c>
      <c r="AN33">
        <v>8.2799999999999994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40</v>
      </c>
      <c r="BM33">
        <v>1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0</v>
      </c>
      <c r="CA33">
        <v>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7"/>
        <v>66524.160000000003</v>
      </c>
      <c r="CQ33">
        <f t="shared" si="38"/>
        <v>0</v>
      </c>
      <c r="CR33">
        <f>(((((ET33*32))*BB33-((EU33*32))*BS33)+AE33*BS33)*AV33)</f>
        <v>488</v>
      </c>
      <c r="CS33">
        <f t="shared" si="39"/>
        <v>264.95999999999998</v>
      </c>
      <c r="CT33">
        <f t="shared" si="40"/>
        <v>0</v>
      </c>
      <c r="CU33">
        <f t="shared" si="41"/>
        <v>0</v>
      </c>
      <c r="CV33">
        <f t="shared" si="42"/>
        <v>0</v>
      </c>
      <c r="CW33">
        <f t="shared" si="43"/>
        <v>0</v>
      </c>
      <c r="CX33">
        <f t="shared" si="44"/>
        <v>0</v>
      </c>
      <c r="CY33">
        <f t="shared" si="45"/>
        <v>0</v>
      </c>
      <c r="CZ33">
        <f t="shared" si="46"/>
        <v>0</v>
      </c>
      <c r="DC33" t="s">
        <v>3</v>
      </c>
      <c r="DD33" t="s">
        <v>41</v>
      </c>
      <c r="DE33" t="s">
        <v>41</v>
      </c>
      <c r="DF33" t="s">
        <v>41</v>
      </c>
      <c r="DG33" t="s">
        <v>41</v>
      </c>
      <c r="DH33" t="s">
        <v>3</v>
      </c>
      <c r="DI33" t="s">
        <v>41</v>
      </c>
      <c r="DJ33" t="s">
        <v>41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35</v>
      </c>
      <c r="DW33" t="s">
        <v>35</v>
      </c>
      <c r="DX33">
        <v>1000</v>
      </c>
      <c r="EE33">
        <v>67874526</v>
      </c>
      <c r="EF33">
        <v>1</v>
      </c>
      <c r="EG33" t="s">
        <v>20</v>
      </c>
      <c r="EH33">
        <v>0</v>
      </c>
      <c r="EI33" t="s">
        <v>3</v>
      </c>
      <c r="EJ33">
        <v>4</v>
      </c>
      <c r="EK33">
        <v>1</v>
      </c>
      <c r="EL33" t="s">
        <v>37</v>
      </c>
      <c r="EM33" t="s">
        <v>22</v>
      </c>
      <c r="EO33" t="s">
        <v>3</v>
      </c>
      <c r="EQ33">
        <v>132096</v>
      </c>
      <c r="ER33">
        <v>15.25</v>
      </c>
      <c r="ES33">
        <v>0</v>
      </c>
      <c r="ET33">
        <v>15.25</v>
      </c>
      <c r="EU33">
        <v>8.2799999999999994</v>
      </c>
      <c r="EV33">
        <v>0</v>
      </c>
      <c r="EW33">
        <v>0</v>
      </c>
      <c r="EX33">
        <v>0</v>
      </c>
      <c r="EY33">
        <v>0</v>
      </c>
      <c r="FQ33">
        <v>0</v>
      </c>
      <c r="FR33">
        <f t="shared" si="47"/>
        <v>0</v>
      </c>
      <c r="FS33">
        <v>0</v>
      </c>
      <c r="FX33">
        <v>0</v>
      </c>
      <c r="FY33">
        <v>0</v>
      </c>
      <c r="GA33" t="s">
        <v>3</v>
      </c>
      <c r="GD33">
        <v>1</v>
      </c>
      <c r="GF33">
        <v>-1467321356</v>
      </c>
      <c r="GG33">
        <v>2</v>
      </c>
      <c r="GH33">
        <v>1</v>
      </c>
      <c r="GI33">
        <v>-2</v>
      </c>
      <c r="GJ33">
        <v>0</v>
      </c>
      <c r="GK33">
        <v>0</v>
      </c>
      <c r="GL33">
        <f t="shared" si="48"/>
        <v>0</v>
      </c>
      <c r="GM33">
        <f>ROUND(O33+X33+Y33,2)+GX33</f>
        <v>66524.160000000003</v>
      </c>
      <c r="GN33">
        <f>IF(OR(BI33=0,BI33=1),ROUND(O33+X33+Y33,2),0)</f>
        <v>0</v>
      </c>
      <c r="GO33">
        <f>IF(BI33=2,ROUND(O33+X33+Y33,2),0)</f>
        <v>0</v>
      </c>
      <c r="GP33">
        <f>IF(BI33=4,ROUND(O33+X33+Y33,2)+GX33,0)</f>
        <v>66524.160000000003</v>
      </c>
      <c r="GR33">
        <v>0</v>
      </c>
      <c r="GS33">
        <v>3</v>
      </c>
      <c r="GT33">
        <v>0</v>
      </c>
      <c r="GU33" t="s">
        <v>3</v>
      </c>
      <c r="GV33">
        <f t="shared" si="49"/>
        <v>0</v>
      </c>
      <c r="GW33">
        <v>1</v>
      </c>
      <c r="GX33">
        <f t="shared" si="50"/>
        <v>0</v>
      </c>
      <c r="HA33">
        <v>0</v>
      </c>
      <c r="HB33">
        <v>0</v>
      </c>
      <c r="HC33">
        <f t="shared" si="51"/>
        <v>0</v>
      </c>
      <c r="IK33">
        <v>0</v>
      </c>
    </row>
    <row r="34" spans="1:245" x14ac:dyDescent="0.2">
      <c r="A34">
        <v>17</v>
      </c>
      <c r="B34">
        <v>1</v>
      </c>
      <c r="D34">
        <f>ROW(EtalonRes!A26)</f>
        <v>26</v>
      </c>
      <c r="E34" t="s">
        <v>3</v>
      </c>
      <c r="F34" t="s">
        <v>42</v>
      </c>
      <c r="G34" t="s">
        <v>43</v>
      </c>
      <c r="H34" t="s">
        <v>28</v>
      </c>
      <c r="I34">
        <f>ROUND((1037)/100,9)</f>
        <v>10.37</v>
      </c>
      <c r="J34">
        <v>0</v>
      </c>
      <c r="O34">
        <f t="shared" si="21"/>
        <v>31633.06</v>
      </c>
      <c r="P34">
        <f t="shared" si="22"/>
        <v>0</v>
      </c>
      <c r="Q34">
        <f t="shared" si="23"/>
        <v>0</v>
      </c>
      <c r="R34">
        <f t="shared" si="24"/>
        <v>0</v>
      </c>
      <c r="S34">
        <f t="shared" si="25"/>
        <v>31633.06</v>
      </c>
      <c r="T34">
        <f t="shared" si="26"/>
        <v>0</v>
      </c>
      <c r="U34">
        <f t="shared" si="27"/>
        <v>193.71159999999998</v>
      </c>
      <c r="V34">
        <f t="shared" si="28"/>
        <v>0</v>
      </c>
      <c r="W34">
        <f t="shared" si="29"/>
        <v>0</v>
      </c>
      <c r="X34">
        <f t="shared" si="30"/>
        <v>22143.14</v>
      </c>
      <c r="Y34">
        <f t="shared" si="31"/>
        <v>3163.31</v>
      </c>
      <c r="AA34">
        <v>-1</v>
      </c>
      <c r="AB34">
        <f t="shared" si="32"/>
        <v>3050.44</v>
      </c>
      <c r="AC34">
        <f>ROUND((ES34),6)</f>
        <v>0</v>
      </c>
      <c r="AD34">
        <f>ROUND((((ET34)-(EU34))+AE34),6)</f>
        <v>0</v>
      </c>
      <c r="AE34">
        <f>ROUND((EU34),6)</f>
        <v>0</v>
      </c>
      <c r="AF34">
        <f>ROUND((EV34),6)</f>
        <v>3050.44</v>
      </c>
      <c r="AG34">
        <f t="shared" si="34"/>
        <v>0</v>
      </c>
      <c r="AH34">
        <f>(EW34)</f>
        <v>18.68</v>
      </c>
      <c r="AI34">
        <f>(EX34)</f>
        <v>0</v>
      </c>
      <c r="AJ34">
        <f t="shared" si="36"/>
        <v>0</v>
      </c>
      <c r="AK34">
        <v>3050.44</v>
      </c>
      <c r="AL34">
        <v>0</v>
      </c>
      <c r="AM34">
        <v>0</v>
      </c>
      <c r="AN34">
        <v>0</v>
      </c>
      <c r="AO34">
        <v>3050.44</v>
      </c>
      <c r="AP34">
        <v>0</v>
      </c>
      <c r="AQ34">
        <v>18.68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44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7"/>
        <v>31633.06</v>
      </c>
      <c r="CQ34">
        <f t="shared" si="38"/>
        <v>0</v>
      </c>
      <c r="CR34">
        <f>((((ET34)*BB34-(EU34)*BS34)+AE34*BS34)*AV34)</f>
        <v>0</v>
      </c>
      <c r="CS34">
        <f t="shared" si="39"/>
        <v>0</v>
      </c>
      <c r="CT34">
        <f t="shared" si="40"/>
        <v>3050.44</v>
      </c>
      <c r="CU34">
        <f t="shared" si="41"/>
        <v>0</v>
      </c>
      <c r="CV34">
        <f t="shared" si="42"/>
        <v>18.68</v>
      </c>
      <c r="CW34">
        <f t="shared" si="43"/>
        <v>0</v>
      </c>
      <c r="CX34">
        <f t="shared" si="44"/>
        <v>0</v>
      </c>
      <c r="CY34">
        <f t="shared" si="45"/>
        <v>22143.142000000003</v>
      </c>
      <c r="CZ34">
        <f t="shared" si="46"/>
        <v>3163.3060000000005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1005</v>
      </c>
      <c r="DV34" t="s">
        <v>28</v>
      </c>
      <c r="DW34" t="s">
        <v>28</v>
      </c>
      <c r="DX34">
        <v>100</v>
      </c>
      <c r="EE34">
        <v>67874524</v>
      </c>
      <c r="EF34">
        <v>1</v>
      </c>
      <c r="EG34" t="s">
        <v>20</v>
      </c>
      <c r="EH34">
        <v>0</v>
      </c>
      <c r="EI34" t="s">
        <v>3</v>
      </c>
      <c r="EJ34">
        <v>4</v>
      </c>
      <c r="EK34">
        <v>0</v>
      </c>
      <c r="EL34" t="s">
        <v>21</v>
      </c>
      <c r="EM34" t="s">
        <v>22</v>
      </c>
      <c r="EO34" t="s">
        <v>3</v>
      </c>
      <c r="EQ34">
        <v>132096</v>
      </c>
      <c r="ER34">
        <v>3050.44</v>
      </c>
      <c r="ES34">
        <v>0</v>
      </c>
      <c r="ET34">
        <v>0</v>
      </c>
      <c r="EU34">
        <v>0</v>
      </c>
      <c r="EV34">
        <v>3050.44</v>
      </c>
      <c r="EW34">
        <v>18.68</v>
      </c>
      <c r="EX34">
        <v>0</v>
      </c>
      <c r="EY34">
        <v>0</v>
      </c>
      <c r="FQ34">
        <v>0</v>
      </c>
      <c r="FR34">
        <f t="shared" si="47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-898163925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48"/>
        <v>0</v>
      </c>
      <c r="GM34">
        <f t="shared" ref="GM34:GM59" si="52">ROUND(O34+X34+Y34+GK34,2)+GX34</f>
        <v>56939.51</v>
      </c>
      <c r="GN34">
        <f t="shared" ref="GN34:GN59" si="53">IF(OR(BI34=0,BI34=1),ROUND(O34+X34+Y34+GK34,2),0)</f>
        <v>0</v>
      </c>
      <c r="GO34">
        <f t="shared" ref="GO34:GO59" si="54">IF(BI34=2,ROUND(O34+X34+Y34+GK34,2),0)</f>
        <v>0</v>
      </c>
      <c r="GP34">
        <f t="shared" ref="GP34:GP59" si="55">IF(BI34=4,ROUND(O34+X34+Y34+GK34,2)+GX34,0)</f>
        <v>56939.51</v>
      </c>
      <c r="GR34">
        <v>0</v>
      </c>
      <c r="GS34">
        <v>3</v>
      </c>
      <c r="GT34">
        <v>0</v>
      </c>
      <c r="GU34" t="s">
        <v>3</v>
      </c>
      <c r="GV34">
        <f t="shared" si="49"/>
        <v>0</v>
      </c>
      <c r="GW34">
        <v>1</v>
      </c>
      <c r="GX34">
        <f t="shared" si="50"/>
        <v>0</v>
      </c>
      <c r="HA34">
        <v>0</v>
      </c>
      <c r="HB34">
        <v>0</v>
      </c>
      <c r="HC34">
        <f t="shared" si="51"/>
        <v>0</v>
      </c>
      <c r="IK34">
        <v>0</v>
      </c>
    </row>
    <row r="35" spans="1:245" x14ac:dyDescent="0.2">
      <c r="A35">
        <v>17</v>
      </c>
      <c r="B35">
        <v>1</v>
      </c>
      <c r="D35">
        <f>ROW(EtalonRes!A29)</f>
        <v>29</v>
      </c>
      <c r="E35" t="s">
        <v>3</v>
      </c>
      <c r="F35" t="s">
        <v>45</v>
      </c>
      <c r="G35" t="s">
        <v>46</v>
      </c>
      <c r="H35" t="s">
        <v>47</v>
      </c>
      <c r="I35">
        <f>ROUND((7.1+124.4+93.7)/100,9)</f>
        <v>2.2519999999999998</v>
      </c>
      <c r="J35">
        <v>0</v>
      </c>
      <c r="O35">
        <f t="shared" si="21"/>
        <v>10737.2</v>
      </c>
      <c r="P35">
        <f t="shared" si="22"/>
        <v>0</v>
      </c>
      <c r="Q35">
        <f t="shared" si="23"/>
        <v>7510.85</v>
      </c>
      <c r="R35">
        <f t="shared" si="24"/>
        <v>3627.75</v>
      </c>
      <c r="S35">
        <f t="shared" si="25"/>
        <v>3226.35</v>
      </c>
      <c r="T35">
        <f t="shared" si="26"/>
        <v>0</v>
      </c>
      <c r="U35">
        <f t="shared" si="27"/>
        <v>26.348399999999994</v>
      </c>
      <c r="V35">
        <f t="shared" si="28"/>
        <v>0</v>
      </c>
      <c r="W35">
        <f t="shared" si="29"/>
        <v>0</v>
      </c>
      <c r="X35">
        <f t="shared" si="30"/>
        <v>2258.4499999999998</v>
      </c>
      <c r="Y35">
        <f t="shared" si="31"/>
        <v>322.64</v>
      </c>
      <c r="AA35">
        <v>-1</v>
      </c>
      <c r="AB35">
        <f t="shared" si="32"/>
        <v>4767.8500000000004</v>
      </c>
      <c r="AC35">
        <f>ROUND((ES35),6)</f>
        <v>0</v>
      </c>
      <c r="AD35">
        <f>ROUND((((ET35)-(EU35))+AE35),6)</f>
        <v>3335.19</v>
      </c>
      <c r="AE35">
        <f>ROUND((EU35),6)</f>
        <v>1610.9</v>
      </c>
      <c r="AF35">
        <f>ROUND((EV35),6)</f>
        <v>1432.66</v>
      </c>
      <c r="AG35">
        <f t="shared" si="34"/>
        <v>0</v>
      </c>
      <c r="AH35">
        <f>(EW35)</f>
        <v>11.7</v>
      </c>
      <c r="AI35">
        <f>(EX35)</f>
        <v>0</v>
      </c>
      <c r="AJ35">
        <f t="shared" si="36"/>
        <v>0</v>
      </c>
      <c r="AK35">
        <v>4767.8500000000004</v>
      </c>
      <c r="AL35">
        <v>0</v>
      </c>
      <c r="AM35">
        <v>3335.19</v>
      </c>
      <c r="AN35">
        <v>1610.9</v>
      </c>
      <c r="AO35">
        <v>1432.66</v>
      </c>
      <c r="AP35">
        <v>0</v>
      </c>
      <c r="AQ35">
        <v>11.7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48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7"/>
        <v>10737.2</v>
      </c>
      <c r="CQ35">
        <f t="shared" si="38"/>
        <v>0</v>
      </c>
      <c r="CR35">
        <f>((((ET35)*BB35-(EU35)*BS35)+AE35*BS35)*AV35)</f>
        <v>3335.19</v>
      </c>
      <c r="CS35">
        <f t="shared" si="39"/>
        <v>1610.9</v>
      </c>
      <c r="CT35">
        <f t="shared" si="40"/>
        <v>1432.66</v>
      </c>
      <c r="CU35">
        <f t="shared" si="41"/>
        <v>0</v>
      </c>
      <c r="CV35">
        <f t="shared" si="42"/>
        <v>11.7</v>
      </c>
      <c r="CW35">
        <f t="shared" si="43"/>
        <v>0</v>
      </c>
      <c r="CX35">
        <f t="shared" si="44"/>
        <v>0</v>
      </c>
      <c r="CY35">
        <f t="shared" si="45"/>
        <v>2258.4450000000002</v>
      </c>
      <c r="CZ35">
        <f t="shared" si="46"/>
        <v>322.63499999999999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1007</v>
      </c>
      <c r="DV35" t="s">
        <v>47</v>
      </c>
      <c r="DW35" t="s">
        <v>47</v>
      </c>
      <c r="DX35">
        <v>100</v>
      </c>
      <c r="EE35">
        <v>67874524</v>
      </c>
      <c r="EF35">
        <v>1</v>
      </c>
      <c r="EG35" t="s">
        <v>20</v>
      </c>
      <c r="EH35">
        <v>0</v>
      </c>
      <c r="EI35" t="s">
        <v>3</v>
      </c>
      <c r="EJ35">
        <v>4</v>
      </c>
      <c r="EK35">
        <v>0</v>
      </c>
      <c r="EL35" t="s">
        <v>21</v>
      </c>
      <c r="EM35" t="s">
        <v>22</v>
      </c>
      <c r="EO35" t="s">
        <v>3</v>
      </c>
      <c r="EQ35">
        <v>132096</v>
      </c>
      <c r="ER35">
        <v>4767.8500000000004</v>
      </c>
      <c r="ES35">
        <v>0</v>
      </c>
      <c r="ET35">
        <v>3335.19</v>
      </c>
      <c r="EU35">
        <v>1610.9</v>
      </c>
      <c r="EV35">
        <v>1432.66</v>
      </c>
      <c r="EW35">
        <v>11.7</v>
      </c>
      <c r="EX35">
        <v>0</v>
      </c>
      <c r="EY35">
        <v>0</v>
      </c>
      <c r="FQ35">
        <v>0</v>
      </c>
      <c r="FR35">
        <f t="shared" si="47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-40243718</v>
      </c>
      <c r="GG35">
        <v>2</v>
      </c>
      <c r="GH35">
        <v>1</v>
      </c>
      <c r="GI35">
        <v>-2</v>
      </c>
      <c r="GJ35">
        <v>0</v>
      </c>
      <c r="GK35">
        <f>ROUND(R35*(R12)/100,2)</f>
        <v>3917.97</v>
      </c>
      <c r="GL35">
        <f t="shared" si="48"/>
        <v>0</v>
      </c>
      <c r="GM35">
        <f t="shared" si="52"/>
        <v>17236.259999999998</v>
      </c>
      <c r="GN35">
        <f t="shared" si="53"/>
        <v>0</v>
      </c>
      <c r="GO35">
        <f t="shared" si="54"/>
        <v>0</v>
      </c>
      <c r="GP35">
        <f t="shared" si="55"/>
        <v>17236.259999999998</v>
      </c>
      <c r="GR35">
        <v>0</v>
      </c>
      <c r="GS35">
        <v>3</v>
      </c>
      <c r="GT35">
        <v>0</v>
      </c>
      <c r="GU35" t="s">
        <v>3</v>
      </c>
      <c r="GV35">
        <f t="shared" si="49"/>
        <v>0</v>
      </c>
      <c r="GW35">
        <v>1</v>
      </c>
      <c r="GX35">
        <f t="shared" si="50"/>
        <v>0</v>
      </c>
      <c r="HA35">
        <v>0</v>
      </c>
      <c r="HB35">
        <v>0</v>
      </c>
      <c r="HC35">
        <f t="shared" si="51"/>
        <v>0</v>
      </c>
      <c r="IK35">
        <v>0</v>
      </c>
    </row>
    <row r="36" spans="1:245" x14ac:dyDescent="0.2">
      <c r="A36">
        <v>17</v>
      </c>
      <c r="B36">
        <v>1</v>
      </c>
      <c r="D36">
        <f>ROW(EtalonRes!A44)</f>
        <v>44</v>
      </c>
      <c r="E36" t="s">
        <v>3</v>
      </c>
      <c r="F36" t="s">
        <v>49</v>
      </c>
      <c r="G36" t="s">
        <v>50</v>
      </c>
      <c r="H36" t="s">
        <v>47</v>
      </c>
      <c r="I36">
        <f>ROUND((0.8+72.6)/100,9)</f>
        <v>0.73399999999999999</v>
      </c>
      <c r="J36">
        <v>0</v>
      </c>
      <c r="O36">
        <f t="shared" si="21"/>
        <v>16421.98</v>
      </c>
      <c r="P36">
        <f t="shared" si="22"/>
        <v>0</v>
      </c>
      <c r="Q36">
        <f t="shared" si="23"/>
        <v>286.42</v>
      </c>
      <c r="R36">
        <f t="shared" si="24"/>
        <v>30.27</v>
      </c>
      <c r="S36">
        <f t="shared" si="25"/>
        <v>16135.56</v>
      </c>
      <c r="T36">
        <f t="shared" si="26"/>
        <v>0</v>
      </c>
      <c r="U36">
        <f t="shared" si="27"/>
        <v>76.475460000000012</v>
      </c>
      <c r="V36">
        <f t="shared" si="28"/>
        <v>0</v>
      </c>
      <c r="W36">
        <f t="shared" si="29"/>
        <v>0</v>
      </c>
      <c r="X36">
        <f t="shared" si="30"/>
        <v>11294.89</v>
      </c>
      <c r="Y36">
        <f t="shared" si="31"/>
        <v>1613.56</v>
      </c>
      <c r="AA36">
        <v>-1</v>
      </c>
      <c r="AB36">
        <f t="shared" si="32"/>
        <v>22373.26</v>
      </c>
      <c r="AC36">
        <f>ROUND(((ES36*0)),6)</f>
        <v>0</v>
      </c>
      <c r="AD36">
        <f>ROUND(((((ET36*0.2))-((EU36*0.2)))+AE36),6)</f>
        <v>390.21199999999999</v>
      </c>
      <c r="AE36">
        <f t="shared" ref="AE36:AF38" si="56">ROUND(((EU36*0.2)),6)</f>
        <v>41.244</v>
      </c>
      <c r="AF36">
        <f t="shared" si="56"/>
        <v>21983.047999999999</v>
      </c>
      <c r="AG36">
        <f t="shared" si="34"/>
        <v>0</v>
      </c>
      <c r="AH36">
        <f t="shared" ref="AH36:AI38" si="57">((EW36*0.2))</f>
        <v>104.19000000000001</v>
      </c>
      <c r="AI36">
        <f t="shared" si="57"/>
        <v>0</v>
      </c>
      <c r="AJ36">
        <f t="shared" si="36"/>
        <v>0</v>
      </c>
      <c r="AK36">
        <v>737610.58</v>
      </c>
      <c r="AL36">
        <v>625744.28</v>
      </c>
      <c r="AM36">
        <v>1951.06</v>
      </c>
      <c r="AN36">
        <v>206.22</v>
      </c>
      <c r="AO36">
        <v>109915.24</v>
      </c>
      <c r="AP36">
        <v>0</v>
      </c>
      <c r="AQ36">
        <v>520.95000000000005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51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7"/>
        <v>16421.98</v>
      </c>
      <c r="CQ36">
        <f t="shared" si="38"/>
        <v>0</v>
      </c>
      <c r="CR36">
        <f>(((((ET36*0.2))*BB36-((EU36*0.2))*BS36)+AE36*BS36)*AV36)</f>
        <v>390.21199999999999</v>
      </c>
      <c r="CS36">
        <f t="shared" si="39"/>
        <v>41.244</v>
      </c>
      <c r="CT36">
        <f t="shared" si="40"/>
        <v>21983.047999999999</v>
      </c>
      <c r="CU36">
        <f t="shared" si="41"/>
        <v>0</v>
      </c>
      <c r="CV36">
        <f t="shared" si="42"/>
        <v>104.19000000000001</v>
      </c>
      <c r="CW36">
        <f t="shared" si="43"/>
        <v>0</v>
      </c>
      <c r="CX36">
        <f t="shared" si="44"/>
        <v>0</v>
      </c>
      <c r="CY36">
        <f t="shared" si="45"/>
        <v>11294.892</v>
      </c>
      <c r="CZ36">
        <f t="shared" si="46"/>
        <v>1613.556</v>
      </c>
      <c r="DC36" t="s">
        <v>3</v>
      </c>
      <c r="DD36" t="s">
        <v>52</v>
      </c>
      <c r="DE36" t="s">
        <v>53</v>
      </c>
      <c r="DF36" t="s">
        <v>53</v>
      </c>
      <c r="DG36" t="s">
        <v>53</v>
      </c>
      <c r="DH36" t="s">
        <v>3</v>
      </c>
      <c r="DI36" t="s">
        <v>53</v>
      </c>
      <c r="DJ36" t="s">
        <v>53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1007</v>
      </c>
      <c r="DV36" t="s">
        <v>47</v>
      </c>
      <c r="DW36" t="s">
        <v>47</v>
      </c>
      <c r="DX36">
        <v>100</v>
      </c>
      <c r="EE36">
        <v>67874524</v>
      </c>
      <c r="EF36">
        <v>1</v>
      </c>
      <c r="EG36" t="s">
        <v>20</v>
      </c>
      <c r="EH36">
        <v>0</v>
      </c>
      <c r="EI36" t="s">
        <v>3</v>
      </c>
      <c r="EJ36">
        <v>4</v>
      </c>
      <c r="EK36">
        <v>0</v>
      </c>
      <c r="EL36" t="s">
        <v>21</v>
      </c>
      <c r="EM36" t="s">
        <v>22</v>
      </c>
      <c r="EO36" t="s">
        <v>3</v>
      </c>
      <c r="EQ36">
        <v>132096</v>
      </c>
      <c r="ER36">
        <v>737610.58</v>
      </c>
      <c r="ES36">
        <v>625744.28</v>
      </c>
      <c r="ET36">
        <v>1951.06</v>
      </c>
      <c r="EU36">
        <v>206.22</v>
      </c>
      <c r="EV36">
        <v>109915.24</v>
      </c>
      <c r="EW36">
        <v>520.95000000000005</v>
      </c>
      <c r="EX36">
        <v>0</v>
      </c>
      <c r="EY36">
        <v>0</v>
      </c>
      <c r="FQ36">
        <v>0</v>
      </c>
      <c r="FR36">
        <f t="shared" si="47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1490566608</v>
      </c>
      <c r="GG36">
        <v>2</v>
      </c>
      <c r="GH36">
        <v>1</v>
      </c>
      <c r="GI36">
        <v>-2</v>
      </c>
      <c r="GJ36">
        <v>0</v>
      </c>
      <c r="GK36">
        <f>ROUND(R36*(R12)/100,2)</f>
        <v>32.69</v>
      </c>
      <c r="GL36">
        <f t="shared" si="48"/>
        <v>0</v>
      </c>
      <c r="GM36">
        <f t="shared" si="52"/>
        <v>29363.119999999999</v>
      </c>
      <c r="GN36">
        <f t="shared" si="53"/>
        <v>0</v>
      </c>
      <c r="GO36">
        <f t="shared" si="54"/>
        <v>0</v>
      </c>
      <c r="GP36">
        <f t="shared" si="55"/>
        <v>29363.119999999999</v>
      </c>
      <c r="GR36">
        <v>0</v>
      </c>
      <c r="GS36">
        <v>3</v>
      </c>
      <c r="GT36">
        <v>0</v>
      </c>
      <c r="GU36" t="s">
        <v>3</v>
      </c>
      <c r="GV36">
        <f t="shared" si="49"/>
        <v>0</v>
      </c>
      <c r="GW36">
        <v>1</v>
      </c>
      <c r="GX36">
        <f t="shared" si="50"/>
        <v>0</v>
      </c>
      <c r="HA36">
        <v>0</v>
      </c>
      <c r="HB36">
        <v>0</v>
      </c>
      <c r="HC36">
        <f t="shared" si="51"/>
        <v>0</v>
      </c>
      <c r="IK36">
        <v>0</v>
      </c>
    </row>
    <row r="37" spans="1:245" x14ac:dyDescent="0.2">
      <c r="A37">
        <v>17</v>
      </c>
      <c r="B37">
        <v>1</v>
      </c>
      <c r="D37">
        <f>ROW(EtalonRes!A59)</f>
        <v>59</v>
      </c>
      <c r="E37" t="s">
        <v>3</v>
      </c>
      <c r="F37" t="s">
        <v>54</v>
      </c>
      <c r="G37" t="s">
        <v>55</v>
      </c>
      <c r="H37" t="s">
        <v>47</v>
      </c>
      <c r="I37">
        <f>ROUND(5.336/100,9)</f>
        <v>5.3359999999999998E-2</v>
      </c>
      <c r="J37">
        <v>0</v>
      </c>
      <c r="O37">
        <f t="shared" si="21"/>
        <v>2362.16</v>
      </c>
      <c r="P37">
        <f t="shared" si="22"/>
        <v>0</v>
      </c>
      <c r="Q37">
        <f t="shared" si="23"/>
        <v>34.26</v>
      </c>
      <c r="R37">
        <f t="shared" si="24"/>
        <v>3.13</v>
      </c>
      <c r="S37">
        <f t="shared" si="25"/>
        <v>2327.9</v>
      </c>
      <c r="T37">
        <f t="shared" si="26"/>
        <v>0</v>
      </c>
      <c r="U37">
        <f t="shared" si="27"/>
        <v>11.033247199999998</v>
      </c>
      <c r="V37">
        <f t="shared" si="28"/>
        <v>0</v>
      </c>
      <c r="W37">
        <f t="shared" si="29"/>
        <v>0</v>
      </c>
      <c r="X37">
        <f t="shared" si="30"/>
        <v>1629.53</v>
      </c>
      <c r="Y37">
        <f t="shared" si="31"/>
        <v>232.79</v>
      </c>
      <c r="AA37">
        <v>-1</v>
      </c>
      <c r="AB37">
        <f t="shared" si="32"/>
        <v>44268.394</v>
      </c>
      <c r="AC37">
        <f>ROUND(((ES37*0)),6)</f>
        <v>0</v>
      </c>
      <c r="AD37">
        <f>ROUND(((((ET37*0.2))-((EU37*0.2)))+AE37),6)</f>
        <v>641.99</v>
      </c>
      <c r="AE37">
        <f t="shared" si="56"/>
        <v>58.71</v>
      </c>
      <c r="AF37">
        <f t="shared" si="56"/>
        <v>43626.404000000002</v>
      </c>
      <c r="AG37">
        <f t="shared" si="34"/>
        <v>0</v>
      </c>
      <c r="AH37">
        <f t="shared" si="57"/>
        <v>206.76999999999998</v>
      </c>
      <c r="AI37">
        <f t="shared" si="57"/>
        <v>0</v>
      </c>
      <c r="AJ37">
        <f t="shared" si="36"/>
        <v>0</v>
      </c>
      <c r="AK37">
        <v>1037210.67</v>
      </c>
      <c r="AL37">
        <v>815868.7</v>
      </c>
      <c r="AM37">
        <v>3209.95</v>
      </c>
      <c r="AN37">
        <v>293.55</v>
      </c>
      <c r="AO37">
        <v>218132.02</v>
      </c>
      <c r="AP37">
        <v>0</v>
      </c>
      <c r="AQ37">
        <v>1033.8499999999999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56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7"/>
        <v>2362.1600000000003</v>
      </c>
      <c r="CQ37">
        <f t="shared" si="38"/>
        <v>0</v>
      </c>
      <c r="CR37">
        <f>(((((ET37*0.2))*BB37-((EU37*0.2))*BS37)+AE37*BS37)*AV37)</f>
        <v>641.99</v>
      </c>
      <c r="CS37">
        <f t="shared" si="39"/>
        <v>58.71</v>
      </c>
      <c r="CT37">
        <f t="shared" si="40"/>
        <v>43626.404000000002</v>
      </c>
      <c r="CU37">
        <f t="shared" si="41"/>
        <v>0</v>
      </c>
      <c r="CV37">
        <f t="shared" si="42"/>
        <v>206.76999999999998</v>
      </c>
      <c r="CW37">
        <f t="shared" si="43"/>
        <v>0</v>
      </c>
      <c r="CX37">
        <f t="shared" si="44"/>
        <v>0</v>
      </c>
      <c r="CY37">
        <f t="shared" si="45"/>
        <v>1629.53</v>
      </c>
      <c r="CZ37">
        <f t="shared" si="46"/>
        <v>232.79</v>
      </c>
      <c r="DC37" t="s">
        <v>3</v>
      </c>
      <c r="DD37" t="s">
        <v>52</v>
      </c>
      <c r="DE37" t="s">
        <v>53</v>
      </c>
      <c r="DF37" t="s">
        <v>53</v>
      </c>
      <c r="DG37" t="s">
        <v>53</v>
      </c>
      <c r="DH37" t="s">
        <v>3</v>
      </c>
      <c r="DI37" t="s">
        <v>53</v>
      </c>
      <c r="DJ37" t="s">
        <v>53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1007</v>
      </c>
      <c r="DV37" t="s">
        <v>47</v>
      </c>
      <c r="DW37" t="s">
        <v>47</v>
      </c>
      <c r="DX37">
        <v>100</v>
      </c>
      <c r="EE37">
        <v>67874524</v>
      </c>
      <c r="EF37">
        <v>1</v>
      </c>
      <c r="EG37" t="s">
        <v>20</v>
      </c>
      <c r="EH37">
        <v>0</v>
      </c>
      <c r="EI37" t="s">
        <v>3</v>
      </c>
      <c r="EJ37">
        <v>4</v>
      </c>
      <c r="EK37">
        <v>0</v>
      </c>
      <c r="EL37" t="s">
        <v>21</v>
      </c>
      <c r="EM37" t="s">
        <v>22</v>
      </c>
      <c r="EO37" t="s">
        <v>3</v>
      </c>
      <c r="EQ37">
        <v>132096</v>
      </c>
      <c r="ER37">
        <v>1037210.67</v>
      </c>
      <c r="ES37">
        <v>815868.7</v>
      </c>
      <c r="ET37">
        <v>3209.95</v>
      </c>
      <c r="EU37">
        <v>293.55</v>
      </c>
      <c r="EV37">
        <v>218132.02</v>
      </c>
      <c r="EW37">
        <v>1033.8499999999999</v>
      </c>
      <c r="EX37">
        <v>0</v>
      </c>
      <c r="EY37">
        <v>0</v>
      </c>
      <c r="FQ37">
        <v>0</v>
      </c>
      <c r="FR37">
        <f t="shared" si="47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-1099879151</v>
      </c>
      <c r="GG37">
        <v>2</v>
      </c>
      <c r="GH37">
        <v>1</v>
      </c>
      <c r="GI37">
        <v>-2</v>
      </c>
      <c r="GJ37">
        <v>0</v>
      </c>
      <c r="GK37">
        <f>ROUND(R37*(R12)/100,2)</f>
        <v>3.38</v>
      </c>
      <c r="GL37">
        <f t="shared" si="48"/>
        <v>0</v>
      </c>
      <c r="GM37">
        <f t="shared" si="52"/>
        <v>4227.8599999999997</v>
      </c>
      <c r="GN37">
        <f t="shared" si="53"/>
        <v>0</v>
      </c>
      <c r="GO37">
        <f t="shared" si="54"/>
        <v>0</v>
      </c>
      <c r="GP37">
        <f t="shared" si="55"/>
        <v>4227.8599999999997</v>
      </c>
      <c r="GR37">
        <v>0</v>
      </c>
      <c r="GS37">
        <v>3</v>
      </c>
      <c r="GT37">
        <v>0</v>
      </c>
      <c r="GU37" t="s">
        <v>3</v>
      </c>
      <c r="GV37">
        <f t="shared" si="49"/>
        <v>0</v>
      </c>
      <c r="GW37">
        <v>1</v>
      </c>
      <c r="GX37">
        <f t="shared" si="50"/>
        <v>0</v>
      </c>
      <c r="HA37">
        <v>0</v>
      </c>
      <c r="HB37">
        <v>0</v>
      </c>
      <c r="HC37">
        <f t="shared" si="51"/>
        <v>0</v>
      </c>
      <c r="IK37">
        <v>0</v>
      </c>
    </row>
    <row r="38" spans="1:245" x14ac:dyDescent="0.2">
      <c r="A38">
        <v>17</v>
      </c>
      <c r="B38">
        <v>1</v>
      </c>
      <c r="D38">
        <f>ROW(EtalonRes!A64)</f>
        <v>64</v>
      </c>
      <c r="E38" t="s">
        <v>3</v>
      </c>
      <c r="F38" t="s">
        <v>57</v>
      </c>
      <c r="G38" t="s">
        <v>58</v>
      </c>
      <c r="H38" t="s">
        <v>35</v>
      </c>
      <c r="I38">
        <f>ROUND(104/1000,9)</f>
        <v>0.104</v>
      </c>
      <c r="J38">
        <v>0</v>
      </c>
      <c r="O38">
        <f t="shared" si="21"/>
        <v>480.06</v>
      </c>
      <c r="P38">
        <f t="shared" si="22"/>
        <v>0</v>
      </c>
      <c r="Q38">
        <f t="shared" si="23"/>
        <v>12.25</v>
      </c>
      <c r="R38">
        <f t="shared" si="24"/>
        <v>0.53</v>
      </c>
      <c r="S38">
        <f t="shared" si="25"/>
        <v>467.81</v>
      </c>
      <c r="T38">
        <f t="shared" si="26"/>
        <v>0</v>
      </c>
      <c r="U38">
        <f t="shared" si="27"/>
        <v>1.81792</v>
      </c>
      <c r="V38">
        <f t="shared" si="28"/>
        <v>0</v>
      </c>
      <c r="W38">
        <f t="shared" si="29"/>
        <v>0</v>
      </c>
      <c r="X38">
        <f t="shared" si="30"/>
        <v>327.47000000000003</v>
      </c>
      <c r="Y38">
        <f t="shared" si="31"/>
        <v>46.78</v>
      </c>
      <c r="AA38">
        <v>-1</v>
      </c>
      <c r="AB38">
        <f t="shared" si="32"/>
        <v>4615.9279999999999</v>
      </c>
      <c r="AC38">
        <f>ROUND(((ES38*0)),6)</f>
        <v>0</v>
      </c>
      <c r="AD38">
        <f>ROUND(((((ET38*0.2))-((EU38*0.2)))+AE38),6)</f>
        <v>117.8</v>
      </c>
      <c r="AE38">
        <f t="shared" si="56"/>
        <v>5.13</v>
      </c>
      <c r="AF38">
        <f t="shared" si="56"/>
        <v>4498.1279999999997</v>
      </c>
      <c r="AG38">
        <f t="shared" si="34"/>
        <v>0</v>
      </c>
      <c r="AH38">
        <f t="shared" si="57"/>
        <v>17.48</v>
      </c>
      <c r="AI38">
        <f t="shared" si="57"/>
        <v>0</v>
      </c>
      <c r="AJ38">
        <f t="shared" si="36"/>
        <v>0</v>
      </c>
      <c r="AK38">
        <v>98608.07</v>
      </c>
      <c r="AL38">
        <v>75528.429999999993</v>
      </c>
      <c r="AM38">
        <v>589</v>
      </c>
      <c r="AN38">
        <v>25.65</v>
      </c>
      <c r="AO38">
        <v>22490.639999999999</v>
      </c>
      <c r="AP38">
        <v>0</v>
      </c>
      <c r="AQ38">
        <v>87.4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59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7"/>
        <v>480.06</v>
      </c>
      <c r="CQ38">
        <f t="shared" si="38"/>
        <v>0</v>
      </c>
      <c r="CR38">
        <f>(((((ET38*0.2))*BB38-((EU38*0.2))*BS38)+AE38*BS38)*AV38)</f>
        <v>117.80000000000001</v>
      </c>
      <c r="CS38">
        <f t="shared" si="39"/>
        <v>5.13</v>
      </c>
      <c r="CT38">
        <f t="shared" si="40"/>
        <v>4498.1279999999997</v>
      </c>
      <c r="CU38">
        <f t="shared" si="41"/>
        <v>0</v>
      </c>
      <c r="CV38">
        <f t="shared" si="42"/>
        <v>17.48</v>
      </c>
      <c r="CW38">
        <f t="shared" si="43"/>
        <v>0</v>
      </c>
      <c r="CX38">
        <f t="shared" si="44"/>
        <v>0</v>
      </c>
      <c r="CY38">
        <f t="shared" si="45"/>
        <v>327.46699999999998</v>
      </c>
      <c r="CZ38">
        <f t="shared" si="46"/>
        <v>46.781000000000006</v>
      </c>
      <c r="DC38" t="s">
        <v>3</v>
      </c>
      <c r="DD38" t="s">
        <v>52</v>
      </c>
      <c r="DE38" t="s">
        <v>53</v>
      </c>
      <c r="DF38" t="s">
        <v>53</v>
      </c>
      <c r="DG38" t="s">
        <v>53</v>
      </c>
      <c r="DH38" t="s">
        <v>3</v>
      </c>
      <c r="DI38" t="s">
        <v>53</v>
      </c>
      <c r="DJ38" t="s">
        <v>53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1009</v>
      </c>
      <c r="DV38" t="s">
        <v>35</v>
      </c>
      <c r="DW38" t="s">
        <v>35</v>
      </c>
      <c r="DX38">
        <v>1000</v>
      </c>
      <c r="EE38">
        <v>67874524</v>
      </c>
      <c r="EF38">
        <v>1</v>
      </c>
      <c r="EG38" t="s">
        <v>20</v>
      </c>
      <c r="EH38">
        <v>0</v>
      </c>
      <c r="EI38" t="s">
        <v>3</v>
      </c>
      <c r="EJ38">
        <v>4</v>
      </c>
      <c r="EK38">
        <v>0</v>
      </c>
      <c r="EL38" t="s">
        <v>21</v>
      </c>
      <c r="EM38" t="s">
        <v>22</v>
      </c>
      <c r="EO38" t="s">
        <v>3</v>
      </c>
      <c r="EQ38">
        <v>132096</v>
      </c>
      <c r="ER38">
        <v>98608.07</v>
      </c>
      <c r="ES38">
        <v>75528.429999999993</v>
      </c>
      <c r="ET38">
        <v>589</v>
      </c>
      <c r="EU38">
        <v>25.65</v>
      </c>
      <c r="EV38">
        <v>22490.639999999999</v>
      </c>
      <c r="EW38">
        <v>87.4</v>
      </c>
      <c r="EX38">
        <v>0</v>
      </c>
      <c r="EY38">
        <v>0</v>
      </c>
      <c r="FQ38">
        <v>0</v>
      </c>
      <c r="FR38">
        <f t="shared" si="47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-1542919465</v>
      </c>
      <c r="GG38">
        <v>2</v>
      </c>
      <c r="GH38">
        <v>1</v>
      </c>
      <c r="GI38">
        <v>-2</v>
      </c>
      <c r="GJ38">
        <v>0</v>
      </c>
      <c r="GK38">
        <f>ROUND(R38*(R12)/100,2)</f>
        <v>0.56999999999999995</v>
      </c>
      <c r="GL38">
        <f t="shared" si="48"/>
        <v>0</v>
      </c>
      <c r="GM38">
        <f t="shared" si="52"/>
        <v>854.88</v>
      </c>
      <c r="GN38">
        <f t="shared" si="53"/>
        <v>0</v>
      </c>
      <c r="GO38">
        <f t="shared" si="54"/>
        <v>0</v>
      </c>
      <c r="GP38">
        <f t="shared" si="55"/>
        <v>854.88</v>
      </c>
      <c r="GR38">
        <v>0</v>
      </c>
      <c r="GS38">
        <v>3</v>
      </c>
      <c r="GT38">
        <v>0</v>
      </c>
      <c r="GU38" t="s">
        <v>3</v>
      </c>
      <c r="GV38">
        <f t="shared" si="49"/>
        <v>0</v>
      </c>
      <c r="GW38">
        <v>1</v>
      </c>
      <c r="GX38">
        <f t="shared" si="50"/>
        <v>0</v>
      </c>
      <c r="HA38">
        <v>0</v>
      </c>
      <c r="HB38">
        <v>0</v>
      </c>
      <c r="HC38">
        <f t="shared" si="51"/>
        <v>0</v>
      </c>
      <c r="IK38">
        <v>0</v>
      </c>
    </row>
    <row r="39" spans="1:245" x14ac:dyDescent="0.2">
      <c r="A39">
        <v>17</v>
      </c>
      <c r="B39">
        <v>1</v>
      </c>
      <c r="D39">
        <f>ROW(EtalonRes!A66)</f>
        <v>66</v>
      </c>
      <c r="E39" t="s">
        <v>3</v>
      </c>
      <c r="F39" t="s">
        <v>60</v>
      </c>
      <c r="G39" t="s">
        <v>61</v>
      </c>
      <c r="H39" t="s">
        <v>28</v>
      </c>
      <c r="I39">
        <f>ROUND(20*0.4/100,9)</f>
        <v>0.08</v>
      </c>
      <c r="J39">
        <v>0</v>
      </c>
      <c r="O39">
        <f t="shared" si="21"/>
        <v>219.2</v>
      </c>
      <c r="P39">
        <f t="shared" si="22"/>
        <v>0</v>
      </c>
      <c r="Q39">
        <f t="shared" si="23"/>
        <v>0</v>
      </c>
      <c r="R39">
        <f t="shared" si="24"/>
        <v>0</v>
      </c>
      <c r="S39">
        <f t="shared" si="25"/>
        <v>219.2</v>
      </c>
      <c r="T39">
        <f t="shared" si="26"/>
        <v>0</v>
      </c>
      <c r="U39">
        <f t="shared" si="27"/>
        <v>1.2128000000000001</v>
      </c>
      <c r="V39">
        <f t="shared" si="28"/>
        <v>0</v>
      </c>
      <c r="W39">
        <f t="shared" si="29"/>
        <v>0</v>
      </c>
      <c r="X39">
        <f t="shared" si="30"/>
        <v>153.44</v>
      </c>
      <c r="Y39">
        <f t="shared" si="31"/>
        <v>21.92</v>
      </c>
      <c r="AA39">
        <v>-1</v>
      </c>
      <c r="AB39">
        <f t="shared" si="32"/>
        <v>2740.02</v>
      </c>
      <c r="AC39">
        <f>ROUND((ES39),6)</f>
        <v>0</v>
      </c>
      <c r="AD39">
        <f>ROUND((((ET39)-(EU39))+AE39),6)</f>
        <v>0</v>
      </c>
      <c r="AE39">
        <f t="shared" ref="AE39:AF41" si="58">ROUND((EU39),6)</f>
        <v>0</v>
      </c>
      <c r="AF39">
        <f t="shared" si="58"/>
        <v>2740.02</v>
      </c>
      <c r="AG39">
        <f t="shared" si="34"/>
        <v>0</v>
      </c>
      <c r="AH39">
        <f t="shared" ref="AH39:AI41" si="59">(EW39)</f>
        <v>15.16</v>
      </c>
      <c r="AI39">
        <f t="shared" si="59"/>
        <v>0</v>
      </c>
      <c r="AJ39">
        <f t="shared" si="36"/>
        <v>0</v>
      </c>
      <c r="AK39">
        <v>2740.02</v>
      </c>
      <c r="AL39">
        <v>0</v>
      </c>
      <c r="AM39">
        <v>0</v>
      </c>
      <c r="AN39">
        <v>0</v>
      </c>
      <c r="AO39">
        <v>2740.02</v>
      </c>
      <c r="AP39">
        <v>0</v>
      </c>
      <c r="AQ39">
        <v>15.16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4</v>
      </c>
      <c r="BJ39" t="s">
        <v>62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7"/>
        <v>219.2</v>
      </c>
      <c r="CQ39">
        <f t="shared" si="38"/>
        <v>0</v>
      </c>
      <c r="CR39">
        <f>((((ET39)*BB39-(EU39)*BS39)+AE39*BS39)*AV39)</f>
        <v>0</v>
      </c>
      <c r="CS39">
        <f t="shared" si="39"/>
        <v>0</v>
      </c>
      <c r="CT39">
        <f t="shared" si="40"/>
        <v>2740.02</v>
      </c>
      <c r="CU39">
        <f t="shared" si="41"/>
        <v>0</v>
      </c>
      <c r="CV39">
        <f t="shared" si="42"/>
        <v>15.16</v>
      </c>
      <c r="CW39">
        <f t="shared" si="43"/>
        <v>0</v>
      </c>
      <c r="CX39">
        <f t="shared" si="44"/>
        <v>0</v>
      </c>
      <c r="CY39">
        <f t="shared" si="45"/>
        <v>153.44</v>
      </c>
      <c r="CZ39">
        <f t="shared" si="46"/>
        <v>21.92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1005</v>
      </c>
      <c r="DV39" t="s">
        <v>28</v>
      </c>
      <c r="DW39" t="s">
        <v>28</v>
      </c>
      <c r="DX39">
        <v>100</v>
      </c>
      <c r="EE39">
        <v>67874524</v>
      </c>
      <c r="EF39">
        <v>1</v>
      </c>
      <c r="EG39" t="s">
        <v>20</v>
      </c>
      <c r="EH39">
        <v>0</v>
      </c>
      <c r="EI39" t="s">
        <v>3</v>
      </c>
      <c r="EJ39">
        <v>4</v>
      </c>
      <c r="EK39">
        <v>0</v>
      </c>
      <c r="EL39" t="s">
        <v>21</v>
      </c>
      <c r="EM39" t="s">
        <v>22</v>
      </c>
      <c r="EO39" t="s">
        <v>3</v>
      </c>
      <c r="EQ39">
        <v>132096</v>
      </c>
      <c r="ER39">
        <v>2740.02</v>
      </c>
      <c r="ES39">
        <v>0</v>
      </c>
      <c r="ET39">
        <v>0</v>
      </c>
      <c r="EU39">
        <v>0</v>
      </c>
      <c r="EV39">
        <v>2740.02</v>
      </c>
      <c r="EW39">
        <v>15.16</v>
      </c>
      <c r="EX39">
        <v>0</v>
      </c>
      <c r="EY39">
        <v>0</v>
      </c>
      <c r="FQ39">
        <v>0</v>
      </c>
      <c r="FR39">
        <f t="shared" si="47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819298837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48"/>
        <v>0</v>
      </c>
      <c r="GM39">
        <f t="shared" si="52"/>
        <v>394.56</v>
      </c>
      <c r="GN39">
        <f t="shared" si="53"/>
        <v>0</v>
      </c>
      <c r="GO39">
        <f t="shared" si="54"/>
        <v>0</v>
      </c>
      <c r="GP39">
        <f t="shared" si="55"/>
        <v>394.56</v>
      </c>
      <c r="GR39">
        <v>0</v>
      </c>
      <c r="GS39">
        <v>3</v>
      </c>
      <c r="GT39">
        <v>0</v>
      </c>
      <c r="GU39" t="s">
        <v>3</v>
      </c>
      <c r="GV39">
        <f t="shared" si="49"/>
        <v>0</v>
      </c>
      <c r="GW39">
        <v>1</v>
      </c>
      <c r="GX39">
        <f t="shared" si="50"/>
        <v>0</v>
      </c>
      <c r="HA39">
        <v>0</v>
      </c>
      <c r="HB39">
        <v>0</v>
      </c>
      <c r="HC39">
        <f t="shared" si="51"/>
        <v>0</v>
      </c>
      <c r="IK39">
        <v>0</v>
      </c>
    </row>
    <row r="40" spans="1:245" x14ac:dyDescent="0.2">
      <c r="A40">
        <v>17</v>
      </c>
      <c r="B40">
        <v>1</v>
      </c>
      <c r="D40">
        <f>ROW(EtalonRes!A69)</f>
        <v>69</v>
      </c>
      <c r="E40" t="s">
        <v>3</v>
      </c>
      <c r="F40" t="s">
        <v>63</v>
      </c>
      <c r="G40" t="s">
        <v>64</v>
      </c>
      <c r="H40" t="s">
        <v>28</v>
      </c>
      <c r="I40">
        <f>ROUND(3/100,9)</f>
        <v>0.03</v>
      </c>
      <c r="J40">
        <v>0</v>
      </c>
      <c r="O40">
        <f t="shared" si="21"/>
        <v>932.41</v>
      </c>
      <c r="P40">
        <f t="shared" si="22"/>
        <v>0</v>
      </c>
      <c r="Q40">
        <f t="shared" si="23"/>
        <v>0.77</v>
      </c>
      <c r="R40">
        <f t="shared" si="24"/>
        <v>0</v>
      </c>
      <c r="S40">
        <f t="shared" si="25"/>
        <v>931.64</v>
      </c>
      <c r="T40">
        <f t="shared" si="26"/>
        <v>0</v>
      </c>
      <c r="U40">
        <f t="shared" si="27"/>
        <v>5.1545999999999994</v>
      </c>
      <c r="V40">
        <f t="shared" si="28"/>
        <v>0</v>
      </c>
      <c r="W40">
        <f t="shared" si="29"/>
        <v>0</v>
      </c>
      <c r="X40">
        <f t="shared" si="30"/>
        <v>652.15</v>
      </c>
      <c r="Y40">
        <f t="shared" si="31"/>
        <v>93.16</v>
      </c>
      <c r="AA40">
        <v>-1</v>
      </c>
      <c r="AB40">
        <f t="shared" si="32"/>
        <v>31080.38</v>
      </c>
      <c r="AC40">
        <f>ROUND((ES40),6)</f>
        <v>0</v>
      </c>
      <c r="AD40">
        <f>ROUND((((ET40)-(EU40))+AE40),6)</f>
        <v>25.63</v>
      </c>
      <c r="AE40">
        <f t="shared" si="58"/>
        <v>0.06</v>
      </c>
      <c r="AF40">
        <f t="shared" si="58"/>
        <v>31054.75</v>
      </c>
      <c r="AG40">
        <f t="shared" si="34"/>
        <v>0</v>
      </c>
      <c r="AH40">
        <f t="shared" si="59"/>
        <v>171.82</v>
      </c>
      <c r="AI40">
        <f t="shared" si="59"/>
        <v>0</v>
      </c>
      <c r="AJ40">
        <f t="shared" si="36"/>
        <v>0</v>
      </c>
      <c r="AK40">
        <v>31080.38</v>
      </c>
      <c r="AL40">
        <v>0</v>
      </c>
      <c r="AM40">
        <v>25.63</v>
      </c>
      <c r="AN40">
        <v>0.06</v>
      </c>
      <c r="AO40">
        <v>31054.75</v>
      </c>
      <c r="AP40">
        <v>0</v>
      </c>
      <c r="AQ40">
        <v>171.82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0</v>
      </c>
      <c r="BI40">
        <v>4</v>
      </c>
      <c r="BJ40" t="s">
        <v>65</v>
      </c>
      <c r="BM40">
        <v>0</v>
      </c>
      <c r="BN40">
        <v>0</v>
      </c>
      <c r="BO40" t="s">
        <v>3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37"/>
        <v>932.41</v>
      </c>
      <c r="CQ40">
        <f t="shared" si="38"/>
        <v>0</v>
      </c>
      <c r="CR40">
        <f>((((ET40)*BB40-(EU40)*BS40)+AE40*BS40)*AV40)</f>
        <v>25.63</v>
      </c>
      <c r="CS40">
        <f t="shared" si="39"/>
        <v>0.06</v>
      </c>
      <c r="CT40">
        <f t="shared" si="40"/>
        <v>31054.75</v>
      </c>
      <c r="CU40">
        <f t="shared" si="41"/>
        <v>0</v>
      </c>
      <c r="CV40">
        <f t="shared" si="42"/>
        <v>171.82</v>
      </c>
      <c r="CW40">
        <f t="shared" si="43"/>
        <v>0</v>
      </c>
      <c r="CX40">
        <f t="shared" si="44"/>
        <v>0</v>
      </c>
      <c r="CY40">
        <f t="shared" si="45"/>
        <v>652.14799999999991</v>
      </c>
      <c r="CZ40">
        <f t="shared" si="46"/>
        <v>93.164000000000001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1005</v>
      </c>
      <c r="DV40" t="s">
        <v>28</v>
      </c>
      <c r="DW40" t="s">
        <v>28</v>
      </c>
      <c r="DX40">
        <v>100</v>
      </c>
      <c r="EE40">
        <v>67874524</v>
      </c>
      <c r="EF40">
        <v>1</v>
      </c>
      <c r="EG40" t="s">
        <v>20</v>
      </c>
      <c r="EH40">
        <v>0</v>
      </c>
      <c r="EI40" t="s">
        <v>3</v>
      </c>
      <c r="EJ40">
        <v>4</v>
      </c>
      <c r="EK40">
        <v>0</v>
      </c>
      <c r="EL40" t="s">
        <v>21</v>
      </c>
      <c r="EM40" t="s">
        <v>22</v>
      </c>
      <c r="EO40" t="s">
        <v>3</v>
      </c>
      <c r="EQ40">
        <v>132096</v>
      </c>
      <c r="ER40">
        <v>31080.38</v>
      </c>
      <c r="ES40">
        <v>0</v>
      </c>
      <c r="ET40">
        <v>25.63</v>
      </c>
      <c r="EU40">
        <v>0.06</v>
      </c>
      <c r="EV40">
        <v>31054.75</v>
      </c>
      <c r="EW40">
        <v>171.82</v>
      </c>
      <c r="EX40">
        <v>0</v>
      </c>
      <c r="EY40">
        <v>0</v>
      </c>
      <c r="FQ40">
        <v>0</v>
      </c>
      <c r="FR40">
        <f t="shared" si="47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-1123269800</v>
      </c>
      <c r="GG40">
        <v>2</v>
      </c>
      <c r="GH40">
        <v>1</v>
      </c>
      <c r="GI40">
        <v>-2</v>
      </c>
      <c r="GJ40">
        <v>0</v>
      </c>
      <c r="GK40">
        <f>ROUND(R40*(R12)/100,2)</f>
        <v>0</v>
      </c>
      <c r="GL40">
        <f t="shared" si="48"/>
        <v>0</v>
      </c>
      <c r="GM40">
        <f t="shared" si="52"/>
        <v>1677.72</v>
      </c>
      <c r="GN40">
        <f t="shared" si="53"/>
        <v>0</v>
      </c>
      <c r="GO40">
        <f t="shared" si="54"/>
        <v>0</v>
      </c>
      <c r="GP40">
        <f t="shared" si="55"/>
        <v>1677.72</v>
      </c>
      <c r="GR40">
        <v>0</v>
      </c>
      <c r="GS40">
        <v>3</v>
      </c>
      <c r="GT40">
        <v>0</v>
      </c>
      <c r="GU40" t="s">
        <v>3</v>
      </c>
      <c r="GV40">
        <f t="shared" si="49"/>
        <v>0</v>
      </c>
      <c r="GW40">
        <v>1</v>
      </c>
      <c r="GX40">
        <f t="shared" si="50"/>
        <v>0</v>
      </c>
      <c r="HA40">
        <v>0</v>
      </c>
      <c r="HB40">
        <v>0</v>
      </c>
      <c r="HC40">
        <f t="shared" si="51"/>
        <v>0</v>
      </c>
      <c r="IK40">
        <v>0</v>
      </c>
    </row>
    <row r="41" spans="1:245" x14ac:dyDescent="0.2">
      <c r="A41">
        <v>17</v>
      </c>
      <c r="B41">
        <v>1</v>
      </c>
      <c r="D41">
        <f>ROW(EtalonRes!A70)</f>
        <v>70</v>
      </c>
      <c r="E41" t="s">
        <v>3</v>
      </c>
      <c r="F41" t="s">
        <v>66</v>
      </c>
      <c r="G41" t="s">
        <v>67</v>
      </c>
      <c r="H41" t="s">
        <v>68</v>
      </c>
      <c r="I41">
        <f>ROUND(3/10,9)</f>
        <v>0.3</v>
      </c>
      <c r="J41">
        <v>0</v>
      </c>
      <c r="O41">
        <f t="shared" si="21"/>
        <v>678.61</v>
      </c>
      <c r="P41">
        <f t="shared" si="22"/>
        <v>0</v>
      </c>
      <c r="Q41">
        <f t="shared" si="23"/>
        <v>0</v>
      </c>
      <c r="R41">
        <f t="shared" si="24"/>
        <v>0</v>
      </c>
      <c r="S41">
        <f t="shared" si="25"/>
        <v>678.61</v>
      </c>
      <c r="T41">
        <f t="shared" si="26"/>
        <v>0</v>
      </c>
      <c r="U41">
        <f t="shared" si="27"/>
        <v>2.9099999999999997</v>
      </c>
      <c r="V41">
        <f t="shared" si="28"/>
        <v>0</v>
      </c>
      <c r="W41">
        <f t="shared" si="29"/>
        <v>0</v>
      </c>
      <c r="X41">
        <f t="shared" si="30"/>
        <v>475.03</v>
      </c>
      <c r="Y41">
        <f t="shared" si="31"/>
        <v>67.86</v>
      </c>
      <c r="AA41">
        <v>-1</v>
      </c>
      <c r="AB41">
        <f t="shared" si="32"/>
        <v>2262.04</v>
      </c>
      <c r="AC41">
        <f>ROUND((ES41),6)</f>
        <v>0</v>
      </c>
      <c r="AD41">
        <f>ROUND((((ET41)-(EU41))+AE41),6)</f>
        <v>0</v>
      </c>
      <c r="AE41">
        <f t="shared" si="58"/>
        <v>0</v>
      </c>
      <c r="AF41">
        <f t="shared" si="58"/>
        <v>2262.04</v>
      </c>
      <c r="AG41">
        <f t="shared" si="34"/>
        <v>0</v>
      </c>
      <c r="AH41">
        <f t="shared" si="59"/>
        <v>9.6999999999999993</v>
      </c>
      <c r="AI41">
        <f t="shared" si="59"/>
        <v>0</v>
      </c>
      <c r="AJ41">
        <f t="shared" si="36"/>
        <v>0</v>
      </c>
      <c r="AK41">
        <v>2262.04</v>
      </c>
      <c r="AL41">
        <v>0</v>
      </c>
      <c r="AM41">
        <v>0</v>
      </c>
      <c r="AN41">
        <v>0</v>
      </c>
      <c r="AO41">
        <v>2262.04</v>
      </c>
      <c r="AP41">
        <v>0</v>
      </c>
      <c r="AQ41">
        <v>9.6999999999999993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0</v>
      </c>
      <c r="BI41">
        <v>4</v>
      </c>
      <c r="BJ41" t="s">
        <v>69</v>
      </c>
      <c r="BM41">
        <v>0</v>
      </c>
      <c r="BN41">
        <v>0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37"/>
        <v>678.61</v>
      </c>
      <c r="CQ41">
        <f t="shared" si="38"/>
        <v>0</v>
      </c>
      <c r="CR41">
        <f>((((ET41)*BB41-(EU41)*BS41)+AE41*BS41)*AV41)</f>
        <v>0</v>
      </c>
      <c r="CS41">
        <f t="shared" si="39"/>
        <v>0</v>
      </c>
      <c r="CT41">
        <f t="shared" si="40"/>
        <v>2262.04</v>
      </c>
      <c r="CU41">
        <f t="shared" si="41"/>
        <v>0</v>
      </c>
      <c r="CV41">
        <f t="shared" si="42"/>
        <v>9.6999999999999993</v>
      </c>
      <c r="CW41">
        <f t="shared" si="43"/>
        <v>0</v>
      </c>
      <c r="CX41">
        <f t="shared" si="44"/>
        <v>0</v>
      </c>
      <c r="CY41">
        <f t="shared" si="45"/>
        <v>475.02700000000004</v>
      </c>
      <c r="CZ41">
        <f t="shared" si="46"/>
        <v>67.861000000000004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1005</v>
      </c>
      <c r="DV41" t="s">
        <v>68</v>
      </c>
      <c r="DW41" t="s">
        <v>68</v>
      </c>
      <c r="DX41">
        <v>10</v>
      </c>
      <c r="EE41">
        <v>67874524</v>
      </c>
      <c r="EF41">
        <v>1</v>
      </c>
      <c r="EG41" t="s">
        <v>20</v>
      </c>
      <c r="EH41">
        <v>0</v>
      </c>
      <c r="EI41" t="s">
        <v>3</v>
      </c>
      <c r="EJ41">
        <v>4</v>
      </c>
      <c r="EK41">
        <v>0</v>
      </c>
      <c r="EL41" t="s">
        <v>21</v>
      </c>
      <c r="EM41" t="s">
        <v>22</v>
      </c>
      <c r="EO41" t="s">
        <v>3</v>
      </c>
      <c r="EQ41">
        <v>132096</v>
      </c>
      <c r="ER41">
        <v>2262.04</v>
      </c>
      <c r="ES41">
        <v>0</v>
      </c>
      <c r="ET41">
        <v>0</v>
      </c>
      <c r="EU41">
        <v>0</v>
      </c>
      <c r="EV41">
        <v>2262.04</v>
      </c>
      <c r="EW41">
        <v>9.6999999999999993</v>
      </c>
      <c r="EX41">
        <v>0</v>
      </c>
      <c r="EY41">
        <v>0</v>
      </c>
      <c r="FQ41">
        <v>0</v>
      </c>
      <c r="FR41">
        <f t="shared" si="47"/>
        <v>0</v>
      </c>
      <c r="FS41">
        <v>0</v>
      </c>
      <c r="FX41">
        <v>70</v>
      </c>
      <c r="FY41">
        <v>10</v>
      </c>
      <c r="GA41" t="s">
        <v>3</v>
      </c>
      <c r="GD41">
        <v>0</v>
      </c>
      <c r="GF41">
        <v>912389088</v>
      </c>
      <c r="GG41">
        <v>2</v>
      </c>
      <c r="GH41">
        <v>1</v>
      </c>
      <c r="GI41">
        <v>-2</v>
      </c>
      <c r="GJ41">
        <v>0</v>
      </c>
      <c r="GK41">
        <f>ROUND(R41*(R12)/100,2)</f>
        <v>0</v>
      </c>
      <c r="GL41">
        <f t="shared" si="48"/>
        <v>0</v>
      </c>
      <c r="GM41">
        <f t="shared" si="52"/>
        <v>1221.5</v>
      </c>
      <c r="GN41">
        <f t="shared" si="53"/>
        <v>0</v>
      </c>
      <c r="GO41">
        <f t="shared" si="54"/>
        <v>0</v>
      </c>
      <c r="GP41">
        <f t="shared" si="55"/>
        <v>1221.5</v>
      </c>
      <c r="GR41">
        <v>0</v>
      </c>
      <c r="GS41">
        <v>3</v>
      </c>
      <c r="GT41">
        <v>0</v>
      </c>
      <c r="GU41" t="s">
        <v>3</v>
      </c>
      <c r="GV41">
        <f t="shared" si="49"/>
        <v>0</v>
      </c>
      <c r="GW41">
        <v>1</v>
      </c>
      <c r="GX41">
        <f t="shared" si="50"/>
        <v>0</v>
      </c>
      <c r="HA41">
        <v>0</v>
      </c>
      <c r="HB41">
        <v>0</v>
      </c>
      <c r="HC41">
        <f t="shared" si="51"/>
        <v>0</v>
      </c>
      <c r="IK41">
        <v>0</v>
      </c>
    </row>
    <row r="42" spans="1:245" x14ac:dyDescent="0.2">
      <c r="A42">
        <v>17</v>
      </c>
      <c r="B42">
        <v>1</v>
      </c>
      <c r="D42">
        <f>ROW(EtalonRes!A76)</f>
        <v>76</v>
      </c>
      <c r="E42" t="s">
        <v>3</v>
      </c>
      <c r="F42" t="s">
        <v>70</v>
      </c>
      <c r="G42" t="s">
        <v>71</v>
      </c>
      <c r="H42" t="s">
        <v>72</v>
      </c>
      <c r="I42">
        <f>ROUND(22/100,9)</f>
        <v>0.22</v>
      </c>
      <c r="J42">
        <v>0</v>
      </c>
      <c r="O42">
        <f t="shared" si="21"/>
        <v>421.11</v>
      </c>
      <c r="P42">
        <f t="shared" si="22"/>
        <v>0</v>
      </c>
      <c r="Q42">
        <f t="shared" si="23"/>
        <v>31.9</v>
      </c>
      <c r="R42">
        <f t="shared" si="24"/>
        <v>17.32</v>
      </c>
      <c r="S42">
        <f t="shared" si="25"/>
        <v>389.21</v>
      </c>
      <c r="T42">
        <f t="shared" si="26"/>
        <v>0</v>
      </c>
      <c r="U42">
        <f t="shared" si="27"/>
        <v>1.66144</v>
      </c>
      <c r="V42">
        <f t="shared" si="28"/>
        <v>0</v>
      </c>
      <c r="W42">
        <f t="shared" si="29"/>
        <v>0</v>
      </c>
      <c r="X42">
        <f t="shared" si="30"/>
        <v>272.45</v>
      </c>
      <c r="Y42">
        <f t="shared" si="31"/>
        <v>38.92</v>
      </c>
      <c r="AA42">
        <v>-1</v>
      </c>
      <c r="AB42">
        <f t="shared" si="32"/>
        <v>1914.11</v>
      </c>
      <c r="AC42">
        <f>ROUND(((ES42*0)),6)</f>
        <v>0</v>
      </c>
      <c r="AD42">
        <f>ROUND(((((ET42*0.2))-((EU42*0.2)))+AE42),6)</f>
        <v>144.98599999999999</v>
      </c>
      <c r="AE42">
        <f t="shared" ref="AE42:AF44" si="60">ROUND(((EU42*0.2)),6)</f>
        <v>78.709999999999994</v>
      </c>
      <c r="AF42">
        <f t="shared" si="60"/>
        <v>1769.124</v>
      </c>
      <c r="AG42">
        <f t="shared" si="34"/>
        <v>0</v>
      </c>
      <c r="AH42">
        <f t="shared" ref="AH42:AI44" si="61">((EW42*0.2))</f>
        <v>7.5519999999999996</v>
      </c>
      <c r="AI42">
        <f t="shared" si="61"/>
        <v>0</v>
      </c>
      <c r="AJ42">
        <f t="shared" si="36"/>
        <v>0</v>
      </c>
      <c r="AK42">
        <v>551954.56999999995</v>
      </c>
      <c r="AL42">
        <v>542384.02</v>
      </c>
      <c r="AM42">
        <v>724.93</v>
      </c>
      <c r="AN42">
        <v>393.55</v>
      </c>
      <c r="AO42">
        <v>8845.6200000000008</v>
      </c>
      <c r="AP42">
        <v>0</v>
      </c>
      <c r="AQ42">
        <v>37.76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3</v>
      </c>
      <c r="BE42" t="s">
        <v>3</v>
      </c>
      <c r="BF42" t="s">
        <v>3</v>
      </c>
      <c r="BG42" t="s">
        <v>3</v>
      </c>
      <c r="BH42">
        <v>0</v>
      </c>
      <c r="BI42">
        <v>4</v>
      </c>
      <c r="BJ42" t="s">
        <v>73</v>
      </c>
      <c r="BM42">
        <v>0</v>
      </c>
      <c r="BN42">
        <v>0</v>
      </c>
      <c r="BO42" t="s">
        <v>3</v>
      </c>
      <c r="BP42">
        <v>0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3</v>
      </c>
      <c r="CO42">
        <v>0</v>
      </c>
      <c r="CP42">
        <f t="shared" si="37"/>
        <v>421.10999999999996</v>
      </c>
      <c r="CQ42">
        <f t="shared" si="38"/>
        <v>0</v>
      </c>
      <c r="CR42">
        <f>(((((ET42*0.2))*BB42-((EU42*0.2))*BS42)+AE42*BS42)*AV42)</f>
        <v>144.98599999999999</v>
      </c>
      <c r="CS42">
        <f t="shared" si="39"/>
        <v>78.709999999999994</v>
      </c>
      <c r="CT42">
        <f t="shared" si="40"/>
        <v>1769.124</v>
      </c>
      <c r="CU42">
        <f t="shared" si="41"/>
        <v>0</v>
      </c>
      <c r="CV42">
        <f t="shared" si="42"/>
        <v>7.5519999999999996</v>
      </c>
      <c r="CW42">
        <f t="shared" si="43"/>
        <v>0</v>
      </c>
      <c r="CX42">
        <f t="shared" si="44"/>
        <v>0</v>
      </c>
      <c r="CY42">
        <f t="shared" si="45"/>
        <v>272.44699999999995</v>
      </c>
      <c r="CZ42">
        <f t="shared" si="46"/>
        <v>38.920999999999999</v>
      </c>
      <c r="DC42" t="s">
        <v>3</v>
      </c>
      <c r="DD42" t="s">
        <v>52</v>
      </c>
      <c r="DE42" t="s">
        <v>53</v>
      </c>
      <c r="DF42" t="s">
        <v>53</v>
      </c>
      <c r="DG42" t="s">
        <v>53</v>
      </c>
      <c r="DH42" t="s">
        <v>3</v>
      </c>
      <c r="DI42" t="s">
        <v>53</v>
      </c>
      <c r="DJ42" t="s">
        <v>53</v>
      </c>
      <c r="DK42" t="s">
        <v>3</v>
      </c>
      <c r="DL42" t="s">
        <v>3</v>
      </c>
      <c r="DM42" t="s">
        <v>3</v>
      </c>
      <c r="DN42">
        <v>0</v>
      </c>
      <c r="DO42">
        <v>0</v>
      </c>
      <c r="DP42">
        <v>1</v>
      </c>
      <c r="DQ42">
        <v>1</v>
      </c>
      <c r="DU42">
        <v>1003</v>
      </c>
      <c r="DV42" t="s">
        <v>72</v>
      </c>
      <c r="DW42" t="s">
        <v>72</v>
      </c>
      <c r="DX42">
        <v>100</v>
      </c>
      <c r="EE42">
        <v>67874524</v>
      </c>
      <c r="EF42">
        <v>1</v>
      </c>
      <c r="EG42" t="s">
        <v>20</v>
      </c>
      <c r="EH42">
        <v>0</v>
      </c>
      <c r="EI42" t="s">
        <v>3</v>
      </c>
      <c r="EJ42">
        <v>4</v>
      </c>
      <c r="EK42">
        <v>0</v>
      </c>
      <c r="EL42" t="s">
        <v>21</v>
      </c>
      <c r="EM42" t="s">
        <v>22</v>
      </c>
      <c r="EO42" t="s">
        <v>3</v>
      </c>
      <c r="EQ42">
        <v>132096</v>
      </c>
      <c r="ER42">
        <v>551954.56999999995</v>
      </c>
      <c r="ES42">
        <v>542384.02</v>
      </c>
      <c r="ET42">
        <v>724.93</v>
      </c>
      <c r="EU42">
        <v>393.55</v>
      </c>
      <c r="EV42">
        <v>8845.6200000000008</v>
      </c>
      <c r="EW42">
        <v>37.76</v>
      </c>
      <c r="EX42">
        <v>0</v>
      </c>
      <c r="EY42">
        <v>0</v>
      </c>
      <c r="FQ42">
        <v>0</v>
      </c>
      <c r="FR42">
        <f t="shared" si="47"/>
        <v>0</v>
      </c>
      <c r="FS42">
        <v>0</v>
      </c>
      <c r="FX42">
        <v>70</v>
      </c>
      <c r="FY42">
        <v>10</v>
      </c>
      <c r="GA42" t="s">
        <v>3</v>
      </c>
      <c r="GD42">
        <v>0</v>
      </c>
      <c r="GF42">
        <v>370829500</v>
      </c>
      <c r="GG42">
        <v>2</v>
      </c>
      <c r="GH42">
        <v>1</v>
      </c>
      <c r="GI42">
        <v>-2</v>
      </c>
      <c r="GJ42">
        <v>0</v>
      </c>
      <c r="GK42">
        <f>ROUND(R42*(R12)/100,2)</f>
        <v>18.71</v>
      </c>
      <c r="GL42">
        <f t="shared" si="48"/>
        <v>0</v>
      </c>
      <c r="GM42">
        <f t="shared" si="52"/>
        <v>751.19</v>
      </c>
      <c r="GN42">
        <f t="shared" si="53"/>
        <v>0</v>
      </c>
      <c r="GO42">
        <f t="shared" si="54"/>
        <v>0</v>
      </c>
      <c r="GP42">
        <f t="shared" si="55"/>
        <v>751.19</v>
      </c>
      <c r="GR42">
        <v>0</v>
      </c>
      <c r="GS42">
        <v>3</v>
      </c>
      <c r="GT42">
        <v>0</v>
      </c>
      <c r="GU42" t="s">
        <v>3</v>
      </c>
      <c r="GV42">
        <f t="shared" si="49"/>
        <v>0</v>
      </c>
      <c r="GW42">
        <v>1</v>
      </c>
      <c r="GX42">
        <f t="shared" si="50"/>
        <v>0</v>
      </c>
      <c r="HA42">
        <v>0</v>
      </c>
      <c r="HB42">
        <v>0</v>
      </c>
      <c r="HC42">
        <f t="shared" si="51"/>
        <v>0</v>
      </c>
      <c r="IK42">
        <v>0</v>
      </c>
    </row>
    <row r="43" spans="1:245" x14ac:dyDescent="0.2">
      <c r="A43">
        <v>17</v>
      </c>
      <c r="B43">
        <v>1</v>
      </c>
      <c r="D43">
        <f>ROW(EtalonRes!A86)</f>
        <v>86</v>
      </c>
      <c r="E43" t="s">
        <v>3</v>
      </c>
      <c r="F43" t="s">
        <v>74</v>
      </c>
      <c r="G43" t="s">
        <v>75</v>
      </c>
      <c r="H43" t="s">
        <v>72</v>
      </c>
      <c r="I43">
        <f>ROUND(71/100,9)</f>
        <v>0.71</v>
      </c>
      <c r="J43">
        <v>0</v>
      </c>
      <c r="O43">
        <f t="shared" si="21"/>
        <v>13592.12</v>
      </c>
      <c r="P43">
        <f t="shared" si="22"/>
        <v>0</v>
      </c>
      <c r="Q43">
        <f t="shared" si="23"/>
        <v>2946.53</v>
      </c>
      <c r="R43">
        <f t="shared" si="24"/>
        <v>533.53</v>
      </c>
      <c r="S43">
        <f t="shared" si="25"/>
        <v>10645.59</v>
      </c>
      <c r="T43">
        <f t="shared" si="26"/>
        <v>0</v>
      </c>
      <c r="U43">
        <f t="shared" si="27"/>
        <v>48.395020000000002</v>
      </c>
      <c r="V43">
        <f t="shared" si="28"/>
        <v>0</v>
      </c>
      <c r="W43">
        <f t="shared" si="29"/>
        <v>0</v>
      </c>
      <c r="X43">
        <f t="shared" si="30"/>
        <v>7451.91</v>
      </c>
      <c r="Y43">
        <f t="shared" si="31"/>
        <v>1064.56</v>
      </c>
      <c r="AA43">
        <v>-1</v>
      </c>
      <c r="AB43">
        <f t="shared" si="32"/>
        <v>19143.822</v>
      </c>
      <c r="AC43">
        <f>ROUND(((ES43*0)),6)</f>
        <v>0</v>
      </c>
      <c r="AD43">
        <f>ROUND(((((ET43*0.2))-((EU43*0.2)))+AE43),6)</f>
        <v>4150.04</v>
      </c>
      <c r="AE43">
        <f t="shared" si="60"/>
        <v>751.45399999999995</v>
      </c>
      <c r="AF43">
        <f t="shared" si="60"/>
        <v>14993.781999999999</v>
      </c>
      <c r="AG43">
        <f t="shared" si="34"/>
        <v>0</v>
      </c>
      <c r="AH43">
        <f t="shared" si="61"/>
        <v>68.162000000000006</v>
      </c>
      <c r="AI43">
        <f t="shared" si="61"/>
        <v>0</v>
      </c>
      <c r="AJ43">
        <f t="shared" si="36"/>
        <v>0</v>
      </c>
      <c r="AK43">
        <v>686850.89</v>
      </c>
      <c r="AL43">
        <v>591131.78</v>
      </c>
      <c r="AM43">
        <v>20750.2</v>
      </c>
      <c r="AN43">
        <v>3757.27</v>
      </c>
      <c r="AO43">
        <v>74968.91</v>
      </c>
      <c r="AP43">
        <v>0</v>
      </c>
      <c r="AQ43">
        <v>340.81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0</v>
      </c>
      <c r="BI43">
        <v>4</v>
      </c>
      <c r="BJ43" t="s">
        <v>76</v>
      </c>
      <c r="BM43">
        <v>0</v>
      </c>
      <c r="BN43">
        <v>0</v>
      </c>
      <c r="BO43" t="s">
        <v>3</v>
      </c>
      <c r="BP43">
        <v>0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37"/>
        <v>13592.12</v>
      </c>
      <c r="CQ43">
        <f t="shared" si="38"/>
        <v>0</v>
      </c>
      <c r="CR43">
        <f>(((((ET43*0.2))*BB43-((EU43*0.2))*BS43)+AE43*BS43)*AV43)</f>
        <v>4150.04</v>
      </c>
      <c r="CS43">
        <f t="shared" si="39"/>
        <v>751.45399999999995</v>
      </c>
      <c r="CT43">
        <f t="shared" si="40"/>
        <v>14993.781999999999</v>
      </c>
      <c r="CU43">
        <f t="shared" si="41"/>
        <v>0</v>
      </c>
      <c r="CV43">
        <f t="shared" si="42"/>
        <v>68.162000000000006</v>
      </c>
      <c r="CW43">
        <f t="shared" si="43"/>
        <v>0</v>
      </c>
      <c r="CX43">
        <f t="shared" si="44"/>
        <v>0</v>
      </c>
      <c r="CY43">
        <f t="shared" si="45"/>
        <v>7451.9130000000005</v>
      </c>
      <c r="CZ43">
        <f t="shared" si="46"/>
        <v>1064.559</v>
      </c>
      <c r="DC43" t="s">
        <v>3</v>
      </c>
      <c r="DD43" t="s">
        <v>52</v>
      </c>
      <c r="DE43" t="s">
        <v>53</v>
      </c>
      <c r="DF43" t="s">
        <v>53</v>
      </c>
      <c r="DG43" t="s">
        <v>53</v>
      </c>
      <c r="DH43" t="s">
        <v>3</v>
      </c>
      <c r="DI43" t="s">
        <v>53</v>
      </c>
      <c r="DJ43" t="s">
        <v>53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1003</v>
      </c>
      <c r="DV43" t="s">
        <v>72</v>
      </c>
      <c r="DW43" t="s">
        <v>72</v>
      </c>
      <c r="DX43">
        <v>100</v>
      </c>
      <c r="EE43">
        <v>67874524</v>
      </c>
      <c r="EF43">
        <v>1</v>
      </c>
      <c r="EG43" t="s">
        <v>20</v>
      </c>
      <c r="EH43">
        <v>0</v>
      </c>
      <c r="EI43" t="s">
        <v>3</v>
      </c>
      <c r="EJ43">
        <v>4</v>
      </c>
      <c r="EK43">
        <v>0</v>
      </c>
      <c r="EL43" t="s">
        <v>21</v>
      </c>
      <c r="EM43" t="s">
        <v>22</v>
      </c>
      <c r="EO43" t="s">
        <v>3</v>
      </c>
      <c r="EQ43">
        <v>132096</v>
      </c>
      <c r="ER43">
        <v>686850.89</v>
      </c>
      <c r="ES43">
        <v>591131.78</v>
      </c>
      <c r="ET43">
        <v>20750.2</v>
      </c>
      <c r="EU43">
        <v>3757.27</v>
      </c>
      <c r="EV43">
        <v>74968.91</v>
      </c>
      <c r="EW43">
        <v>340.81</v>
      </c>
      <c r="EX43">
        <v>0</v>
      </c>
      <c r="EY43">
        <v>0</v>
      </c>
      <c r="FQ43">
        <v>0</v>
      </c>
      <c r="FR43">
        <f t="shared" si="47"/>
        <v>0</v>
      </c>
      <c r="FS43">
        <v>0</v>
      </c>
      <c r="FX43">
        <v>70</v>
      </c>
      <c r="FY43">
        <v>10</v>
      </c>
      <c r="GA43" t="s">
        <v>3</v>
      </c>
      <c r="GD43">
        <v>0</v>
      </c>
      <c r="GF43">
        <v>1069859917</v>
      </c>
      <c r="GG43">
        <v>2</v>
      </c>
      <c r="GH43">
        <v>1</v>
      </c>
      <c r="GI43">
        <v>-2</v>
      </c>
      <c r="GJ43">
        <v>0</v>
      </c>
      <c r="GK43">
        <f>ROUND(R43*(R12)/100,2)</f>
        <v>576.21</v>
      </c>
      <c r="GL43">
        <f t="shared" si="48"/>
        <v>0</v>
      </c>
      <c r="GM43">
        <f t="shared" si="52"/>
        <v>22684.799999999999</v>
      </c>
      <c r="GN43">
        <f t="shared" si="53"/>
        <v>0</v>
      </c>
      <c r="GO43">
        <f t="shared" si="54"/>
        <v>0</v>
      </c>
      <c r="GP43">
        <f t="shared" si="55"/>
        <v>22684.799999999999</v>
      </c>
      <c r="GR43">
        <v>0</v>
      </c>
      <c r="GS43">
        <v>3</v>
      </c>
      <c r="GT43">
        <v>0</v>
      </c>
      <c r="GU43" t="s">
        <v>3</v>
      </c>
      <c r="GV43">
        <f t="shared" si="49"/>
        <v>0</v>
      </c>
      <c r="GW43">
        <v>1</v>
      </c>
      <c r="GX43">
        <f t="shared" si="50"/>
        <v>0</v>
      </c>
      <c r="HA43">
        <v>0</v>
      </c>
      <c r="HB43">
        <v>0</v>
      </c>
      <c r="HC43">
        <f t="shared" si="51"/>
        <v>0</v>
      </c>
      <c r="IK43">
        <v>0</v>
      </c>
    </row>
    <row r="44" spans="1:245" x14ac:dyDescent="0.2">
      <c r="A44">
        <v>17</v>
      </c>
      <c r="B44">
        <v>1</v>
      </c>
      <c r="D44">
        <f>ROW(EtalonRes!A89)</f>
        <v>89</v>
      </c>
      <c r="E44" t="s">
        <v>3</v>
      </c>
      <c r="F44" t="s">
        <v>77</v>
      </c>
      <c r="G44" t="s">
        <v>78</v>
      </c>
      <c r="H44" t="s">
        <v>72</v>
      </c>
      <c r="I44">
        <f>ROUND((99)/100,9)</f>
        <v>0.99</v>
      </c>
      <c r="J44">
        <v>0</v>
      </c>
      <c r="O44">
        <f t="shared" si="21"/>
        <v>2243.75</v>
      </c>
      <c r="P44">
        <f t="shared" si="22"/>
        <v>0</v>
      </c>
      <c r="Q44">
        <f t="shared" si="23"/>
        <v>0</v>
      </c>
      <c r="R44">
        <f t="shared" si="24"/>
        <v>0</v>
      </c>
      <c r="S44">
        <f t="shared" si="25"/>
        <v>2243.75</v>
      </c>
      <c r="T44">
        <f t="shared" si="26"/>
        <v>0</v>
      </c>
      <c r="U44">
        <f t="shared" si="27"/>
        <v>9.4485600000000005</v>
      </c>
      <c r="V44">
        <f t="shared" si="28"/>
        <v>0</v>
      </c>
      <c r="W44">
        <f t="shared" si="29"/>
        <v>0</v>
      </c>
      <c r="X44">
        <f t="shared" si="30"/>
        <v>1570.63</v>
      </c>
      <c r="Y44">
        <f t="shared" si="31"/>
        <v>224.38</v>
      </c>
      <c r="AA44">
        <v>-1</v>
      </c>
      <c r="AB44">
        <f t="shared" si="32"/>
        <v>2266.4140000000002</v>
      </c>
      <c r="AC44">
        <f>ROUND(((ES44*0)),6)</f>
        <v>0</v>
      </c>
      <c r="AD44">
        <f>ROUND(((((ET44*0.2))-((EU44*0.2)))+AE44),6)</f>
        <v>0</v>
      </c>
      <c r="AE44">
        <f t="shared" si="60"/>
        <v>0</v>
      </c>
      <c r="AF44">
        <f t="shared" si="60"/>
        <v>2266.4140000000002</v>
      </c>
      <c r="AG44">
        <f t="shared" si="34"/>
        <v>0</v>
      </c>
      <c r="AH44">
        <f t="shared" si="61"/>
        <v>9.5440000000000005</v>
      </c>
      <c r="AI44">
        <f t="shared" si="61"/>
        <v>0</v>
      </c>
      <c r="AJ44">
        <f t="shared" si="36"/>
        <v>0</v>
      </c>
      <c r="AK44">
        <v>169660.92</v>
      </c>
      <c r="AL44">
        <v>158328.85</v>
      </c>
      <c r="AM44">
        <v>0</v>
      </c>
      <c r="AN44">
        <v>0</v>
      </c>
      <c r="AO44">
        <v>11332.07</v>
      </c>
      <c r="AP44">
        <v>0</v>
      </c>
      <c r="AQ44">
        <v>47.72</v>
      </c>
      <c r="AR44">
        <v>0</v>
      </c>
      <c r="AS44">
        <v>0</v>
      </c>
      <c r="AT44">
        <v>70</v>
      </c>
      <c r="AU44">
        <v>10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1</v>
      </c>
      <c r="BD44" t="s">
        <v>3</v>
      </c>
      <c r="BE44" t="s">
        <v>3</v>
      </c>
      <c r="BF44" t="s">
        <v>3</v>
      </c>
      <c r="BG44" t="s">
        <v>3</v>
      </c>
      <c r="BH44">
        <v>0</v>
      </c>
      <c r="BI44">
        <v>4</v>
      </c>
      <c r="BJ44" t="s">
        <v>79</v>
      </c>
      <c r="BM44">
        <v>0</v>
      </c>
      <c r="BN44">
        <v>0</v>
      </c>
      <c r="BO44" t="s">
        <v>3</v>
      </c>
      <c r="BP44">
        <v>0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3</v>
      </c>
      <c r="BZ44">
        <v>70</v>
      </c>
      <c r="CA44">
        <v>10</v>
      </c>
      <c r="CE44">
        <v>0</v>
      </c>
      <c r="CF44">
        <v>0</v>
      </c>
      <c r="CG44">
        <v>0</v>
      </c>
      <c r="CM44">
        <v>0</v>
      </c>
      <c r="CN44" t="s">
        <v>3</v>
      </c>
      <c r="CO44">
        <v>0</v>
      </c>
      <c r="CP44">
        <f t="shared" si="37"/>
        <v>2243.75</v>
      </c>
      <c r="CQ44">
        <f t="shared" si="38"/>
        <v>0</v>
      </c>
      <c r="CR44">
        <f>(((((ET44*0.2))*BB44-((EU44*0.2))*BS44)+AE44*BS44)*AV44)</f>
        <v>0</v>
      </c>
      <c r="CS44">
        <f t="shared" si="39"/>
        <v>0</v>
      </c>
      <c r="CT44">
        <f t="shared" si="40"/>
        <v>2266.4140000000002</v>
      </c>
      <c r="CU44">
        <f t="shared" si="41"/>
        <v>0</v>
      </c>
      <c r="CV44">
        <f t="shared" si="42"/>
        <v>9.5440000000000005</v>
      </c>
      <c r="CW44">
        <f t="shared" si="43"/>
        <v>0</v>
      </c>
      <c r="CX44">
        <f t="shared" si="44"/>
        <v>0</v>
      </c>
      <c r="CY44">
        <f t="shared" si="45"/>
        <v>1570.625</v>
      </c>
      <c r="CZ44">
        <f t="shared" si="46"/>
        <v>224.375</v>
      </c>
      <c r="DC44" t="s">
        <v>3</v>
      </c>
      <c r="DD44" t="s">
        <v>52</v>
      </c>
      <c r="DE44" t="s">
        <v>53</v>
      </c>
      <c r="DF44" t="s">
        <v>53</v>
      </c>
      <c r="DG44" t="s">
        <v>53</v>
      </c>
      <c r="DH44" t="s">
        <v>3</v>
      </c>
      <c r="DI44" t="s">
        <v>53</v>
      </c>
      <c r="DJ44" t="s">
        <v>53</v>
      </c>
      <c r="DK44" t="s">
        <v>3</v>
      </c>
      <c r="DL44" t="s">
        <v>3</v>
      </c>
      <c r="DM44" t="s">
        <v>3</v>
      </c>
      <c r="DN44">
        <v>0</v>
      </c>
      <c r="DO44">
        <v>0</v>
      </c>
      <c r="DP44">
        <v>1</v>
      </c>
      <c r="DQ44">
        <v>1</v>
      </c>
      <c r="DU44">
        <v>1003</v>
      </c>
      <c r="DV44" t="s">
        <v>72</v>
      </c>
      <c r="DW44" t="s">
        <v>72</v>
      </c>
      <c r="DX44">
        <v>100</v>
      </c>
      <c r="EE44">
        <v>67874524</v>
      </c>
      <c r="EF44">
        <v>1</v>
      </c>
      <c r="EG44" t="s">
        <v>20</v>
      </c>
      <c r="EH44">
        <v>0</v>
      </c>
      <c r="EI44" t="s">
        <v>3</v>
      </c>
      <c r="EJ44">
        <v>4</v>
      </c>
      <c r="EK44">
        <v>0</v>
      </c>
      <c r="EL44" t="s">
        <v>21</v>
      </c>
      <c r="EM44" t="s">
        <v>22</v>
      </c>
      <c r="EO44" t="s">
        <v>3</v>
      </c>
      <c r="EQ44">
        <v>132096</v>
      </c>
      <c r="ER44">
        <v>169660.92</v>
      </c>
      <c r="ES44">
        <v>158328.85</v>
      </c>
      <c r="ET44">
        <v>0</v>
      </c>
      <c r="EU44">
        <v>0</v>
      </c>
      <c r="EV44">
        <v>11332.07</v>
      </c>
      <c r="EW44">
        <v>47.72</v>
      </c>
      <c r="EX44">
        <v>0</v>
      </c>
      <c r="EY44">
        <v>0</v>
      </c>
      <c r="FQ44">
        <v>0</v>
      </c>
      <c r="FR44">
        <f t="shared" si="47"/>
        <v>0</v>
      </c>
      <c r="FS44">
        <v>0</v>
      </c>
      <c r="FX44">
        <v>70</v>
      </c>
      <c r="FY44">
        <v>10</v>
      </c>
      <c r="GA44" t="s">
        <v>3</v>
      </c>
      <c r="GD44">
        <v>0</v>
      </c>
      <c r="GF44">
        <v>1016585355</v>
      </c>
      <c r="GG44">
        <v>2</v>
      </c>
      <c r="GH44">
        <v>1</v>
      </c>
      <c r="GI44">
        <v>-2</v>
      </c>
      <c r="GJ44">
        <v>0</v>
      </c>
      <c r="GK44">
        <f>ROUND(R44*(R12)/100,2)</f>
        <v>0</v>
      </c>
      <c r="GL44">
        <f t="shared" si="48"/>
        <v>0</v>
      </c>
      <c r="GM44">
        <f t="shared" si="52"/>
        <v>4038.76</v>
      </c>
      <c r="GN44">
        <f t="shared" si="53"/>
        <v>0</v>
      </c>
      <c r="GO44">
        <f t="shared" si="54"/>
        <v>0</v>
      </c>
      <c r="GP44">
        <f t="shared" si="55"/>
        <v>4038.76</v>
      </c>
      <c r="GR44">
        <v>0</v>
      </c>
      <c r="GS44">
        <v>3</v>
      </c>
      <c r="GT44">
        <v>0</v>
      </c>
      <c r="GU44" t="s">
        <v>3</v>
      </c>
      <c r="GV44">
        <f t="shared" si="49"/>
        <v>0</v>
      </c>
      <c r="GW44">
        <v>1</v>
      </c>
      <c r="GX44">
        <f t="shared" si="50"/>
        <v>0</v>
      </c>
      <c r="HA44">
        <v>0</v>
      </c>
      <c r="HB44">
        <v>0</v>
      </c>
      <c r="HC44">
        <f t="shared" si="51"/>
        <v>0</v>
      </c>
      <c r="IK44">
        <v>0</v>
      </c>
    </row>
    <row r="45" spans="1:245" x14ac:dyDescent="0.2">
      <c r="A45">
        <v>17</v>
      </c>
      <c r="B45">
        <v>1</v>
      </c>
      <c r="D45">
        <f>ROW(EtalonRes!A92)</f>
        <v>92</v>
      </c>
      <c r="E45" t="s">
        <v>3</v>
      </c>
      <c r="F45" t="s">
        <v>80</v>
      </c>
      <c r="G45" t="s">
        <v>81</v>
      </c>
      <c r="H45" t="s">
        <v>28</v>
      </c>
      <c r="I45">
        <f>ROUND(99*0.5/100,9)</f>
        <v>0.495</v>
      </c>
      <c r="J45">
        <v>0</v>
      </c>
      <c r="O45">
        <f t="shared" si="21"/>
        <v>4062.72</v>
      </c>
      <c r="P45">
        <f t="shared" si="22"/>
        <v>0</v>
      </c>
      <c r="Q45">
        <f t="shared" si="23"/>
        <v>0.03</v>
      </c>
      <c r="R45">
        <f t="shared" si="24"/>
        <v>0</v>
      </c>
      <c r="S45">
        <f t="shared" si="25"/>
        <v>4062.69</v>
      </c>
      <c r="T45">
        <f t="shared" si="26"/>
        <v>0</v>
      </c>
      <c r="U45">
        <f t="shared" si="27"/>
        <v>21.220649999999999</v>
      </c>
      <c r="V45">
        <f t="shared" si="28"/>
        <v>0</v>
      </c>
      <c r="W45">
        <f t="shared" si="29"/>
        <v>0</v>
      </c>
      <c r="X45">
        <f t="shared" si="30"/>
        <v>2843.88</v>
      </c>
      <c r="Y45">
        <f t="shared" si="31"/>
        <v>406.27</v>
      </c>
      <c r="AA45">
        <v>-1</v>
      </c>
      <c r="AB45">
        <f t="shared" si="32"/>
        <v>8207.52</v>
      </c>
      <c r="AC45">
        <f>ROUND((ES45),6)</f>
        <v>0</v>
      </c>
      <c r="AD45">
        <f>ROUND((((ET45)-(EU45))+AE45),6)</f>
        <v>0.06</v>
      </c>
      <c r="AE45">
        <f>ROUND((EU45),6)</f>
        <v>0</v>
      </c>
      <c r="AF45">
        <f>ROUND((EV45),6)</f>
        <v>8207.4599999999991</v>
      </c>
      <c r="AG45">
        <f t="shared" si="34"/>
        <v>0</v>
      </c>
      <c r="AH45">
        <f>(EW45)</f>
        <v>42.87</v>
      </c>
      <c r="AI45">
        <f>(EX45)</f>
        <v>0</v>
      </c>
      <c r="AJ45">
        <f t="shared" si="36"/>
        <v>0</v>
      </c>
      <c r="AK45">
        <v>8207.52</v>
      </c>
      <c r="AL45">
        <v>0</v>
      </c>
      <c r="AM45">
        <v>0.06</v>
      </c>
      <c r="AN45">
        <v>0</v>
      </c>
      <c r="AO45">
        <v>8207.4599999999991</v>
      </c>
      <c r="AP45">
        <v>0</v>
      </c>
      <c r="AQ45">
        <v>42.87</v>
      </c>
      <c r="AR45">
        <v>0</v>
      </c>
      <c r="AS45">
        <v>0</v>
      </c>
      <c r="AT45">
        <v>70</v>
      </c>
      <c r="AU45">
        <v>10</v>
      </c>
      <c r="AV45">
        <v>1</v>
      </c>
      <c r="AW45">
        <v>1</v>
      </c>
      <c r="AZ45">
        <v>1</v>
      </c>
      <c r="BA45">
        <v>1</v>
      </c>
      <c r="BB45">
        <v>1</v>
      </c>
      <c r="BC45">
        <v>1</v>
      </c>
      <c r="BD45" t="s">
        <v>3</v>
      </c>
      <c r="BE45" t="s">
        <v>3</v>
      </c>
      <c r="BF45" t="s">
        <v>3</v>
      </c>
      <c r="BG45" t="s">
        <v>3</v>
      </c>
      <c r="BH45">
        <v>0</v>
      </c>
      <c r="BI45">
        <v>4</v>
      </c>
      <c r="BJ45" t="s">
        <v>82</v>
      </c>
      <c r="BM45">
        <v>0</v>
      </c>
      <c r="BN45">
        <v>0</v>
      </c>
      <c r="BO45" t="s">
        <v>3</v>
      </c>
      <c r="BP45">
        <v>0</v>
      </c>
      <c r="BQ45">
        <v>1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 t="s">
        <v>3</v>
      </c>
      <c r="BZ45">
        <v>70</v>
      </c>
      <c r="CA45">
        <v>10</v>
      </c>
      <c r="CE45">
        <v>0</v>
      </c>
      <c r="CF45">
        <v>0</v>
      </c>
      <c r="CG45">
        <v>0</v>
      </c>
      <c r="CM45">
        <v>0</v>
      </c>
      <c r="CN45" t="s">
        <v>3</v>
      </c>
      <c r="CO45">
        <v>0</v>
      </c>
      <c r="CP45">
        <f t="shared" si="37"/>
        <v>4062.7200000000003</v>
      </c>
      <c r="CQ45">
        <f t="shared" si="38"/>
        <v>0</v>
      </c>
      <c r="CR45">
        <f>((((ET45)*BB45-(EU45)*BS45)+AE45*BS45)*AV45)</f>
        <v>0.06</v>
      </c>
      <c r="CS45">
        <f t="shared" si="39"/>
        <v>0</v>
      </c>
      <c r="CT45">
        <f t="shared" si="40"/>
        <v>8207.4599999999991</v>
      </c>
      <c r="CU45">
        <f t="shared" si="41"/>
        <v>0</v>
      </c>
      <c r="CV45">
        <f t="shared" si="42"/>
        <v>42.87</v>
      </c>
      <c r="CW45">
        <f t="shared" si="43"/>
        <v>0</v>
      </c>
      <c r="CX45">
        <f t="shared" si="44"/>
        <v>0</v>
      </c>
      <c r="CY45">
        <f t="shared" si="45"/>
        <v>2843.8829999999998</v>
      </c>
      <c r="CZ45">
        <f t="shared" si="46"/>
        <v>406.26900000000001</v>
      </c>
      <c r="DC45" t="s">
        <v>3</v>
      </c>
      <c r="DD45" t="s">
        <v>3</v>
      </c>
      <c r="DE45" t="s">
        <v>3</v>
      </c>
      <c r="DF45" t="s">
        <v>3</v>
      </c>
      <c r="DG45" t="s">
        <v>3</v>
      </c>
      <c r="DH45" t="s">
        <v>3</v>
      </c>
      <c r="DI45" t="s">
        <v>3</v>
      </c>
      <c r="DJ45" t="s">
        <v>3</v>
      </c>
      <c r="DK45" t="s">
        <v>3</v>
      </c>
      <c r="DL45" t="s">
        <v>3</v>
      </c>
      <c r="DM45" t="s">
        <v>3</v>
      </c>
      <c r="DN45">
        <v>0</v>
      </c>
      <c r="DO45">
        <v>0</v>
      </c>
      <c r="DP45">
        <v>1</v>
      </c>
      <c r="DQ45">
        <v>1</v>
      </c>
      <c r="DU45">
        <v>1005</v>
      </c>
      <c r="DV45" t="s">
        <v>28</v>
      </c>
      <c r="DW45" t="s">
        <v>28</v>
      </c>
      <c r="DX45">
        <v>100</v>
      </c>
      <c r="EE45">
        <v>67874524</v>
      </c>
      <c r="EF45">
        <v>1</v>
      </c>
      <c r="EG45" t="s">
        <v>20</v>
      </c>
      <c r="EH45">
        <v>0</v>
      </c>
      <c r="EI45" t="s">
        <v>3</v>
      </c>
      <c r="EJ45">
        <v>4</v>
      </c>
      <c r="EK45">
        <v>0</v>
      </c>
      <c r="EL45" t="s">
        <v>21</v>
      </c>
      <c r="EM45" t="s">
        <v>22</v>
      </c>
      <c r="EO45" t="s">
        <v>3</v>
      </c>
      <c r="EQ45">
        <v>132096</v>
      </c>
      <c r="ER45">
        <v>8207.52</v>
      </c>
      <c r="ES45">
        <v>0</v>
      </c>
      <c r="ET45">
        <v>0.06</v>
      </c>
      <c r="EU45">
        <v>0</v>
      </c>
      <c r="EV45">
        <v>8207.4599999999991</v>
      </c>
      <c r="EW45">
        <v>42.87</v>
      </c>
      <c r="EX45">
        <v>0</v>
      </c>
      <c r="EY45">
        <v>0</v>
      </c>
      <c r="FQ45">
        <v>0</v>
      </c>
      <c r="FR45">
        <f t="shared" si="47"/>
        <v>0</v>
      </c>
      <c r="FS45">
        <v>0</v>
      </c>
      <c r="FX45">
        <v>70</v>
      </c>
      <c r="FY45">
        <v>10</v>
      </c>
      <c r="GA45" t="s">
        <v>3</v>
      </c>
      <c r="GD45">
        <v>0</v>
      </c>
      <c r="GF45">
        <v>-1786940661</v>
      </c>
      <c r="GG45">
        <v>2</v>
      </c>
      <c r="GH45">
        <v>1</v>
      </c>
      <c r="GI45">
        <v>-2</v>
      </c>
      <c r="GJ45">
        <v>0</v>
      </c>
      <c r="GK45">
        <f>ROUND(R45*(R12)/100,2)</f>
        <v>0</v>
      </c>
      <c r="GL45">
        <f t="shared" si="48"/>
        <v>0</v>
      </c>
      <c r="GM45">
        <f t="shared" si="52"/>
        <v>7312.87</v>
      </c>
      <c r="GN45">
        <f t="shared" si="53"/>
        <v>0</v>
      </c>
      <c r="GO45">
        <f t="shared" si="54"/>
        <v>0</v>
      </c>
      <c r="GP45">
        <f t="shared" si="55"/>
        <v>7312.87</v>
      </c>
      <c r="GR45">
        <v>0</v>
      </c>
      <c r="GS45">
        <v>3</v>
      </c>
      <c r="GT45">
        <v>0</v>
      </c>
      <c r="GU45" t="s">
        <v>3</v>
      </c>
      <c r="GV45">
        <f t="shared" si="49"/>
        <v>0</v>
      </c>
      <c r="GW45">
        <v>1</v>
      </c>
      <c r="GX45">
        <f t="shared" si="50"/>
        <v>0</v>
      </c>
      <c r="HA45">
        <v>0</v>
      </c>
      <c r="HB45">
        <v>0</v>
      </c>
      <c r="HC45">
        <f t="shared" si="51"/>
        <v>0</v>
      </c>
      <c r="IK45">
        <v>0</v>
      </c>
    </row>
    <row r="46" spans="1:245" x14ac:dyDescent="0.2">
      <c r="A46">
        <v>17</v>
      </c>
      <c r="B46">
        <v>1</v>
      </c>
      <c r="D46">
        <f>ROW(EtalonRes!A100)</f>
        <v>100</v>
      </c>
      <c r="E46" t="s">
        <v>3</v>
      </c>
      <c r="F46" t="s">
        <v>83</v>
      </c>
      <c r="G46" t="s">
        <v>84</v>
      </c>
      <c r="H46" t="s">
        <v>28</v>
      </c>
      <c r="I46">
        <f>ROUND(5.8*1/100,9)</f>
        <v>5.8000000000000003E-2</v>
      </c>
      <c r="J46">
        <v>0</v>
      </c>
      <c r="O46">
        <f t="shared" si="21"/>
        <v>341.43</v>
      </c>
      <c r="P46">
        <f t="shared" si="22"/>
        <v>0</v>
      </c>
      <c r="Q46">
        <f t="shared" si="23"/>
        <v>0.15</v>
      </c>
      <c r="R46">
        <f t="shared" si="24"/>
        <v>0.02</v>
      </c>
      <c r="S46">
        <f t="shared" si="25"/>
        <v>341.28</v>
      </c>
      <c r="T46">
        <f t="shared" si="26"/>
        <v>0</v>
      </c>
      <c r="U46">
        <f t="shared" si="27"/>
        <v>1.5375800000000004</v>
      </c>
      <c r="V46">
        <f t="shared" si="28"/>
        <v>0</v>
      </c>
      <c r="W46">
        <f t="shared" si="29"/>
        <v>0</v>
      </c>
      <c r="X46">
        <f t="shared" si="30"/>
        <v>238.9</v>
      </c>
      <c r="Y46">
        <f t="shared" si="31"/>
        <v>34.130000000000003</v>
      </c>
      <c r="AA46">
        <v>-1</v>
      </c>
      <c r="AB46">
        <f t="shared" si="32"/>
        <v>5886.61</v>
      </c>
      <c r="AC46">
        <f>ROUND(((ES46*0)),6)</f>
        <v>0</v>
      </c>
      <c r="AD46">
        <f>ROUND(((((ET46*0.2))-((EU46*0.2)))+AE46),6)</f>
        <v>2.5139999999999998</v>
      </c>
      <c r="AE46">
        <f>ROUND(((EU46*0.2)),6)</f>
        <v>0.33200000000000002</v>
      </c>
      <c r="AF46">
        <f>ROUND(((EV46*0.2)),6)</f>
        <v>5884.0959999999995</v>
      </c>
      <c r="AG46">
        <f t="shared" si="34"/>
        <v>0</v>
      </c>
      <c r="AH46">
        <f>((EW46*0.2))</f>
        <v>26.510000000000005</v>
      </c>
      <c r="AI46">
        <f>((EX46*0.2))</f>
        <v>0</v>
      </c>
      <c r="AJ46">
        <f t="shared" si="36"/>
        <v>0</v>
      </c>
      <c r="AK46">
        <v>65595.490000000005</v>
      </c>
      <c r="AL46">
        <v>36162.44</v>
      </c>
      <c r="AM46">
        <v>12.57</v>
      </c>
      <c r="AN46">
        <v>1.66</v>
      </c>
      <c r="AO46">
        <v>29420.48</v>
      </c>
      <c r="AP46">
        <v>0</v>
      </c>
      <c r="AQ46">
        <v>132.55000000000001</v>
      </c>
      <c r="AR46">
        <v>0</v>
      </c>
      <c r="AS46">
        <v>0</v>
      </c>
      <c r="AT46">
        <v>70</v>
      </c>
      <c r="AU46">
        <v>10</v>
      </c>
      <c r="AV46">
        <v>1</v>
      </c>
      <c r="AW46">
        <v>1</v>
      </c>
      <c r="AZ46">
        <v>1</v>
      </c>
      <c r="BA46">
        <v>1</v>
      </c>
      <c r="BB46">
        <v>1</v>
      </c>
      <c r="BC46">
        <v>1</v>
      </c>
      <c r="BD46" t="s">
        <v>3</v>
      </c>
      <c r="BE46" t="s">
        <v>3</v>
      </c>
      <c r="BF46" t="s">
        <v>3</v>
      </c>
      <c r="BG46" t="s">
        <v>3</v>
      </c>
      <c r="BH46">
        <v>0</v>
      </c>
      <c r="BI46">
        <v>4</v>
      </c>
      <c r="BJ46" t="s">
        <v>85</v>
      </c>
      <c r="BM46">
        <v>0</v>
      </c>
      <c r="BN46">
        <v>0</v>
      </c>
      <c r="BO46" t="s">
        <v>3</v>
      </c>
      <c r="BP46">
        <v>0</v>
      </c>
      <c r="BQ46">
        <v>1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 t="s">
        <v>3</v>
      </c>
      <c r="BZ46">
        <v>70</v>
      </c>
      <c r="CA46">
        <v>10</v>
      </c>
      <c r="CE46">
        <v>0</v>
      </c>
      <c r="CF46">
        <v>0</v>
      </c>
      <c r="CG46">
        <v>0</v>
      </c>
      <c r="CM46">
        <v>0</v>
      </c>
      <c r="CN46" t="s">
        <v>3</v>
      </c>
      <c r="CO46">
        <v>0</v>
      </c>
      <c r="CP46">
        <f t="shared" si="37"/>
        <v>341.42999999999995</v>
      </c>
      <c r="CQ46">
        <f t="shared" si="38"/>
        <v>0</v>
      </c>
      <c r="CR46">
        <f>(((((ET46*0.2))*BB46-((EU46*0.2))*BS46)+AE46*BS46)*AV46)</f>
        <v>2.5140000000000002</v>
      </c>
      <c r="CS46">
        <f t="shared" si="39"/>
        <v>0.33200000000000002</v>
      </c>
      <c r="CT46">
        <f t="shared" si="40"/>
        <v>5884.0959999999995</v>
      </c>
      <c r="CU46">
        <f t="shared" si="41"/>
        <v>0</v>
      </c>
      <c r="CV46">
        <f t="shared" si="42"/>
        <v>26.510000000000005</v>
      </c>
      <c r="CW46">
        <f t="shared" si="43"/>
        <v>0</v>
      </c>
      <c r="CX46">
        <f t="shared" si="44"/>
        <v>0</v>
      </c>
      <c r="CY46">
        <f t="shared" si="45"/>
        <v>238.89599999999999</v>
      </c>
      <c r="CZ46">
        <f t="shared" si="46"/>
        <v>34.128</v>
      </c>
      <c r="DC46" t="s">
        <v>3</v>
      </c>
      <c r="DD46" t="s">
        <v>52</v>
      </c>
      <c r="DE46" t="s">
        <v>53</v>
      </c>
      <c r="DF46" t="s">
        <v>53</v>
      </c>
      <c r="DG46" t="s">
        <v>53</v>
      </c>
      <c r="DH46" t="s">
        <v>3</v>
      </c>
      <c r="DI46" t="s">
        <v>53</v>
      </c>
      <c r="DJ46" t="s">
        <v>53</v>
      </c>
      <c r="DK46" t="s">
        <v>3</v>
      </c>
      <c r="DL46" t="s">
        <v>3</v>
      </c>
      <c r="DM46" t="s">
        <v>3</v>
      </c>
      <c r="DN46">
        <v>0</v>
      </c>
      <c r="DO46">
        <v>0</v>
      </c>
      <c r="DP46">
        <v>1</v>
      </c>
      <c r="DQ46">
        <v>1</v>
      </c>
      <c r="DU46">
        <v>1005</v>
      </c>
      <c r="DV46" t="s">
        <v>28</v>
      </c>
      <c r="DW46" t="s">
        <v>28</v>
      </c>
      <c r="DX46">
        <v>100</v>
      </c>
      <c r="EE46">
        <v>67874524</v>
      </c>
      <c r="EF46">
        <v>1</v>
      </c>
      <c r="EG46" t="s">
        <v>20</v>
      </c>
      <c r="EH46">
        <v>0</v>
      </c>
      <c r="EI46" t="s">
        <v>3</v>
      </c>
      <c r="EJ46">
        <v>4</v>
      </c>
      <c r="EK46">
        <v>0</v>
      </c>
      <c r="EL46" t="s">
        <v>21</v>
      </c>
      <c r="EM46" t="s">
        <v>22</v>
      </c>
      <c r="EO46" t="s">
        <v>3</v>
      </c>
      <c r="EQ46">
        <v>132096</v>
      </c>
      <c r="ER46">
        <v>65595.490000000005</v>
      </c>
      <c r="ES46">
        <v>36162.44</v>
      </c>
      <c r="ET46">
        <v>12.57</v>
      </c>
      <c r="EU46">
        <v>1.66</v>
      </c>
      <c r="EV46">
        <v>29420.48</v>
      </c>
      <c r="EW46">
        <v>132.55000000000001</v>
      </c>
      <c r="EX46">
        <v>0</v>
      </c>
      <c r="EY46">
        <v>0</v>
      </c>
      <c r="FQ46">
        <v>0</v>
      </c>
      <c r="FR46">
        <f t="shared" si="47"/>
        <v>0</v>
      </c>
      <c r="FS46">
        <v>0</v>
      </c>
      <c r="FX46">
        <v>70</v>
      </c>
      <c r="FY46">
        <v>10</v>
      </c>
      <c r="GA46" t="s">
        <v>3</v>
      </c>
      <c r="GD46">
        <v>0</v>
      </c>
      <c r="GF46">
        <v>320880454</v>
      </c>
      <c r="GG46">
        <v>2</v>
      </c>
      <c r="GH46">
        <v>1</v>
      </c>
      <c r="GI46">
        <v>-2</v>
      </c>
      <c r="GJ46">
        <v>0</v>
      </c>
      <c r="GK46">
        <f>ROUND(R46*(R12)/100,2)</f>
        <v>0.02</v>
      </c>
      <c r="GL46">
        <f t="shared" si="48"/>
        <v>0</v>
      </c>
      <c r="GM46">
        <f t="shared" si="52"/>
        <v>614.48</v>
      </c>
      <c r="GN46">
        <f t="shared" si="53"/>
        <v>0</v>
      </c>
      <c r="GO46">
        <f t="shared" si="54"/>
        <v>0</v>
      </c>
      <c r="GP46">
        <f t="shared" si="55"/>
        <v>614.48</v>
      </c>
      <c r="GR46">
        <v>0</v>
      </c>
      <c r="GS46">
        <v>3</v>
      </c>
      <c r="GT46">
        <v>0</v>
      </c>
      <c r="GU46" t="s">
        <v>3</v>
      </c>
      <c r="GV46">
        <f t="shared" si="49"/>
        <v>0</v>
      </c>
      <c r="GW46">
        <v>1</v>
      </c>
      <c r="GX46">
        <f t="shared" si="50"/>
        <v>0</v>
      </c>
      <c r="HA46">
        <v>0</v>
      </c>
      <c r="HB46">
        <v>0</v>
      </c>
      <c r="HC46">
        <f t="shared" si="51"/>
        <v>0</v>
      </c>
      <c r="IK46">
        <v>0</v>
      </c>
    </row>
    <row r="47" spans="1:245" x14ac:dyDescent="0.2">
      <c r="A47">
        <v>17</v>
      </c>
      <c r="B47">
        <v>1</v>
      </c>
      <c r="D47">
        <f>ROW(EtalonRes!A108)</f>
        <v>108</v>
      </c>
      <c r="E47" t="s">
        <v>3</v>
      </c>
      <c r="F47" t="s">
        <v>86</v>
      </c>
      <c r="G47" t="s">
        <v>87</v>
      </c>
      <c r="H47" t="s">
        <v>35</v>
      </c>
      <c r="I47">
        <f>ROUND(0.0358+46.14*10/1000,9)</f>
        <v>0.49719999999999998</v>
      </c>
      <c r="J47">
        <v>0</v>
      </c>
      <c r="O47">
        <f t="shared" si="21"/>
        <v>539.66999999999996</v>
      </c>
      <c r="P47">
        <f t="shared" si="22"/>
        <v>0</v>
      </c>
      <c r="Q47">
        <f t="shared" si="23"/>
        <v>30.45</v>
      </c>
      <c r="R47">
        <f t="shared" si="24"/>
        <v>0.19</v>
      </c>
      <c r="S47">
        <f t="shared" si="25"/>
        <v>509.22</v>
      </c>
      <c r="T47">
        <f t="shared" si="26"/>
        <v>0</v>
      </c>
      <c r="U47">
        <f t="shared" si="27"/>
        <v>1.9788559999999999</v>
      </c>
      <c r="V47">
        <f t="shared" si="28"/>
        <v>0</v>
      </c>
      <c r="W47">
        <f t="shared" si="29"/>
        <v>0</v>
      </c>
      <c r="X47">
        <f t="shared" si="30"/>
        <v>356.45</v>
      </c>
      <c r="Y47">
        <f t="shared" si="31"/>
        <v>50.92</v>
      </c>
      <c r="AA47">
        <v>-1</v>
      </c>
      <c r="AB47">
        <f t="shared" si="32"/>
        <v>1085.422</v>
      </c>
      <c r="AC47">
        <f>ROUND(((ES47*0)),6)</f>
        <v>0</v>
      </c>
      <c r="AD47">
        <f>ROUND(((((ET47*0.2))-((EU47*0.2)))+AE47),6)</f>
        <v>61.247999999999998</v>
      </c>
      <c r="AE47">
        <f>ROUND(((EU47*0.2)),6)</f>
        <v>0.39</v>
      </c>
      <c r="AF47">
        <f>ROUND(((EV47*0.2)),6)</f>
        <v>1024.174</v>
      </c>
      <c r="AG47">
        <f t="shared" si="34"/>
        <v>0</v>
      </c>
      <c r="AH47">
        <f>((EW47*0.2))</f>
        <v>3.98</v>
      </c>
      <c r="AI47">
        <f>((EX47*0.2))</f>
        <v>0</v>
      </c>
      <c r="AJ47">
        <f t="shared" si="36"/>
        <v>0</v>
      </c>
      <c r="AK47">
        <v>77411.34</v>
      </c>
      <c r="AL47">
        <v>71984.23</v>
      </c>
      <c r="AM47">
        <v>306.24</v>
      </c>
      <c r="AN47">
        <v>1.95</v>
      </c>
      <c r="AO47">
        <v>5120.87</v>
      </c>
      <c r="AP47">
        <v>0</v>
      </c>
      <c r="AQ47">
        <v>19.899999999999999</v>
      </c>
      <c r="AR47">
        <v>0</v>
      </c>
      <c r="AS47">
        <v>0</v>
      </c>
      <c r="AT47">
        <v>70</v>
      </c>
      <c r="AU47">
        <v>10</v>
      </c>
      <c r="AV47">
        <v>1</v>
      </c>
      <c r="AW47">
        <v>1</v>
      </c>
      <c r="AZ47">
        <v>1</v>
      </c>
      <c r="BA47">
        <v>1</v>
      </c>
      <c r="BB47">
        <v>1</v>
      </c>
      <c r="BC47">
        <v>1</v>
      </c>
      <c r="BD47" t="s">
        <v>3</v>
      </c>
      <c r="BE47" t="s">
        <v>3</v>
      </c>
      <c r="BF47" t="s">
        <v>3</v>
      </c>
      <c r="BG47" t="s">
        <v>3</v>
      </c>
      <c r="BH47">
        <v>0</v>
      </c>
      <c r="BI47">
        <v>4</v>
      </c>
      <c r="BJ47" t="s">
        <v>88</v>
      </c>
      <c r="BM47">
        <v>0</v>
      </c>
      <c r="BN47">
        <v>0</v>
      </c>
      <c r="BO47" t="s">
        <v>3</v>
      </c>
      <c r="BP47">
        <v>0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 t="s">
        <v>3</v>
      </c>
      <c r="BZ47">
        <v>70</v>
      </c>
      <c r="CA47">
        <v>10</v>
      </c>
      <c r="CE47">
        <v>0</v>
      </c>
      <c r="CF47">
        <v>0</v>
      </c>
      <c r="CG47">
        <v>0</v>
      </c>
      <c r="CM47">
        <v>0</v>
      </c>
      <c r="CN47" t="s">
        <v>3</v>
      </c>
      <c r="CO47">
        <v>0</v>
      </c>
      <c r="CP47">
        <f t="shared" si="37"/>
        <v>539.67000000000007</v>
      </c>
      <c r="CQ47">
        <f t="shared" si="38"/>
        <v>0</v>
      </c>
      <c r="CR47">
        <f>(((((ET47*0.2))*BB47-((EU47*0.2))*BS47)+AE47*BS47)*AV47)</f>
        <v>61.248000000000005</v>
      </c>
      <c r="CS47">
        <f t="shared" si="39"/>
        <v>0.39</v>
      </c>
      <c r="CT47">
        <f t="shared" si="40"/>
        <v>1024.174</v>
      </c>
      <c r="CU47">
        <f t="shared" si="41"/>
        <v>0</v>
      </c>
      <c r="CV47">
        <f t="shared" si="42"/>
        <v>3.98</v>
      </c>
      <c r="CW47">
        <f t="shared" si="43"/>
        <v>0</v>
      </c>
      <c r="CX47">
        <f t="shared" si="44"/>
        <v>0</v>
      </c>
      <c r="CY47">
        <f t="shared" si="45"/>
        <v>356.45400000000001</v>
      </c>
      <c r="CZ47">
        <f t="shared" si="46"/>
        <v>50.922000000000004</v>
      </c>
      <c r="DC47" t="s">
        <v>3</v>
      </c>
      <c r="DD47" t="s">
        <v>52</v>
      </c>
      <c r="DE47" t="s">
        <v>53</v>
      </c>
      <c r="DF47" t="s">
        <v>53</v>
      </c>
      <c r="DG47" t="s">
        <v>53</v>
      </c>
      <c r="DH47" t="s">
        <v>3</v>
      </c>
      <c r="DI47" t="s">
        <v>53</v>
      </c>
      <c r="DJ47" t="s">
        <v>53</v>
      </c>
      <c r="DK47" t="s">
        <v>3</v>
      </c>
      <c r="DL47" t="s">
        <v>3</v>
      </c>
      <c r="DM47" t="s">
        <v>3</v>
      </c>
      <c r="DN47">
        <v>0</v>
      </c>
      <c r="DO47">
        <v>0</v>
      </c>
      <c r="DP47">
        <v>1</v>
      </c>
      <c r="DQ47">
        <v>1</v>
      </c>
      <c r="DU47">
        <v>1009</v>
      </c>
      <c r="DV47" t="s">
        <v>35</v>
      </c>
      <c r="DW47" t="s">
        <v>35</v>
      </c>
      <c r="DX47">
        <v>1000</v>
      </c>
      <c r="EE47">
        <v>67874524</v>
      </c>
      <c r="EF47">
        <v>1</v>
      </c>
      <c r="EG47" t="s">
        <v>20</v>
      </c>
      <c r="EH47">
        <v>0</v>
      </c>
      <c r="EI47" t="s">
        <v>3</v>
      </c>
      <c r="EJ47">
        <v>4</v>
      </c>
      <c r="EK47">
        <v>0</v>
      </c>
      <c r="EL47" t="s">
        <v>21</v>
      </c>
      <c r="EM47" t="s">
        <v>22</v>
      </c>
      <c r="EO47" t="s">
        <v>3</v>
      </c>
      <c r="EQ47">
        <v>132096</v>
      </c>
      <c r="ER47">
        <v>77411.34</v>
      </c>
      <c r="ES47">
        <v>71984.23</v>
      </c>
      <c r="ET47">
        <v>306.24</v>
      </c>
      <c r="EU47">
        <v>1.95</v>
      </c>
      <c r="EV47">
        <v>5120.87</v>
      </c>
      <c r="EW47">
        <v>19.899999999999999</v>
      </c>
      <c r="EX47">
        <v>0</v>
      </c>
      <c r="EY47">
        <v>0</v>
      </c>
      <c r="FQ47">
        <v>0</v>
      </c>
      <c r="FR47">
        <f t="shared" si="47"/>
        <v>0</v>
      </c>
      <c r="FS47">
        <v>0</v>
      </c>
      <c r="FX47">
        <v>70</v>
      </c>
      <c r="FY47">
        <v>10</v>
      </c>
      <c r="GA47" t="s">
        <v>3</v>
      </c>
      <c r="GD47">
        <v>0</v>
      </c>
      <c r="GF47">
        <v>859689984</v>
      </c>
      <c r="GG47">
        <v>2</v>
      </c>
      <c r="GH47">
        <v>1</v>
      </c>
      <c r="GI47">
        <v>-2</v>
      </c>
      <c r="GJ47">
        <v>0</v>
      </c>
      <c r="GK47">
        <f>ROUND(R47*(R12)/100,2)</f>
        <v>0.21</v>
      </c>
      <c r="GL47">
        <f t="shared" si="48"/>
        <v>0</v>
      </c>
      <c r="GM47">
        <f t="shared" si="52"/>
        <v>947.25</v>
      </c>
      <c r="GN47">
        <f t="shared" si="53"/>
        <v>0</v>
      </c>
      <c r="GO47">
        <f t="shared" si="54"/>
        <v>0</v>
      </c>
      <c r="GP47">
        <f t="shared" si="55"/>
        <v>947.25</v>
      </c>
      <c r="GR47">
        <v>0</v>
      </c>
      <c r="GS47">
        <v>3</v>
      </c>
      <c r="GT47">
        <v>0</v>
      </c>
      <c r="GU47" t="s">
        <v>3</v>
      </c>
      <c r="GV47">
        <f t="shared" si="49"/>
        <v>0</v>
      </c>
      <c r="GW47">
        <v>1</v>
      </c>
      <c r="GX47">
        <f t="shared" si="50"/>
        <v>0</v>
      </c>
      <c r="HA47">
        <v>0</v>
      </c>
      <c r="HB47">
        <v>0</v>
      </c>
      <c r="HC47">
        <f t="shared" si="51"/>
        <v>0</v>
      </c>
      <c r="IK47">
        <v>0</v>
      </c>
    </row>
    <row r="48" spans="1:245" x14ac:dyDescent="0.2">
      <c r="A48">
        <v>17</v>
      </c>
      <c r="B48">
        <v>1</v>
      </c>
      <c r="D48">
        <f>ROW(EtalonRes!A116)</f>
        <v>116</v>
      </c>
      <c r="E48" t="s">
        <v>3</v>
      </c>
      <c r="F48" t="s">
        <v>89</v>
      </c>
      <c r="G48" t="s">
        <v>90</v>
      </c>
      <c r="H48" t="s">
        <v>72</v>
      </c>
      <c r="I48">
        <v>1</v>
      </c>
      <c r="J48">
        <v>0</v>
      </c>
      <c r="O48">
        <f t="shared" si="21"/>
        <v>134993.41</v>
      </c>
      <c r="P48">
        <f t="shared" si="22"/>
        <v>104126.01</v>
      </c>
      <c r="Q48">
        <f t="shared" si="23"/>
        <v>1362.67</v>
      </c>
      <c r="R48">
        <f t="shared" si="24"/>
        <v>993.49</v>
      </c>
      <c r="S48">
        <f t="shared" si="25"/>
        <v>29504.73</v>
      </c>
      <c r="T48">
        <f t="shared" si="26"/>
        <v>0</v>
      </c>
      <c r="U48">
        <f t="shared" si="27"/>
        <v>122.25</v>
      </c>
      <c r="V48">
        <f t="shared" si="28"/>
        <v>0</v>
      </c>
      <c r="W48">
        <f t="shared" si="29"/>
        <v>0</v>
      </c>
      <c r="X48">
        <f t="shared" si="30"/>
        <v>20653.310000000001</v>
      </c>
      <c r="Y48">
        <f t="shared" si="31"/>
        <v>2950.47</v>
      </c>
      <c r="AA48">
        <v>-1</v>
      </c>
      <c r="AB48">
        <f t="shared" si="32"/>
        <v>134993.41</v>
      </c>
      <c r="AC48">
        <f t="shared" ref="AC48:AC55" si="62">ROUND((ES48),6)</f>
        <v>104126.01</v>
      </c>
      <c r="AD48">
        <f t="shared" ref="AD48:AD55" si="63">ROUND((((ET48)-(EU48))+AE48),6)</f>
        <v>1362.67</v>
      </c>
      <c r="AE48">
        <f t="shared" ref="AE48:AF55" si="64">ROUND((EU48),6)</f>
        <v>993.49</v>
      </c>
      <c r="AF48">
        <f t="shared" si="64"/>
        <v>29504.73</v>
      </c>
      <c r="AG48">
        <f t="shared" si="34"/>
        <v>0</v>
      </c>
      <c r="AH48">
        <f t="shared" ref="AH48:AI55" si="65">(EW48)</f>
        <v>122.25</v>
      </c>
      <c r="AI48">
        <f t="shared" si="65"/>
        <v>0</v>
      </c>
      <c r="AJ48">
        <f t="shared" si="36"/>
        <v>0</v>
      </c>
      <c r="AK48">
        <v>134993.41</v>
      </c>
      <c r="AL48">
        <v>104126.01</v>
      </c>
      <c r="AM48">
        <v>1362.67</v>
      </c>
      <c r="AN48">
        <v>993.49</v>
      </c>
      <c r="AO48">
        <v>29504.73</v>
      </c>
      <c r="AP48">
        <v>0</v>
      </c>
      <c r="AQ48">
        <v>122.25</v>
      </c>
      <c r="AR48">
        <v>0</v>
      </c>
      <c r="AS48">
        <v>0</v>
      </c>
      <c r="AT48">
        <v>70</v>
      </c>
      <c r="AU48">
        <v>10</v>
      </c>
      <c r="AV48">
        <v>1</v>
      </c>
      <c r="AW48">
        <v>1</v>
      </c>
      <c r="AZ48">
        <v>1</v>
      </c>
      <c r="BA48">
        <v>1</v>
      </c>
      <c r="BB48">
        <v>1</v>
      </c>
      <c r="BC48">
        <v>1</v>
      </c>
      <c r="BD48" t="s">
        <v>3</v>
      </c>
      <c r="BE48" t="s">
        <v>3</v>
      </c>
      <c r="BF48" t="s">
        <v>3</v>
      </c>
      <c r="BG48" t="s">
        <v>3</v>
      </c>
      <c r="BH48">
        <v>0</v>
      </c>
      <c r="BI48">
        <v>4</v>
      </c>
      <c r="BJ48" t="s">
        <v>91</v>
      </c>
      <c r="BM48">
        <v>0</v>
      </c>
      <c r="BN48">
        <v>0</v>
      </c>
      <c r="BO48" t="s">
        <v>3</v>
      </c>
      <c r="BP48">
        <v>0</v>
      </c>
      <c r="BQ48">
        <v>1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 t="s">
        <v>3</v>
      </c>
      <c r="BZ48">
        <v>70</v>
      </c>
      <c r="CA48">
        <v>10</v>
      </c>
      <c r="CE48">
        <v>0</v>
      </c>
      <c r="CF48">
        <v>0</v>
      </c>
      <c r="CG48">
        <v>0</v>
      </c>
      <c r="CM48">
        <v>0</v>
      </c>
      <c r="CN48" t="s">
        <v>3</v>
      </c>
      <c r="CO48">
        <v>0</v>
      </c>
      <c r="CP48">
        <f t="shared" si="37"/>
        <v>134993.41</v>
      </c>
      <c r="CQ48">
        <f t="shared" si="38"/>
        <v>104126.01</v>
      </c>
      <c r="CR48">
        <f t="shared" ref="CR48:CR55" si="66">((((ET48)*BB48-(EU48)*BS48)+AE48*BS48)*AV48)</f>
        <v>1362.67</v>
      </c>
      <c r="CS48">
        <f t="shared" si="39"/>
        <v>993.49</v>
      </c>
      <c r="CT48">
        <f t="shared" si="40"/>
        <v>29504.73</v>
      </c>
      <c r="CU48">
        <f t="shared" si="41"/>
        <v>0</v>
      </c>
      <c r="CV48">
        <f t="shared" si="42"/>
        <v>122.25</v>
      </c>
      <c r="CW48">
        <f t="shared" si="43"/>
        <v>0</v>
      </c>
      <c r="CX48">
        <f t="shared" si="44"/>
        <v>0</v>
      </c>
      <c r="CY48">
        <f t="shared" si="45"/>
        <v>20653.310999999998</v>
      </c>
      <c r="CZ48">
        <f t="shared" si="46"/>
        <v>2950.473</v>
      </c>
      <c r="DC48" t="s">
        <v>3</v>
      </c>
      <c r="DD48" t="s">
        <v>3</v>
      </c>
      <c r="DE48" t="s">
        <v>3</v>
      </c>
      <c r="DF48" t="s">
        <v>3</v>
      </c>
      <c r="DG48" t="s">
        <v>3</v>
      </c>
      <c r="DH48" t="s">
        <v>3</v>
      </c>
      <c r="DI48" t="s">
        <v>3</v>
      </c>
      <c r="DJ48" t="s">
        <v>3</v>
      </c>
      <c r="DK48" t="s">
        <v>3</v>
      </c>
      <c r="DL48" t="s">
        <v>3</v>
      </c>
      <c r="DM48" t="s">
        <v>3</v>
      </c>
      <c r="DN48">
        <v>0</v>
      </c>
      <c r="DO48">
        <v>0</v>
      </c>
      <c r="DP48">
        <v>1</v>
      </c>
      <c r="DQ48">
        <v>1</v>
      </c>
      <c r="DU48">
        <v>1003</v>
      </c>
      <c r="DV48" t="s">
        <v>72</v>
      </c>
      <c r="DW48" t="s">
        <v>72</v>
      </c>
      <c r="DX48">
        <v>100</v>
      </c>
      <c r="EE48">
        <v>67874524</v>
      </c>
      <c r="EF48">
        <v>1</v>
      </c>
      <c r="EG48" t="s">
        <v>20</v>
      </c>
      <c r="EH48">
        <v>0</v>
      </c>
      <c r="EI48" t="s">
        <v>3</v>
      </c>
      <c r="EJ48">
        <v>4</v>
      </c>
      <c r="EK48">
        <v>0</v>
      </c>
      <c r="EL48" t="s">
        <v>21</v>
      </c>
      <c r="EM48" t="s">
        <v>22</v>
      </c>
      <c r="EO48" t="s">
        <v>3</v>
      </c>
      <c r="EQ48">
        <v>132096</v>
      </c>
      <c r="ER48">
        <v>134993.41</v>
      </c>
      <c r="ES48">
        <v>104126.01</v>
      </c>
      <c r="ET48">
        <v>1362.67</v>
      </c>
      <c r="EU48">
        <v>993.49</v>
      </c>
      <c r="EV48">
        <v>29504.73</v>
      </c>
      <c r="EW48">
        <v>122.25</v>
      </c>
      <c r="EX48">
        <v>0</v>
      </c>
      <c r="EY48">
        <v>0</v>
      </c>
      <c r="FQ48">
        <v>0</v>
      </c>
      <c r="FR48">
        <f t="shared" si="47"/>
        <v>0</v>
      </c>
      <c r="FS48">
        <v>0</v>
      </c>
      <c r="FX48">
        <v>70</v>
      </c>
      <c r="FY48">
        <v>10</v>
      </c>
      <c r="GA48" t="s">
        <v>3</v>
      </c>
      <c r="GD48">
        <v>0</v>
      </c>
      <c r="GF48">
        <v>1628357669</v>
      </c>
      <c r="GG48">
        <v>2</v>
      </c>
      <c r="GH48">
        <v>1</v>
      </c>
      <c r="GI48">
        <v>-2</v>
      </c>
      <c r="GJ48">
        <v>0</v>
      </c>
      <c r="GK48">
        <f>ROUND(R48*(R12)/100,2)</f>
        <v>1072.97</v>
      </c>
      <c r="GL48">
        <f t="shared" si="48"/>
        <v>0</v>
      </c>
      <c r="GM48">
        <f t="shared" si="52"/>
        <v>159670.16</v>
      </c>
      <c r="GN48">
        <f t="shared" si="53"/>
        <v>0</v>
      </c>
      <c r="GO48">
        <f t="shared" si="54"/>
        <v>0</v>
      </c>
      <c r="GP48">
        <f t="shared" si="55"/>
        <v>159670.16</v>
      </c>
      <c r="GR48">
        <v>0</v>
      </c>
      <c r="GS48">
        <v>3</v>
      </c>
      <c r="GT48">
        <v>0</v>
      </c>
      <c r="GU48" t="s">
        <v>3</v>
      </c>
      <c r="GV48">
        <f t="shared" si="49"/>
        <v>0</v>
      </c>
      <c r="GW48">
        <v>1</v>
      </c>
      <c r="GX48">
        <f t="shared" si="50"/>
        <v>0</v>
      </c>
      <c r="HA48">
        <v>0</v>
      </c>
      <c r="HB48">
        <v>0</v>
      </c>
      <c r="HC48">
        <f t="shared" si="51"/>
        <v>0</v>
      </c>
      <c r="IK48">
        <v>0</v>
      </c>
    </row>
    <row r="49" spans="1:245" x14ac:dyDescent="0.2">
      <c r="A49">
        <v>17</v>
      </c>
      <c r="B49">
        <v>1</v>
      </c>
      <c r="D49">
        <f>ROW(EtalonRes!A118)</f>
        <v>118</v>
      </c>
      <c r="E49" t="s">
        <v>3</v>
      </c>
      <c r="F49" t="s">
        <v>92</v>
      </c>
      <c r="G49" t="s">
        <v>93</v>
      </c>
      <c r="H49" t="s">
        <v>28</v>
      </c>
      <c r="I49">
        <f>ROUND((156)/100,9)</f>
        <v>1.56</v>
      </c>
      <c r="J49">
        <v>0</v>
      </c>
      <c r="O49">
        <f t="shared" si="21"/>
        <v>3211.46</v>
      </c>
      <c r="P49">
        <f t="shared" si="22"/>
        <v>0</v>
      </c>
      <c r="Q49">
        <f t="shared" si="23"/>
        <v>0</v>
      </c>
      <c r="R49">
        <f t="shared" si="24"/>
        <v>0</v>
      </c>
      <c r="S49">
        <f t="shared" si="25"/>
        <v>3211.46</v>
      </c>
      <c r="T49">
        <f t="shared" si="26"/>
        <v>0</v>
      </c>
      <c r="U49">
        <f t="shared" si="27"/>
        <v>17.7684</v>
      </c>
      <c r="V49">
        <f t="shared" si="28"/>
        <v>0</v>
      </c>
      <c r="W49">
        <f t="shared" si="29"/>
        <v>0</v>
      </c>
      <c r="X49">
        <f t="shared" si="30"/>
        <v>2248.02</v>
      </c>
      <c r="Y49">
        <f t="shared" si="31"/>
        <v>321.14999999999998</v>
      </c>
      <c r="AA49">
        <v>-1</v>
      </c>
      <c r="AB49">
        <f t="shared" si="32"/>
        <v>2058.63</v>
      </c>
      <c r="AC49">
        <f t="shared" si="62"/>
        <v>0</v>
      </c>
      <c r="AD49">
        <f t="shared" si="63"/>
        <v>0</v>
      </c>
      <c r="AE49">
        <f t="shared" si="64"/>
        <v>0</v>
      </c>
      <c r="AF49">
        <f t="shared" si="64"/>
        <v>2058.63</v>
      </c>
      <c r="AG49">
        <f t="shared" si="34"/>
        <v>0</v>
      </c>
      <c r="AH49">
        <f t="shared" si="65"/>
        <v>11.39</v>
      </c>
      <c r="AI49">
        <f t="shared" si="65"/>
        <v>0</v>
      </c>
      <c r="AJ49">
        <f t="shared" si="36"/>
        <v>0</v>
      </c>
      <c r="AK49">
        <v>2058.63</v>
      </c>
      <c r="AL49">
        <v>0</v>
      </c>
      <c r="AM49">
        <v>0</v>
      </c>
      <c r="AN49">
        <v>0</v>
      </c>
      <c r="AO49">
        <v>2058.63</v>
      </c>
      <c r="AP49">
        <v>0</v>
      </c>
      <c r="AQ49">
        <v>11.39</v>
      </c>
      <c r="AR49">
        <v>0</v>
      </c>
      <c r="AS49">
        <v>0</v>
      </c>
      <c r="AT49">
        <v>70</v>
      </c>
      <c r="AU49">
        <v>10</v>
      </c>
      <c r="AV49">
        <v>1</v>
      </c>
      <c r="AW49">
        <v>1</v>
      </c>
      <c r="AZ49">
        <v>1</v>
      </c>
      <c r="BA49">
        <v>1</v>
      </c>
      <c r="BB49">
        <v>1</v>
      </c>
      <c r="BC49">
        <v>1</v>
      </c>
      <c r="BD49" t="s">
        <v>3</v>
      </c>
      <c r="BE49" t="s">
        <v>3</v>
      </c>
      <c r="BF49" t="s">
        <v>3</v>
      </c>
      <c r="BG49" t="s">
        <v>3</v>
      </c>
      <c r="BH49">
        <v>0</v>
      </c>
      <c r="BI49">
        <v>4</v>
      </c>
      <c r="BJ49" t="s">
        <v>94</v>
      </c>
      <c r="BM49">
        <v>0</v>
      </c>
      <c r="BN49">
        <v>0</v>
      </c>
      <c r="BO49" t="s">
        <v>3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 t="s">
        <v>3</v>
      </c>
      <c r="BZ49">
        <v>70</v>
      </c>
      <c r="CA49">
        <v>10</v>
      </c>
      <c r="CE49">
        <v>0</v>
      </c>
      <c r="CF49">
        <v>0</v>
      </c>
      <c r="CG49">
        <v>0</v>
      </c>
      <c r="CM49">
        <v>0</v>
      </c>
      <c r="CN49" t="s">
        <v>3</v>
      </c>
      <c r="CO49">
        <v>0</v>
      </c>
      <c r="CP49">
        <f t="shared" si="37"/>
        <v>3211.46</v>
      </c>
      <c r="CQ49">
        <f t="shared" si="38"/>
        <v>0</v>
      </c>
      <c r="CR49">
        <f t="shared" si="66"/>
        <v>0</v>
      </c>
      <c r="CS49">
        <f t="shared" si="39"/>
        <v>0</v>
      </c>
      <c r="CT49">
        <f t="shared" si="40"/>
        <v>2058.63</v>
      </c>
      <c r="CU49">
        <f t="shared" si="41"/>
        <v>0</v>
      </c>
      <c r="CV49">
        <f t="shared" si="42"/>
        <v>11.39</v>
      </c>
      <c r="CW49">
        <f t="shared" si="43"/>
        <v>0</v>
      </c>
      <c r="CX49">
        <f t="shared" si="44"/>
        <v>0</v>
      </c>
      <c r="CY49">
        <f t="shared" si="45"/>
        <v>2248.0219999999999</v>
      </c>
      <c r="CZ49">
        <f t="shared" si="46"/>
        <v>321.14599999999996</v>
      </c>
      <c r="DC49" t="s">
        <v>3</v>
      </c>
      <c r="DD49" t="s">
        <v>3</v>
      </c>
      <c r="DE49" t="s">
        <v>3</v>
      </c>
      <c r="DF49" t="s">
        <v>3</v>
      </c>
      <c r="DG49" t="s">
        <v>3</v>
      </c>
      <c r="DH49" t="s">
        <v>3</v>
      </c>
      <c r="DI49" t="s">
        <v>3</v>
      </c>
      <c r="DJ49" t="s">
        <v>3</v>
      </c>
      <c r="DK49" t="s">
        <v>3</v>
      </c>
      <c r="DL49" t="s">
        <v>3</v>
      </c>
      <c r="DM49" t="s">
        <v>3</v>
      </c>
      <c r="DN49">
        <v>0</v>
      </c>
      <c r="DO49">
        <v>0</v>
      </c>
      <c r="DP49">
        <v>1</v>
      </c>
      <c r="DQ49">
        <v>1</v>
      </c>
      <c r="DU49">
        <v>1005</v>
      </c>
      <c r="DV49" t="s">
        <v>28</v>
      </c>
      <c r="DW49" t="s">
        <v>28</v>
      </c>
      <c r="DX49">
        <v>100</v>
      </c>
      <c r="EE49">
        <v>67874524</v>
      </c>
      <c r="EF49">
        <v>1</v>
      </c>
      <c r="EG49" t="s">
        <v>20</v>
      </c>
      <c r="EH49">
        <v>0</v>
      </c>
      <c r="EI49" t="s">
        <v>3</v>
      </c>
      <c r="EJ49">
        <v>4</v>
      </c>
      <c r="EK49">
        <v>0</v>
      </c>
      <c r="EL49" t="s">
        <v>21</v>
      </c>
      <c r="EM49" t="s">
        <v>22</v>
      </c>
      <c r="EO49" t="s">
        <v>3</v>
      </c>
      <c r="EQ49">
        <v>1024</v>
      </c>
      <c r="ER49">
        <v>2058.63</v>
      </c>
      <c r="ES49">
        <v>0</v>
      </c>
      <c r="ET49">
        <v>0</v>
      </c>
      <c r="EU49">
        <v>0</v>
      </c>
      <c r="EV49">
        <v>2058.63</v>
      </c>
      <c r="EW49">
        <v>11.39</v>
      </c>
      <c r="EX49">
        <v>0</v>
      </c>
      <c r="EY49">
        <v>0</v>
      </c>
      <c r="FQ49">
        <v>0</v>
      </c>
      <c r="FR49">
        <f t="shared" si="47"/>
        <v>0</v>
      </c>
      <c r="FS49">
        <v>0</v>
      </c>
      <c r="FX49">
        <v>70</v>
      </c>
      <c r="FY49">
        <v>10</v>
      </c>
      <c r="GA49" t="s">
        <v>3</v>
      </c>
      <c r="GD49">
        <v>0</v>
      </c>
      <c r="GF49">
        <v>1127017000</v>
      </c>
      <c r="GG49">
        <v>2</v>
      </c>
      <c r="GH49">
        <v>1</v>
      </c>
      <c r="GI49">
        <v>-2</v>
      </c>
      <c r="GJ49">
        <v>0</v>
      </c>
      <c r="GK49">
        <f>ROUND(R49*(R12)/100,2)</f>
        <v>0</v>
      </c>
      <c r="GL49">
        <f t="shared" si="48"/>
        <v>0</v>
      </c>
      <c r="GM49">
        <f t="shared" si="52"/>
        <v>5780.63</v>
      </c>
      <c r="GN49">
        <f t="shared" si="53"/>
        <v>0</v>
      </c>
      <c r="GO49">
        <f t="shared" si="54"/>
        <v>0</v>
      </c>
      <c r="GP49">
        <f t="shared" si="55"/>
        <v>5780.63</v>
      </c>
      <c r="GR49">
        <v>0</v>
      </c>
      <c r="GS49">
        <v>3</v>
      </c>
      <c r="GT49">
        <v>0</v>
      </c>
      <c r="GU49" t="s">
        <v>3</v>
      </c>
      <c r="GV49">
        <f t="shared" si="49"/>
        <v>0</v>
      </c>
      <c r="GW49">
        <v>1</v>
      </c>
      <c r="GX49">
        <f t="shared" si="50"/>
        <v>0</v>
      </c>
      <c r="HA49">
        <v>0</v>
      </c>
      <c r="HB49">
        <v>0</v>
      </c>
      <c r="HC49">
        <f t="shared" si="51"/>
        <v>0</v>
      </c>
      <c r="IK49">
        <v>0</v>
      </c>
    </row>
    <row r="50" spans="1:245" x14ac:dyDescent="0.2">
      <c r="A50">
        <v>17</v>
      </c>
      <c r="B50">
        <v>1</v>
      </c>
      <c r="D50">
        <f>ROW(EtalonRes!A119)</f>
        <v>119</v>
      </c>
      <c r="E50" t="s">
        <v>95</v>
      </c>
      <c r="F50" t="s">
        <v>42</v>
      </c>
      <c r="G50" t="s">
        <v>43</v>
      </c>
      <c r="H50" t="s">
        <v>28</v>
      </c>
      <c r="I50">
        <f>ROUND((69)/100,9)</f>
        <v>0.69</v>
      </c>
      <c r="J50">
        <v>0</v>
      </c>
      <c r="O50">
        <f t="shared" si="21"/>
        <v>2104.8000000000002</v>
      </c>
      <c r="P50">
        <f t="shared" si="22"/>
        <v>0</v>
      </c>
      <c r="Q50">
        <f t="shared" si="23"/>
        <v>0</v>
      </c>
      <c r="R50">
        <f t="shared" si="24"/>
        <v>0</v>
      </c>
      <c r="S50">
        <f t="shared" si="25"/>
        <v>2104.8000000000002</v>
      </c>
      <c r="T50">
        <f t="shared" si="26"/>
        <v>0</v>
      </c>
      <c r="U50">
        <f t="shared" si="27"/>
        <v>12.889199999999999</v>
      </c>
      <c r="V50">
        <f t="shared" si="28"/>
        <v>0</v>
      </c>
      <c r="W50">
        <f t="shared" si="29"/>
        <v>0</v>
      </c>
      <c r="X50">
        <f t="shared" si="30"/>
        <v>1473.36</v>
      </c>
      <c r="Y50">
        <f t="shared" si="31"/>
        <v>210.48</v>
      </c>
      <c r="AA50">
        <v>71209905</v>
      </c>
      <c r="AB50">
        <f t="shared" si="32"/>
        <v>3050.44</v>
      </c>
      <c r="AC50">
        <f t="shared" si="62"/>
        <v>0</v>
      </c>
      <c r="AD50">
        <f t="shared" si="63"/>
        <v>0</v>
      </c>
      <c r="AE50">
        <f t="shared" si="64"/>
        <v>0</v>
      </c>
      <c r="AF50">
        <f t="shared" si="64"/>
        <v>3050.44</v>
      </c>
      <c r="AG50">
        <f t="shared" si="34"/>
        <v>0</v>
      </c>
      <c r="AH50">
        <f t="shared" si="65"/>
        <v>18.68</v>
      </c>
      <c r="AI50">
        <f t="shared" si="65"/>
        <v>0</v>
      </c>
      <c r="AJ50">
        <f t="shared" si="36"/>
        <v>0</v>
      </c>
      <c r="AK50">
        <v>3050.44</v>
      </c>
      <c r="AL50">
        <v>0</v>
      </c>
      <c r="AM50">
        <v>0</v>
      </c>
      <c r="AN50">
        <v>0</v>
      </c>
      <c r="AO50">
        <v>3050.44</v>
      </c>
      <c r="AP50">
        <v>0</v>
      </c>
      <c r="AQ50">
        <v>18.68</v>
      </c>
      <c r="AR50">
        <v>0</v>
      </c>
      <c r="AS50">
        <v>0</v>
      </c>
      <c r="AT50">
        <v>70</v>
      </c>
      <c r="AU50">
        <v>10</v>
      </c>
      <c r="AV50">
        <v>1</v>
      </c>
      <c r="AW50">
        <v>1</v>
      </c>
      <c r="AZ50">
        <v>1</v>
      </c>
      <c r="BA50">
        <v>1</v>
      </c>
      <c r="BB50">
        <v>1</v>
      </c>
      <c r="BC50">
        <v>1</v>
      </c>
      <c r="BD50" t="s">
        <v>3</v>
      </c>
      <c r="BE50" t="s">
        <v>3</v>
      </c>
      <c r="BF50" t="s">
        <v>3</v>
      </c>
      <c r="BG50" t="s">
        <v>3</v>
      </c>
      <c r="BH50">
        <v>0</v>
      </c>
      <c r="BI50">
        <v>4</v>
      </c>
      <c r="BJ50" t="s">
        <v>44</v>
      </c>
      <c r="BM50">
        <v>0</v>
      </c>
      <c r="BN50">
        <v>0</v>
      </c>
      <c r="BO50" t="s">
        <v>3</v>
      </c>
      <c r="BP50">
        <v>0</v>
      </c>
      <c r="BQ50">
        <v>1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 t="s">
        <v>3</v>
      </c>
      <c r="BZ50">
        <v>70</v>
      </c>
      <c r="CA50">
        <v>10</v>
      </c>
      <c r="CE50">
        <v>0</v>
      </c>
      <c r="CF50">
        <v>0</v>
      </c>
      <c r="CG50">
        <v>0</v>
      </c>
      <c r="CM50">
        <v>0</v>
      </c>
      <c r="CN50" t="s">
        <v>3</v>
      </c>
      <c r="CO50">
        <v>0</v>
      </c>
      <c r="CP50">
        <f t="shared" si="37"/>
        <v>2104.8000000000002</v>
      </c>
      <c r="CQ50">
        <f t="shared" si="38"/>
        <v>0</v>
      </c>
      <c r="CR50">
        <f t="shared" si="66"/>
        <v>0</v>
      </c>
      <c r="CS50">
        <f t="shared" si="39"/>
        <v>0</v>
      </c>
      <c r="CT50">
        <f t="shared" si="40"/>
        <v>3050.44</v>
      </c>
      <c r="CU50">
        <f t="shared" si="41"/>
        <v>0</v>
      </c>
      <c r="CV50">
        <f t="shared" si="42"/>
        <v>18.68</v>
      </c>
      <c r="CW50">
        <f t="shared" si="43"/>
        <v>0</v>
      </c>
      <c r="CX50">
        <f t="shared" si="44"/>
        <v>0</v>
      </c>
      <c r="CY50">
        <f t="shared" si="45"/>
        <v>1473.36</v>
      </c>
      <c r="CZ50">
        <f t="shared" si="46"/>
        <v>210.48</v>
      </c>
      <c r="DC50" t="s">
        <v>3</v>
      </c>
      <c r="DD50" t="s">
        <v>3</v>
      </c>
      <c r="DE50" t="s">
        <v>3</v>
      </c>
      <c r="DF50" t="s">
        <v>3</v>
      </c>
      <c r="DG50" t="s">
        <v>3</v>
      </c>
      <c r="DH50" t="s">
        <v>3</v>
      </c>
      <c r="DI50" t="s">
        <v>3</v>
      </c>
      <c r="DJ50" t="s">
        <v>3</v>
      </c>
      <c r="DK50" t="s">
        <v>3</v>
      </c>
      <c r="DL50" t="s">
        <v>3</v>
      </c>
      <c r="DM50" t="s">
        <v>3</v>
      </c>
      <c r="DN50">
        <v>0</v>
      </c>
      <c r="DO50">
        <v>0</v>
      </c>
      <c r="DP50">
        <v>1</v>
      </c>
      <c r="DQ50">
        <v>1</v>
      </c>
      <c r="DU50">
        <v>1005</v>
      </c>
      <c r="DV50" t="s">
        <v>28</v>
      </c>
      <c r="DW50" t="s">
        <v>28</v>
      </c>
      <c r="DX50">
        <v>100</v>
      </c>
      <c r="EE50">
        <v>67874524</v>
      </c>
      <c r="EF50">
        <v>1</v>
      </c>
      <c r="EG50" t="s">
        <v>20</v>
      </c>
      <c r="EH50">
        <v>0</v>
      </c>
      <c r="EI50" t="s">
        <v>3</v>
      </c>
      <c r="EJ50">
        <v>4</v>
      </c>
      <c r="EK50">
        <v>0</v>
      </c>
      <c r="EL50" t="s">
        <v>21</v>
      </c>
      <c r="EM50" t="s">
        <v>22</v>
      </c>
      <c r="EO50" t="s">
        <v>3</v>
      </c>
      <c r="EQ50">
        <v>0</v>
      </c>
      <c r="ER50">
        <v>3050.44</v>
      </c>
      <c r="ES50">
        <v>0</v>
      </c>
      <c r="ET50">
        <v>0</v>
      </c>
      <c r="EU50">
        <v>0</v>
      </c>
      <c r="EV50">
        <v>3050.44</v>
      </c>
      <c r="EW50">
        <v>18.68</v>
      </c>
      <c r="EX50">
        <v>0</v>
      </c>
      <c r="EY50">
        <v>0</v>
      </c>
      <c r="FQ50">
        <v>0</v>
      </c>
      <c r="FR50">
        <f t="shared" si="47"/>
        <v>0</v>
      </c>
      <c r="FS50">
        <v>0</v>
      </c>
      <c r="FX50">
        <v>70</v>
      </c>
      <c r="FY50">
        <v>10</v>
      </c>
      <c r="GA50" t="s">
        <v>3</v>
      </c>
      <c r="GD50">
        <v>0</v>
      </c>
      <c r="GF50">
        <v>-898163925</v>
      </c>
      <c r="GG50">
        <v>2</v>
      </c>
      <c r="GH50">
        <v>1</v>
      </c>
      <c r="GI50">
        <v>-2</v>
      </c>
      <c r="GJ50">
        <v>0</v>
      </c>
      <c r="GK50">
        <f>ROUND(R50*(R12)/100,2)</f>
        <v>0</v>
      </c>
      <c r="GL50">
        <f t="shared" si="48"/>
        <v>0</v>
      </c>
      <c r="GM50">
        <f t="shared" si="52"/>
        <v>3788.64</v>
      </c>
      <c r="GN50">
        <f t="shared" si="53"/>
        <v>0</v>
      </c>
      <c r="GO50">
        <f t="shared" si="54"/>
        <v>0</v>
      </c>
      <c r="GP50">
        <f t="shared" si="55"/>
        <v>3788.64</v>
      </c>
      <c r="GR50">
        <v>0</v>
      </c>
      <c r="GS50">
        <v>3</v>
      </c>
      <c r="GT50">
        <v>0</v>
      </c>
      <c r="GU50" t="s">
        <v>3</v>
      </c>
      <c r="GV50">
        <f t="shared" si="49"/>
        <v>0</v>
      </c>
      <c r="GW50">
        <v>1</v>
      </c>
      <c r="GX50">
        <f t="shared" si="50"/>
        <v>0</v>
      </c>
      <c r="HA50">
        <v>0</v>
      </c>
      <c r="HB50">
        <v>0</v>
      </c>
      <c r="HC50">
        <f t="shared" si="51"/>
        <v>0</v>
      </c>
      <c r="IK50">
        <v>0</v>
      </c>
    </row>
    <row r="51" spans="1:245" x14ac:dyDescent="0.2">
      <c r="A51">
        <v>17</v>
      </c>
      <c r="B51">
        <v>1</v>
      </c>
      <c r="D51">
        <f>ROW(EtalonRes!A123)</f>
        <v>123</v>
      </c>
      <c r="E51" t="s">
        <v>96</v>
      </c>
      <c r="F51" t="s">
        <v>97</v>
      </c>
      <c r="G51" t="s">
        <v>98</v>
      </c>
      <c r="H51" t="s">
        <v>47</v>
      </c>
      <c r="I51">
        <f>ROUND(5.9/100+1.3/100,9)</f>
        <v>7.1999999999999995E-2</v>
      </c>
      <c r="J51">
        <v>0</v>
      </c>
      <c r="O51">
        <f t="shared" si="21"/>
        <v>4383.8599999999997</v>
      </c>
      <c r="P51">
        <f t="shared" si="22"/>
        <v>0</v>
      </c>
      <c r="Q51">
        <f t="shared" si="23"/>
        <v>2199.5100000000002</v>
      </c>
      <c r="R51">
        <f t="shared" si="24"/>
        <v>1214.24</v>
      </c>
      <c r="S51">
        <f t="shared" si="25"/>
        <v>2184.35</v>
      </c>
      <c r="T51">
        <f t="shared" si="26"/>
        <v>0</v>
      </c>
      <c r="U51">
        <f t="shared" si="27"/>
        <v>11.159999999999998</v>
      </c>
      <c r="V51">
        <f t="shared" si="28"/>
        <v>0</v>
      </c>
      <c r="W51">
        <f t="shared" si="29"/>
        <v>0</v>
      </c>
      <c r="X51">
        <f t="shared" si="30"/>
        <v>1529.05</v>
      </c>
      <c r="Y51">
        <f t="shared" si="31"/>
        <v>218.44</v>
      </c>
      <c r="AA51">
        <v>71209905</v>
      </c>
      <c r="AB51">
        <f t="shared" si="32"/>
        <v>60886.85</v>
      </c>
      <c r="AC51">
        <f t="shared" si="62"/>
        <v>0</v>
      </c>
      <c r="AD51">
        <f t="shared" si="63"/>
        <v>30548.7</v>
      </c>
      <c r="AE51">
        <f t="shared" si="64"/>
        <v>16864.419999999998</v>
      </c>
      <c r="AF51">
        <f t="shared" si="64"/>
        <v>30338.15</v>
      </c>
      <c r="AG51">
        <f t="shared" si="34"/>
        <v>0</v>
      </c>
      <c r="AH51">
        <f t="shared" si="65"/>
        <v>155</v>
      </c>
      <c r="AI51">
        <f t="shared" si="65"/>
        <v>0</v>
      </c>
      <c r="AJ51">
        <f t="shared" si="36"/>
        <v>0</v>
      </c>
      <c r="AK51">
        <v>60886.85</v>
      </c>
      <c r="AL51">
        <v>0</v>
      </c>
      <c r="AM51">
        <v>30548.7</v>
      </c>
      <c r="AN51">
        <v>16864.419999999998</v>
      </c>
      <c r="AO51">
        <v>30338.15</v>
      </c>
      <c r="AP51">
        <v>0</v>
      </c>
      <c r="AQ51">
        <v>155</v>
      </c>
      <c r="AR51">
        <v>0</v>
      </c>
      <c r="AS51">
        <v>0</v>
      </c>
      <c r="AT51">
        <v>70</v>
      </c>
      <c r="AU51">
        <v>10</v>
      </c>
      <c r="AV51">
        <v>1</v>
      </c>
      <c r="AW51">
        <v>1</v>
      </c>
      <c r="AZ51">
        <v>1</v>
      </c>
      <c r="BA51">
        <v>1</v>
      </c>
      <c r="BB51">
        <v>1</v>
      </c>
      <c r="BC51">
        <v>1</v>
      </c>
      <c r="BD51" t="s">
        <v>3</v>
      </c>
      <c r="BE51" t="s">
        <v>3</v>
      </c>
      <c r="BF51" t="s">
        <v>3</v>
      </c>
      <c r="BG51" t="s">
        <v>3</v>
      </c>
      <c r="BH51">
        <v>0</v>
      </c>
      <c r="BI51">
        <v>4</v>
      </c>
      <c r="BJ51" t="s">
        <v>99</v>
      </c>
      <c r="BM51">
        <v>0</v>
      </c>
      <c r="BN51">
        <v>0</v>
      </c>
      <c r="BO51" t="s">
        <v>3</v>
      </c>
      <c r="BP51">
        <v>0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 t="s">
        <v>3</v>
      </c>
      <c r="BZ51">
        <v>70</v>
      </c>
      <c r="CA51">
        <v>10</v>
      </c>
      <c r="CE51">
        <v>0</v>
      </c>
      <c r="CF51">
        <v>0</v>
      </c>
      <c r="CG51">
        <v>0</v>
      </c>
      <c r="CM51">
        <v>0</v>
      </c>
      <c r="CN51" t="s">
        <v>3</v>
      </c>
      <c r="CO51">
        <v>0</v>
      </c>
      <c r="CP51">
        <f t="shared" si="37"/>
        <v>4383.8600000000006</v>
      </c>
      <c r="CQ51">
        <f t="shared" si="38"/>
        <v>0</v>
      </c>
      <c r="CR51">
        <f t="shared" si="66"/>
        <v>30548.7</v>
      </c>
      <c r="CS51">
        <f t="shared" si="39"/>
        <v>16864.419999999998</v>
      </c>
      <c r="CT51">
        <f t="shared" si="40"/>
        <v>30338.15</v>
      </c>
      <c r="CU51">
        <f t="shared" si="41"/>
        <v>0</v>
      </c>
      <c r="CV51">
        <f t="shared" si="42"/>
        <v>155</v>
      </c>
      <c r="CW51">
        <f t="shared" si="43"/>
        <v>0</v>
      </c>
      <c r="CX51">
        <f t="shared" si="44"/>
        <v>0</v>
      </c>
      <c r="CY51">
        <f t="shared" si="45"/>
        <v>1529.0450000000001</v>
      </c>
      <c r="CZ51">
        <f t="shared" si="46"/>
        <v>218.435</v>
      </c>
      <c r="DC51" t="s">
        <v>3</v>
      </c>
      <c r="DD51" t="s">
        <v>3</v>
      </c>
      <c r="DE51" t="s">
        <v>3</v>
      </c>
      <c r="DF51" t="s">
        <v>3</v>
      </c>
      <c r="DG51" t="s">
        <v>3</v>
      </c>
      <c r="DH51" t="s">
        <v>3</v>
      </c>
      <c r="DI51" t="s">
        <v>3</v>
      </c>
      <c r="DJ51" t="s">
        <v>3</v>
      </c>
      <c r="DK51" t="s">
        <v>3</v>
      </c>
      <c r="DL51" t="s">
        <v>3</v>
      </c>
      <c r="DM51" t="s">
        <v>3</v>
      </c>
      <c r="DN51">
        <v>0</v>
      </c>
      <c r="DO51">
        <v>0</v>
      </c>
      <c r="DP51">
        <v>1</v>
      </c>
      <c r="DQ51">
        <v>1</v>
      </c>
      <c r="DU51">
        <v>1007</v>
      </c>
      <c r="DV51" t="s">
        <v>47</v>
      </c>
      <c r="DW51" t="s">
        <v>47</v>
      </c>
      <c r="DX51">
        <v>100</v>
      </c>
      <c r="EE51">
        <v>67874524</v>
      </c>
      <c r="EF51">
        <v>1</v>
      </c>
      <c r="EG51" t="s">
        <v>20</v>
      </c>
      <c r="EH51">
        <v>0</v>
      </c>
      <c r="EI51" t="s">
        <v>3</v>
      </c>
      <c r="EJ51">
        <v>4</v>
      </c>
      <c r="EK51">
        <v>0</v>
      </c>
      <c r="EL51" t="s">
        <v>21</v>
      </c>
      <c r="EM51" t="s">
        <v>22</v>
      </c>
      <c r="EO51" t="s">
        <v>3</v>
      </c>
      <c r="EQ51">
        <v>0</v>
      </c>
      <c r="ER51">
        <v>60886.85</v>
      </c>
      <c r="ES51">
        <v>0</v>
      </c>
      <c r="ET51">
        <v>30548.7</v>
      </c>
      <c r="EU51">
        <v>16864.419999999998</v>
      </c>
      <c r="EV51">
        <v>30338.15</v>
      </c>
      <c r="EW51">
        <v>155</v>
      </c>
      <c r="EX51">
        <v>0</v>
      </c>
      <c r="EY51">
        <v>0</v>
      </c>
      <c r="FQ51">
        <v>0</v>
      </c>
      <c r="FR51">
        <f t="shared" si="47"/>
        <v>0</v>
      </c>
      <c r="FS51">
        <v>0</v>
      </c>
      <c r="FX51">
        <v>70</v>
      </c>
      <c r="FY51">
        <v>10</v>
      </c>
      <c r="GA51" t="s">
        <v>3</v>
      </c>
      <c r="GD51">
        <v>0</v>
      </c>
      <c r="GF51">
        <v>-1005962369</v>
      </c>
      <c r="GG51">
        <v>2</v>
      </c>
      <c r="GH51">
        <v>1</v>
      </c>
      <c r="GI51">
        <v>-2</v>
      </c>
      <c r="GJ51">
        <v>0</v>
      </c>
      <c r="GK51">
        <f>ROUND(R51*(R12)/100,2)</f>
        <v>1311.38</v>
      </c>
      <c r="GL51">
        <f t="shared" si="48"/>
        <v>0</v>
      </c>
      <c r="GM51">
        <f t="shared" si="52"/>
        <v>7442.73</v>
      </c>
      <c r="GN51">
        <f t="shared" si="53"/>
        <v>0</v>
      </c>
      <c r="GO51">
        <f t="shared" si="54"/>
        <v>0</v>
      </c>
      <c r="GP51">
        <f t="shared" si="55"/>
        <v>7442.73</v>
      </c>
      <c r="GR51">
        <v>0</v>
      </c>
      <c r="GS51">
        <v>3</v>
      </c>
      <c r="GT51">
        <v>0</v>
      </c>
      <c r="GU51" t="s">
        <v>3</v>
      </c>
      <c r="GV51">
        <f t="shared" si="49"/>
        <v>0</v>
      </c>
      <c r="GW51">
        <v>1</v>
      </c>
      <c r="GX51">
        <f t="shared" si="50"/>
        <v>0</v>
      </c>
      <c r="HA51">
        <v>0</v>
      </c>
      <c r="HB51">
        <v>0</v>
      </c>
      <c r="HC51">
        <f t="shared" si="51"/>
        <v>0</v>
      </c>
      <c r="IK51">
        <v>0</v>
      </c>
    </row>
    <row r="52" spans="1:245" x14ac:dyDescent="0.2">
      <c r="A52">
        <v>17</v>
      </c>
      <c r="B52">
        <v>1</v>
      </c>
      <c r="D52">
        <f>ROW(EtalonRes!A126)</f>
        <v>126</v>
      </c>
      <c r="E52" t="s">
        <v>100</v>
      </c>
      <c r="F52" t="s">
        <v>45</v>
      </c>
      <c r="G52" t="s">
        <v>101</v>
      </c>
      <c r="H52" t="s">
        <v>47</v>
      </c>
      <c r="I52">
        <f>ROUND((14.2+7.4+17.6+1.6)/100,9)</f>
        <v>0.40799999999999997</v>
      </c>
      <c r="J52">
        <v>0</v>
      </c>
      <c r="O52">
        <f t="shared" si="21"/>
        <v>1945.29</v>
      </c>
      <c r="P52">
        <f t="shared" si="22"/>
        <v>0</v>
      </c>
      <c r="Q52">
        <f t="shared" si="23"/>
        <v>1360.76</v>
      </c>
      <c r="R52">
        <f t="shared" si="24"/>
        <v>657.25</v>
      </c>
      <c r="S52">
        <f t="shared" si="25"/>
        <v>584.53</v>
      </c>
      <c r="T52">
        <f t="shared" si="26"/>
        <v>0</v>
      </c>
      <c r="U52">
        <f t="shared" si="27"/>
        <v>4.7735999999999992</v>
      </c>
      <c r="V52">
        <f t="shared" si="28"/>
        <v>0</v>
      </c>
      <c r="W52">
        <f t="shared" si="29"/>
        <v>0</v>
      </c>
      <c r="X52">
        <f t="shared" si="30"/>
        <v>409.17</v>
      </c>
      <c r="Y52">
        <f t="shared" si="31"/>
        <v>58.45</v>
      </c>
      <c r="AA52">
        <v>71209905</v>
      </c>
      <c r="AB52">
        <f t="shared" si="32"/>
        <v>4767.8500000000004</v>
      </c>
      <c r="AC52">
        <f t="shared" si="62"/>
        <v>0</v>
      </c>
      <c r="AD52">
        <f t="shared" si="63"/>
        <v>3335.19</v>
      </c>
      <c r="AE52">
        <f t="shared" si="64"/>
        <v>1610.9</v>
      </c>
      <c r="AF52">
        <f t="shared" si="64"/>
        <v>1432.66</v>
      </c>
      <c r="AG52">
        <f t="shared" si="34"/>
        <v>0</v>
      </c>
      <c r="AH52">
        <f t="shared" si="65"/>
        <v>11.7</v>
      </c>
      <c r="AI52">
        <f t="shared" si="65"/>
        <v>0</v>
      </c>
      <c r="AJ52">
        <f t="shared" si="36"/>
        <v>0</v>
      </c>
      <c r="AK52">
        <v>4767.8500000000004</v>
      </c>
      <c r="AL52">
        <v>0</v>
      </c>
      <c r="AM52">
        <v>3335.19</v>
      </c>
      <c r="AN52">
        <v>1610.9</v>
      </c>
      <c r="AO52">
        <v>1432.66</v>
      </c>
      <c r="AP52">
        <v>0</v>
      </c>
      <c r="AQ52">
        <v>11.7</v>
      </c>
      <c r="AR52">
        <v>0</v>
      </c>
      <c r="AS52">
        <v>0</v>
      </c>
      <c r="AT52">
        <v>70</v>
      </c>
      <c r="AU52">
        <v>10</v>
      </c>
      <c r="AV52">
        <v>1</v>
      </c>
      <c r="AW52">
        <v>1</v>
      </c>
      <c r="AZ52">
        <v>1</v>
      </c>
      <c r="BA52">
        <v>1</v>
      </c>
      <c r="BB52">
        <v>1</v>
      </c>
      <c r="BC52">
        <v>1</v>
      </c>
      <c r="BD52" t="s">
        <v>3</v>
      </c>
      <c r="BE52" t="s">
        <v>3</v>
      </c>
      <c r="BF52" t="s">
        <v>3</v>
      </c>
      <c r="BG52" t="s">
        <v>3</v>
      </c>
      <c r="BH52">
        <v>0</v>
      </c>
      <c r="BI52">
        <v>4</v>
      </c>
      <c r="BJ52" t="s">
        <v>48</v>
      </c>
      <c r="BM52">
        <v>0</v>
      </c>
      <c r="BN52">
        <v>0</v>
      </c>
      <c r="BO52" t="s">
        <v>3</v>
      </c>
      <c r="BP52">
        <v>0</v>
      </c>
      <c r="BQ52">
        <v>1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 t="s">
        <v>3</v>
      </c>
      <c r="BZ52">
        <v>70</v>
      </c>
      <c r="CA52">
        <v>10</v>
      </c>
      <c r="CE52">
        <v>0</v>
      </c>
      <c r="CF52">
        <v>0</v>
      </c>
      <c r="CG52">
        <v>0</v>
      </c>
      <c r="CM52">
        <v>0</v>
      </c>
      <c r="CN52" t="s">
        <v>3</v>
      </c>
      <c r="CO52">
        <v>0</v>
      </c>
      <c r="CP52">
        <f t="shared" si="37"/>
        <v>1945.29</v>
      </c>
      <c r="CQ52">
        <f t="shared" si="38"/>
        <v>0</v>
      </c>
      <c r="CR52">
        <f t="shared" si="66"/>
        <v>3335.19</v>
      </c>
      <c r="CS52">
        <f t="shared" si="39"/>
        <v>1610.9</v>
      </c>
      <c r="CT52">
        <f t="shared" si="40"/>
        <v>1432.66</v>
      </c>
      <c r="CU52">
        <f t="shared" si="41"/>
        <v>0</v>
      </c>
      <c r="CV52">
        <f t="shared" si="42"/>
        <v>11.7</v>
      </c>
      <c r="CW52">
        <f t="shared" si="43"/>
        <v>0</v>
      </c>
      <c r="CX52">
        <f t="shared" si="44"/>
        <v>0</v>
      </c>
      <c r="CY52">
        <f t="shared" si="45"/>
        <v>409.17099999999999</v>
      </c>
      <c r="CZ52">
        <f t="shared" si="46"/>
        <v>58.452999999999996</v>
      </c>
      <c r="DC52" t="s">
        <v>3</v>
      </c>
      <c r="DD52" t="s">
        <v>3</v>
      </c>
      <c r="DE52" t="s">
        <v>3</v>
      </c>
      <c r="DF52" t="s">
        <v>3</v>
      </c>
      <c r="DG52" t="s">
        <v>3</v>
      </c>
      <c r="DH52" t="s">
        <v>3</v>
      </c>
      <c r="DI52" t="s">
        <v>3</v>
      </c>
      <c r="DJ52" t="s">
        <v>3</v>
      </c>
      <c r="DK52" t="s">
        <v>3</v>
      </c>
      <c r="DL52" t="s">
        <v>3</v>
      </c>
      <c r="DM52" t="s">
        <v>3</v>
      </c>
      <c r="DN52">
        <v>0</v>
      </c>
      <c r="DO52">
        <v>0</v>
      </c>
      <c r="DP52">
        <v>1</v>
      </c>
      <c r="DQ52">
        <v>1</v>
      </c>
      <c r="DU52">
        <v>1007</v>
      </c>
      <c r="DV52" t="s">
        <v>47</v>
      </c>
      <c r="DW52" t="s">
        <v>47</v>
      </c>
      <c r="DX52">
        <v>100</v>
      </c>
      <c r="EE52">
        <v>67874524</v>
      </c>
      <c r="EF52">
        <v>1</v>
      </c>
      <c r="EG52" t="s">
        <v>20</v>
      </c>
      <c r="EH52">
        <v>0</v>
      </c>
      <c r="EI52" t="s">
        <v>3</v>
      </c>
      <c r="EJ52">
        <v>4</v>
      </c>
      <c r="EK52">
        <v>0</v>
      </c>
      <c r="EL52" t="s">
        <v>21</v>
      </c>
      <c r="EM52" t="s">
        <v>22</v>
      </c>
      <c r="EO52" t="s">
        <v>3</v>
      </c>
      <c r="EQ52">
        <v>0</v>
      </c>
      <c r="ER52">
        <v>4767.8500000000004</v>
      </c>
      <c r="ES52">
        <v>0</v>
      </c>
      <c r="ET52">
        <v>3335.19</v>
      </c>
      <c r="EU52">
        <v>1610.9</v>
      </c>
      <c r="EV52">
        <v>1432.66</v>
      </c>
      <c r="EW52">
        <v>11.7</v>
      </c>
      <c r="EX52">
        <v>0</v>
      </c>
      <c r="EY52">
        <v>0</v>
      </c>
      <c r="FQ52">
        <v>0</v>
      </c>
      <c r="FR52">
        <f t="shared" si="47"/>
        <v>0</v>
      </c>
      <c r="FS52">
        <v>0</v>
      </c>
      <c r="FX52">
        <v>70</v>
      </c>
      <c r="FY52">
        <v>10</v>
      </c>
      <c r="GA52" t="s">
        <v>3</v>
      </c>
      <c r="GD52">
        <v>0</v>
      </c>
      <c r="GF52">
        <v>1699484432</v>
      </c>
      <c r="GG52">
        <v>2</v>
      </c>
      <c r="GH52">
        <v>1</v>
      </c>
      <c r="GI52">
        <v>-2</v>
      </c>
      <c r="GJ52">
        <v>0</v>
      </c>
      <c r="GK52">
        <f>ROUND(R52*(R12)/100,2)</f>
        <v>709.83</v>
      </c>
      <c r="GL52">
        <f t="shared" si="48"/>
        <v>0</v>
      </c>
      <c r="GM52">
        <f t="shared" si="52"/>
        <v>3122.74</v>
      </c>
      <c r="GN52">
        <f t="shared" si="53"/>
        <v>0</v>
      </c>
      <c r="GO52">
        <f t="shared" si="54"/>
        <v>0</v>
      </c>
      <c r="GP52">
        <f t="shared" si="55"/>
        <v>3122.74</v>
      </c>
      <c r="GR52">
        <v>0</v>
      </c>
      <c r="GS52">
        <v>3</v>
      </c>
      <c r="GT52">
        <v>0</v>
      </c>
      <c r="GU52" t="s">
        <v>3</v>
      </c>
      <c r="GV52">
        <f t="shared" si="49"/>
        <v>0</v>
      </c>
      <c r="GW52">
        <v>1</v>
      </c>
      <c r="GX52">
        <f t="shared" si="50"/>
        <v>0</v>
      </c>
      <c r="HA52">
        <v>0</v>
      </c>
      <c r="HB52">
        <v>0</v>
      </c>
      <c r="HC52">
        <f t="shared" si="51"/>
        <v>0</v>
      </c>
      <c r="IK52">
        <v>0</v>
      </c>
    </row>
    <row r="53" spans="1:245" x14ac:dyDescent="0.2">
      <c r="A53">
        <v>17</v>
      </c>
      <c r="B53">
        <v>1</v>
      </c>
      <c r="D53">
        <f>ROW(EtalonRes!A129)</f>
        <v>129</v>
      </c>
      <c r="E53" t="s">
        <v>3</v>
      </c>
      <c r="F53" t="s">
        <v>102</v>
      </c>
      <c r="G53" t="s">
        <v>103</v>
      </c>
      <c r="H53" t="s">
        <v>47</v>
      </c>
      <c r="I53">
        <f>ROUND((8)/100,9)</f>
        <v>0.08</v>
      </c>
      <c r="J53">
        <v>0</v>
      </c>
      <c r="O53">
        <f t="shared" si="21"/>
        <v>2134.73</v>
      </c>
      <c r="P53">
        <f t="shared" si="22"/>
        <v>0</v>
      </c>
      <c r="Q53">
        <f t="shared" si="23"/>
        <v>1159.3800000000001</v>
      </c>
      <c r="R53">
        <f t="shared" si="24"/>
        <v>385.11</v>
      </c>
      <c r="S53">
        <f t="shared" si="25"/>
        <v>975.35</v>
      </c>
      <c r="T53">
        <f t="shared" si="26"/>
        <v>0</v>
      </c>
      <c r="U53">
        <f t="shared" si="27"/>
        <v>3.96</v>
      </c>
      <c r="V53">
        <f t="shared" si="28"/>
        <v>0</v>
      </c>
      <c r="W53">
        <f t="shared" si="29"/>
        <v>0</v>
      </c>
      <c r="X53">
        <f t="shared" si="30"/>
        <v>682.75</v>
      </c>
      <c r="Y53">
        <f t="shared" si="31"/>
        <v>97.54</v>
      </c>
      <c r="AA53">
        <v>-1</v>
      </c>
      <c r="AB53">
        <f t="shared" si="32"/>
        <v>26684.06</v>
      </c>
      <c r="AC53">
        <f t="shared" si="62"/>
        <v>0</v>
      </c>
      <c r="AD53">
        <f t="shared" si="63"/>
        <v>14492.21</v>
      </c>
      <c r="AE53">
        <f t="shared" si="64"/>
        <v>4813.8999999999996</v>
      </c>
      <c r="AF53">
        <f t="shared" si="64"/>
        <v>12191.85</v>
      </c>
      <c r="AG53">
        <f t="shared" si="34"/>
        <v>0</v>
      </c>
      <c r="AH53">
        <f t="shared" si="65"/>
        <v>49.5</v>
      </c>
      <c r="AI53">
        <f t="shared" si="65"/>
        <v>0</v>
      </c>
      <c r="AJ53">
        <f t="shared" si="36"/>
        <v>0</v>
      </c>
      <c r="AK53">
        <v>26684.06</v>
      </c>
      <c r="AL53">
        <v>0</v>
      </c>
      <c r="AM53">
        <v>14492.21</v>
      </c>
      <c r="AN53">
        <v>4813.8999999999996</v>
      </c>
      <c r="AO53">
        <v>12191.85</v>
      </c>
      <c r="AP53">
        <v>0</v>
      </c>
      <c r="AQ53">
        <v>49.5</v>
      </c>
      <c r="AR53">
        <v>0</v>
      </c>
      <c r="AS53">
        <v>0</v>
      </c>
      <c r="AT53">
        <v>70</v>
      </c>
      <c r="AU53">
        <v>10</v>
      </c>
      <c r="AV53">
        <v>1</v>
      </c>
      <c r="AW53">
        <v>1</v>
      </c>
      <c r="AZ53">
        <v>1</v>
      </c>
      <c r="BA53">
        <v>1</v>
      </c>
      <c r="BB53">
        <v>1</v>
      </c>
      <c r="BC53">
        <v>1</v>
      </c>
      <c r="BD53" t="s">
        <v>3</v>
      </c>
      <c r="BE53" t="s">
        <v>3</v>
      </c>
      <c r="BF53" t="s">
        <v>3</v>
      </c>
      <c r="BG53" t="s">
        <v>3</v>
      </c>
      <c r="BH53">
        <v>0</v>
      </c>
      <c r="BI53">
        <v>4</v>
      </c>
      <c r="BJ53" t="s">
        <v>104</v>
      </c>
      <c r="BM53">
        <v>0</v>
      </c>
      <c r="BN53">
        <v>0</v>
      </c>
      <c r="BO53" t="s">
        <v>3</v>
      </c>
      <c r="BP53">
        <v>0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 t="s">
        <v>3</v>
      </c>
      <c r="BZ53">
        <v>70</v>
      </c>
      <c r="CA53">
        <v>10</v>
      </c>
      <c r="CE53">
        <v>0</v>
      </c>
      <c r="CF53">
        <v>0</v>
      </c>
      <c r="CG53">
        <v>0</v>
      </c>
      <c r="CM53">
        <v>0</v>
      </c>
      <c r="CN53" t="s">
        <v>3</v>
      </c>
      <c r="CO53">
        <v>0</v>
      </c>
      <c r="CP53">
        <f t="shared" si="37"/>
        <v>2134.73</v>
      </c>
      <c r="CQ53">
        <f t="shared" si="38"/>
        <v>0</v>
      </c>
      <c r="CR53">
        <f t="shared" si="66"/>
        <v>14492.21</v>
      </c>
      <c r="CS53">
        <f t="shared" si="39"/>
        <v>4813.8999999999996</v>
      </c>
      <c r="CT53">
        <f t="shared" si="40"/>
        <v>12191.85</v>
      </c>
      <c r="CU53">
        <f t="shared" si="41"/>
        <v>0</v>
      </c>
      <c r="CV53">
        <f t="shared" si="42"/>
        <v>49.5</v>
      </c>
      <c r="CW53">
        <f t="shared" si="43"/>
        <v>0</v>
      </c>
      <c r="CX53">
        <f t="shared" si="44"/>
        <v>0</v>
      </c>
      <c r="CY53">
        <f t="shared" si="45"/>
        <v>682.745</v>
      </c>
      <c r="CZ53">
        <f t="shared" si="46"/>
        <v>97.534999999999997</v>
      </c>
      <c r="DC53" t="s">
        <v>3</v>
      </c>
      <c r="DD53" t="s">
        <v>3</v>
      </c>
      <c r="DE53" t="s">
        <v>3</v>
      </c>
      <c r="DF53" t="s">
        <v>3</v>
      </c>
      <c r="DG53" t="s">
        <v>3</v>
      </c>
      <c r="DH53" t="s">
        <v>3</v>
      </c>
      <c r="DI53" t="s">
        <v>3</v>
      </c>
      <c r="DJ53" t="s">
        <v>3</v>
      </c>
      <c r="DK53" t="s">
        <v>3</v>
      </c>
      <c r="DL53" t="s">
        <v>3</v>
      </c>
      <c r="DM53" t="s">
        <v>3</v>
      </c>
      <c r="DN53">
        <v>0</v>
      </c>
      <c r="DO53">
        <v>0</v>
      </c>
      <c r="DP53">
        <v>1</v>
      </c>
      <c r="DQ53">
        <v>1</v>
      </c>
      <c r="DU53">
        <v>1007</v>
      </c>
      <c r="DV53" t="s">
        <v>47</v>
      </c>
      <c r="DW53" t="s">
        <v>47</v>
      </c>
      <c r="DX53">
        <v>100</v>
      </c>
      <c r="EE53">
        <v>67874524</v>
      </c>
      <c r="EF53">
        <v>1</v>
      </c>
      <c r="EG53" t="s">
        <v>20</v>
      </c>
      <c r="EH53">
        <v>0</v>
      </c>
      <c r="EI53" t="s">
        <v>3</v>
      </c>
      <c r="EJ53">
        <v>4</v>
      </c>
      <c r="EK53">
        <v>0</v>
      </c>
      <c r="EL53" t="s">
        <v>21</v>
      </c>
      <c r="EM53" t="s">
        <v>22</v>
      </c>
      <c r="EO53" t="s">
        <v>3</v>
      </c>
      <c r="EQ53">
        <v>1024</v>
      </c>
      <c r="ER53">
        <v>26684.06</v>
      </c>
      <c r="ES53">
        <v>0</v>
      </c>
      <c r="ET53">
        <v>14492.21</v>
      </c>
      <c r="EU53">
        <v>4813.8999999999996</v>
      </c>
      <c r="EV53">
        <v>12191.85</v>
      </c>
      <c r="EW53">
        <v>49.5</v>
      </c>
      <c r="EX53">
        <v>0</v>
      </c>
      <c r="EY53">
        <v>0</v>
      </c>
      <c r="FQ53">
        <v>0</v>
      </c>
      <c r="FR53">
        <f t="shared" si="47"/>
        <v>0</v>
      </c>
      <c r="FS53">
        <v>0</v>
      </c>
      <c r="FX53">
        <v>70</v>
      </c>
      <c r="FY53">
        <v>10</v>
      </c>
      <c r="GA53" t="s">
        <v>3</v>
      </c>
      <c r="GD53">
        <v>0</v>
      </c>
      <c r="GF53">
        <v>701973860</v>
      </c>
      <c r="GG53">
        <v>2</v>
      </c>
      <c r="GH53">
        <v>1</v>
      </c>
      <c r="GI53">
        <v>-2</v>
      </c>
      <c r="GJ53">
        <v>0</v>
      </c>
      <c r="GK53">
        <f>ROUND(R53*(R12)/100,2)</f>
        <v>415.92</v>
      </c>
      <c r="GL53">
        <f t="shared" si="48"/>
        <v>0</v>
      </c>
      <c r="GM53">
        <f t="shared" si="52"/>
        <v>3330.94</v>
      </c>
      <c r="GN53">
        <f t="shared" si="53"/>
        <v>0</v>
      </c>
      <c r="GO53">
        <f t="shared" si="54"/>
        <v>0</v>
      </c>
      <c r="GP53">
        <f t="shared" si="55"/>
        <v>3330.94</v>
      </c>
      <c r="GR53">
        <v>0</v>
      </c>
      <c r="GS53">
        <v>3</v>
      </c>
      <c r="GT53">
        <v>0</v>
      </c>
      <c r="GU53" t="s">
        <v>3</v>
      </c>
      <c r="GV53">
        <f t="shared" si="49"/>
        <v>0</v>
      </c>
      <c r="GW53">
        <v>1</v>
      </c>
      <c r="GX53">
        <f t="shared" si="50"/>
        <v>0</v>
      </c>
      <c r="HA53">
        <v>0</v>
      </c>
      <c r="HB53">
        <v>0</v>
      </c>
      <c r="HC53">
        <f t="shared" si="51"/>
        <v>0</v>
      </c>
      <c r="IK53">
        <v>0</v>
      </c>
    </row>
    <row r="54" spans="1:245" x14ac:dyDescent="0.2">
      <c r="A54">
        <v>17</v>
      </c>
      <c r="B54">
        <v>1</v>
      </c>
      <c r="D54">
        <f>ROW(EtalonRes!A130)</f>
        <v>130</v>
      </c>
      <c r="E54" t="s">
        <v>105</v>
      </c>
      <c r="F54" t="s">
        <v>106</v>
      </c>
      <c r="G54" t="s">
        <v>107</v>
      </c>
      <c r="H54" t="s">
        <v>72</v>
      </c>
      <c r="I54">
        <f>ROUND(31/100+306/100,9)</f>
        <v>3.37</v>
      </c>
      <c r="J54">
        <v>0</v>
      </c>
      <c r="O54">
        <f t="shared" si="21"/>
        <v>52254.11</v>
      </c>
      <c r="P54">
        <f t="shared" si="22"/>
        <v>0</v>
      </c>
      <c r="Q54">
        <f t="shared" si="23"/>
        <v>0</v>
      </c>
      <c r="R54">
        <f t="shared" si="24"/>
        <v>0</v>
      </c>
      <c r="S54">
        <f t="shared" si="25"/>
        <v>52254.11</v>
      </c>
      <c r="T54">
        <f t="shared" si="26"/>
        <v>0</v>
      </c>
      <c r="U54">
        <f t="shared" si="27"/>
        <v>258.47900000000004</v>
      </c>
      <c r="V54">
        <f t="shared" si="28"/>
        <v>0</v>
      </c>
      <c r="W54">
        <f t="shared" si="29"/>
        <v>0</v>
      </c>
      <c r="X54">
        <f t="shared" si="30"/>
        <v>36577.879999999997</v>
      </c>
      <c r="Y54">
        <f t="shared" si="31"/>
        <v>5225.41</v>
      </c>
      <c r="AA54">
        <v>71209905</v>
      </c>
      <c r="AB54">
        <f t="shared" si="32"/>
        <v>15505.67</v>
      </c>
      <c r="AC54">
        <f t="shared" si="62"/>
        <v>0</v>
      </c>
      <c r="AD54">
        <f t="shared" si="63"/>
        <v>0</v>
      </c>
      <c r="AE54">
        <f t="shared" si="64"/>
        <v>0</v>
      </c>
      <c r="AF54">
        <f t="shared" si="64"/>
        <v>15505.67</v>
      </c>
      <c r="AG54">
        <f t="shared" si="34"/>
        <v>0</v>
      </c>
      <c r="AH54">
        <f t="shared" si="65"/>
        <v>76.7</v>
      </c>
      <c r="AI54">
        <f t="shared" si="65"/>
        <v>0</v>
      </c>
      <c r="AJ54">
        <f t="shared" si="36"/>
        <v>0</v>
      </c>
      <c r="AK54">
        <v>15505.67</v>
      </c>
      <c r="AL54">
        <v>0</v>
      </c>
      <c r="AM54">
        <v>0</v>
      </c>
      <c r="AN54">
        <v>0</v>
      </c>
      <c r="AO54">
        <v>15505.67</v>
      </c>
      <c r="AP54">
        <v>0</v>
      </c>
      <c r="AQ54">
        <v>76.7</v>
      </c>
      <c r="AR54">
        <v>0</v>
      </c>
      <c r="AS54">
        <v>0</v>
      </c>
      <c r="AT54">
        <v>70</v>
      </c>
      <c r="AU54">
        <v>10</v>
      </c>
      <c r="AV54">
        <v>1</v>
      </c>
      <c r="AW54">
        <v>1</v>
      </c>
      <c r="AZ54">
        <v>1</v>
      </c>
      <c r="BA54">
        <v>1</v>
      </c>
      <c r="BB54">
        <v>1</v>
      </c>
      <c r="BC54">
        <v>1</v>
      </c>
      <c r="BD54" t="s">
        <v>3</v>
      </c>
      <c r="BE54" t="s">
        <v>3</v>
      </c>
      <c r="BF54" t="s">
        <v>3</v>
      </c>
      <c r="BG54" t="s">
        <v>3</v>
      </c>
      <c r="BH54">
        <v>0</v>
      </c>
      <c r="BI54">
        <v>4</v>
      </c>
      <c r="BJ54" t="s">
        <v>108</v>
      </c>
      <c r="BM54">
        <v>0</v>
      </c>
      <c r="BN54">
        <v>0</v>
      </c>
      <c r="BO54" t="s">
        <v>3</v>
      </c>
      <c r="BP54">
        <v>0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 t="s">
        <v>3</v>
      </c>
      <c r="BZ54">
        <v>70</v>
      </c>
      <c r="CA54">
        <v>10</v>
      </c>
      <c r="CE54">
        <v>0</v>
      </c>
      <c r="CF54">
        <v>0</v>
      </c>
      <c r="CG54">
        <v>0</v>
      </c>
      <c r="CM54">
        <v>0</v>
      </c>
      <c r="CN54" t="s">
        <v>3</v>
      </c>
      <c r="CO54">
        <v>0</v>
      </c>
      <c r="CP54">
        <f t="shared" si="37"/>
        <v>52254.11</v>
      </c>
      <c r="CQ54">
        <f t="shared" si="38"/>
        <v>0</v>
      </c>
      <c r="CR54">
        <f t="shared" si="66"/>
        <v>0</v>
      </c>
      <c r="CS54">
        <f t="shared" si="39"/>
        <v>0</v>
      </c>
      <c r="CT54">
        <f t="shared" si="40"/>
        <v>15505.67</v>
      </c>
      <c r="CU54">
        <f t="shared" si="41"/>
        <v>0</v>
      </c>
      <c r="CV54">
        <f t="shared" si="42"/>
        <v>76.7</v>
      </c>
      <c r="CW54">
        <f t="shared" si="43"/>
        <v>0</v>
      </c>
      <c r="CX54">
        <f t="shared" si="44"/>
        <v>0</v>
      </c>
      <c r="CY54">
        <f t="shared" si="45"/>
        <v>36577.877</v>
      </c>
      <c r="CZ54">
        <f t="shared" si="46"/>
        <v>5225.4110000000001</v>
      </c>
      <c r="DC54" t="s">
        <v>3</v>
      </c>
      <c r="DD54" t="s">
        <v>3</v>
      </c>
      <c r="DE54" t="s">
        <v>3</v>
      </c>
      <c r="DF54" t="s">
        <v>3</v>
      </c>
      <c r="DG54" t="s">
        <v>3</v>
      </c>
      <c r="DH54" t="s">
        <v>3</v>
      </c>
      <c r="DI54" t="s">
        <v>3</v>
      </c>
      <c r="DJ54" t="s">
        <v>3</v>
      </c>
      <c r="DK54" t="s">
        <v>3</v>
      </c>
      <c r="DL54" t="s">
        <v>3</v>
      </c>
      <c r="DM54" t="s">
        <v>3</v>
      </c>
      <c r="DN54">
        <v>0</v>
      </c>
      <c r="DO54">
        <v>0</v>
      </c>
      <c r="DP54">
        <v>1</v>
      </c>
      <c r="DQ54">
        <v>1</v>
      </c>
      <c r="DU54">
        <v>1003</v>
      </c>
      <c r="DV54" t="s">
        <v>72</v>
      </c>
      <c r="DW54" t="s">
        <v>72</v>
      </c>
      <c r="DX54">
        <v>100</v>
      </c>
      <c r="EE54">
        <v>67874524</v>
      </c>
      <c r="EF54">
        <v>1</v>
      </c>
      <c r="EG54" t="s">
        <v>20</v>
      </c>
      <c r="EH54">
        <v>0</v>
      </c>
      <c r="EI54" t="s">
        <v>3</v>
      </c>
      <c r="EJ54">
        <v>4</v>
      </c>
      <c r="EK54">
        <v>0</v>
      </c>
      <c r="EL54" t="s">
        <v>21</v>
      </c>
      <c r="EM54" t="s">
        <v>22</v>
      </c>
      <c r="EO54" t="s">
        <v>3</v>
      </c>
      <c r="EQ54">
        <v>0</v>
      </c>
      <c r="ER54">
        <v>15505.67</v>
      </c>
      <c r="ES54">
        <v>0</v>
      </c>
      <c r="ET54">
        <v>0</v>
      </c>
      <c r="EU54">
        <v>0</v>
      </c>
      <c r="EV54">
        <v>15505.67</v>
      </c>
      <c r="EW54">
        <v>76.7</v>
      </c>
      <c r="EX54">
        <v>0</v>
      </c>
      <c r="EY54">
        <v>0</v>
      </c>
      <c r="FQ54">
        <v>0</v>
      </c>
      <c r="FR54">
        <f t="shared" si="47"/>
        <v>0</v>
      </c>
      <c r="FS54">
        <v>0</v>
      </c>
      <c r="FX54">
        <v>70</v>
      </c>
      <c r="FY54">
        <v>10</v>
      </c>
      <c r="GA54" t="s">
        <v>3</v>
      </c>
      <c r="GD54">
        <v>0</v>
      </c>
      <c r="GF54">
        <v>1467608921</v>
      </c>
      <c r="GG54">
        <v>2</v>
      </c>
      <c r="GH54">
        <v>1</v>
      </c>
      <c r="GI54">
        <v>-2</v>
      </c>
      <c r="GJ54">
        <v>0</v>
      </c>
      <c r="GK54">
        <f>ROUND(R54*(R12)/100,2)</f>
        <v>0</v>
      </c>
      <c r="GL54">
        <f t="shared" si="48"/>
        <v>0</v>
      </c>
      <c r="GM54">
        <f t="shared" si="52"/>
        <v>94057.4</v>
      </c>
      <c r="GN54">
        <f t="shared" si="53"/>
        <v>0</v>
      </c>
      <c r="GO54">
        <f t="shared" si="54"/>
        <v>0</v>
      </c>
      <c r="GP54">
        <f t="shared" si="55"/>
        <v>94057.4</v>
      </c>
      <c r="GR54">
        <v>0</v>
      </c>
      <c r="GS54">
        <v>3</v>
      </c>
      <c r="GT54">
        <v>0</v>
      </c>
      <c r="GU54" t="s">
        <v>3</v>
      </c>
      <c r="GV54">
        <f t="shared" si="49"/>
        <v>0</v>
      </c>
      <c r="GW54">
        <v>1</v>
      </c>
      <c r="GX54">
        <f t="shared" si="50"/>
        <v>0</v>
      </c>
      <c r="HA54">
        <v>0</v>
      </c>
      <c r="HB54">
        <v>0</v>
      </c>
      <c r="HC54">
        <f t="shared" si="51"/>
        <v>0</v>
      </c>
      <c r="IK54">
        <v>0</v>
      </c>
    </row>
    <row r="55" spans="1:245" x14ac:dyDescent="0.2">
      <c r="A55">
        <v>17</v>
      </c>
      <c r="B55">
        <v>1</v>
      </c>
      <c r="D55">
        <f>ROW(EtalonRes!A133)</f>
        <v>133</v>
      </c>
      <c r="E55" t="s">
        <v>109</v>
      </c>
      <c r="F55" t="s">
        <v>102</v>
      </c>
      <c r="G55" t="s">
        <v>110</v>
      </c>
      <c r="H55" t="s">
        <v>47</v>
      </c>
      <c r="I55">
        <f>ROUND((0.8)/100,9)</f>
        <v>8.0000000000000002E-3</v>
      </c>
      <c r="J55">
        <v>0</v>
      </c>
      <c r="O55">
        <f t="shared" si="21"/>
        <v>213.47</v>
      </c>
      <c r="P55">
        <f t="shared" si="22"/>
        <v>0</v>
      </c>
      <c r="Q55">
        <f t="shared" si="23"/>
        <v>115.94</v>
      </c>
      <c r="R55">
        <f t="shared" si="24"/>
        <v>38.51</v>
      </c>
      <c r="S55">
        <f t="shared" si="25"/>
        <v>97.53</v>
      </c>
      <c r="T55">
        <f t="shared" si="26"/>
        <v>0</v>
      </c>
      <c r="U55">
        <f t="shared" si="27"/>
        <v>0.39600000000000002</v>
      </c>
      <c r="V55">
        <f t="shared" si="28"/>
        <v>0</v>
      </c>
      <c r="W55">
        <f t="shared" si="29"/>
        <v>0</v>
      </c>
      <c r="X55">
        <f t="shared" si="30"/>
        <v>68.27</v>
      </c>
      <c r="Y55">
        <f t="shared" si="31"/>
        <v>9.75</v>
      </c>
      <c r="AA55">
        <v>71209905</v>
      </c>
      <c r="AB55">
        <f t="shared" si="32"/>
        <v>26684.06</v>
      </c>
      <c r="AC55">
        <f t="shared" si="62"/>
        <v>0</v>
      </c>
      <c r="AD55">
        <f t="shared" si="63"/>
        <v>14492.21</v>
      </c>
      <c r="AE55">
        <f t="shared" si="64"/>
        <v>4813.8999999999996</v>
      </c>
      <c r="AF55">
        <f t="shared" si="64"/>
        <v>12191.85</v>
      </c>
      <c r="AG55">
        <f t="shared" si="34"/>
        <v>0</v>
      </c>
      <c r="AH55">
        <f t="shared" si="65"/>
        <v>49.5</v>
      </c>
      <c r="AI55">
        <f t="shared" si="65"/>
        <v>0</v>
      </c>
      <c r="AJ55">
        <f t="shared" si="36"/>
        <v>0</v>
      </c>
      <c r="AK55">
        <v>26684.06</v>
      </c>
      <c r="AL55">
        <v>0</v>
      </c>
      <c r="AM55">
        <v>14492.21</v>
      </c>
      <c r="AN55">
        <v>4813.8999999999996</v>
      </c>
      <c r="AO55">
        <v>12191.85</v>
      </c>
      <c r="AP55">
        <v>0</v>
      </c>
      <c r="AQ55">
        <v>49.5</v>
      </c>
      <c r="AR55">
        <v>0</v>
      </c>
      <c r="AS55">
        <v>0</v>
      </c>
      <c r="AT55">
        <v>70</v>
      </c>
      <c r="AU55">
        <v>10</v>
      </c>
      <c r="AV55">
        <v>1</v>
      </c>
      <c r="AW55">
        <v>1</v>
      </c>
      <c r="AZ55">
        <v>1</v>
      </c>
      <c r="BA55">
        <v>1</v>
      </c>
      <c r="BB55">
        <v>1</v>
      </c>
      <c r="BC55">
        <v>1</v>
      </c>
      <c r="BD55" t="s">
        <v>3</v>
      </c>
      <c r="BE55" t="s">
        <v>3</v>
      </c>
      <c r="BF55" t="s">
        <v>3</v>
      </c>
      <c r="BG55" t="s">
        <v>3</v>
      </c>
      <c r="BH55">
        <v>0</v>
      </c>
      <c r="BI55">
        <v>4</v>
      </c>
      <c r="BJ55" t="s">
        <v>104</v>
      </c>
      <c r="BM55">
        <v>0</v>
      </c>
      <c r="BN55">
        <v>0</v>
      </c>
      <c r="BO55" t="s">
        <v>3</v>
      </c>
      <c r="BP55">
        <v>0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 t="s">
        <v>3</v>
      </c>
      <c r="BZ55">
        <v>70</v>
      </c>
      <c r="CA55">
        <v>10</v>
      </c>
      <c r="CE55">
        <v>0</v>
      </c>
      <c r="CF55">
        <v>0</v>
      </c>
      <c r="CG55">
        <v>0</v>
      </c>
      <c r="CM55">
        <v>0</v>
      </c>
      <c r="CN55" t="s">
        <v>3</v>
      </c>
      <c r="CO55">
        <v>0</v>
      </c>
      <c r="CP55">
        <f t="shared" si="37"/>
        <v>213.47</v>
      </c>
      <c r="CQ55">
        <f t="shared" si="38"/>
        <v>0</v>
      </c>
      <c r="CR55">
        <f t="shared" si="66"/>
        <v>14492.21</v>
      </c>
      <c r="CS55">
        <f t="shared" si="39"/>
        <v>4813.8999999999996</v>
      </c>
      <c r="CT55">
        <f t="shared" si="40"/>
        <v>12191.85</v>
      </c>
      <c r="CU55">
        <f t="shared" si="41"/>
        <v>0</v>
      </c>
      <c r="CV55">
        <f t="shared" si="42"/>
        <v>49.5</v>
      </c>
      <c r="CW55">
        <f t="shared" si="43"/>
        <v>0</v>
      </c>
      <c r="CX55">
        <f t="shared" si="44"/>
        <v>0</v>
      </c>
      <c r="CY55">
        <f t="shared" si="45"/>
        <v>68.271000000000001</v>
      </c>
      <c r="CZ55">
        <f t="shared" si="46"/>
        <v>9.7530000000000001</v>
      </c>
      <c r="DC55" t="s">
        <v>3</v>
      </c>
      <c r="DD55" t="s">
        <v>3</v>
      </c>
      <c r="DE55" t="s">
        <v>3</v>
      </c>
      <c r="DF55" t="s">
        <v>3</v>
      </c>
      <c r="DG55" t="s">
        <v>3</v>
      </c>
      <c r="DH55" t="s">
        <v>3</v>
      </c>
      <c r="DI55" t="s">
        <v>3</v>
      </c>
      <c r="DJ55" t="s">
        <v>3</v>
      </c>
      <c r="DK55" t="s">
        <v>3</v>
      </c>
      <c r="DL55" t="s">
        <v>3</v>
      </c>
      <c r="DM55" t="s">
        <v>3</v>
      </c>
      <c r="DN55">
        <v>0</v>
      </c>
      <c r="DO55">
        <v>0</v>
      </c>
      <c r="DP55">
        <v>1</v>
      </c>
      <c r="DQ55">
        <v>1</v>
      </c>
      <c r="DU55">
        <v>1007</v>
      </c>
      <c r="DV55" t="s">
        <v>47</v>
      </c>
      <c r="DW55" t="s">
        <v>47</v>
      </c>
      <c r="DX55">
        <v>100</v>
      </c>
      <c r="EE55">
        <v>67874524</v>
      </c>
      <c r="EF55">
        <v>1</v>
      </c>
      <c r="EG55" t="s">
        <v>20</v>
      </c>
      <c r="EH55">
        <v>0</v>
      </c>
      <c r="EI55" t="s">
        <v>3</v>
      </c>
      <c r="EJ55">
        <v>4</v>
      </c>
      <c r="EK55">
        <v>0</v>
      </c>
      <c r="EL55" t="s">
        <v>21</v>
      </c>
      <c r="EM55" t="s">
        <v>22</v>
      </c>
      <c r="EO55" t="s">
        <v>3</v>
      </c>
      <c r="EQ55">
        <v>0</v>
      </c>
      <c r="ER55">
        <v>26684.06</v>
      </c>
      <c r="ES55">
        <v>0</v>
      </c>
      <c r="ET55">
        <v>14492.21</v>
      </c>
      <c r="EU55">
        <v>4813.8999999999996</v>
      </c>
      <c r="EV55">
        <v>12191.85</v>
      </c>
      <c r="EW55">
        <v>49.5</v>
      </c>
      <c r="EX55">
        <v>0</v>
      </c>
      <c r="EY55">
        <v>0</v>
      </c>
      <c r="FQ55">
        <v>0</v>
      </c>
      <c r="FR55">
        <f t="shared" si="47"/>
        <v>0</v>
      </c>
      <c r="FS55">
        <v>0</v>
      </c>
      <c r="FX55">
        <v>70</v>
      </c>
      <c r="FY55">
        <v>10</v>
      </c>
      <c r="GA55" t="s">
        <v>3</v>
      </c>
      <c r="GD55">
        <v>0</v>
      </c>
      <c r="GF55">
        <v>-505722129</v>
      </c>
      <c r="GG55">
        <v>2</v>
      </c>
      <c r="GH55">
        <v>1</v>
      </c>
      <c r="GI55">
        <v>-2</v>
      </c>
      <c r="GJ55">
        <v>0</v>
      </c>
      <c r="GK55">
        <f>ROUND(R55*(R12)/100,2)</f>
        <v>41.59</v>
      </c>
      <c r="GL55">
        <f t="shared" si="48"/>
        <v>0</v>
      </c>
      <c r="GM55">
        <f t="shared" si="52"/>
        <v>333.08</v>
      </c>
      <c r="GN55">
        <f t="shared" si="53"/>
        <v>0</v>
      </c>
      <c r="GO55">
        <f t="shared" si="54"/>
        <v>0</v>
      </c>
      <c r="GP55">
        <f t="shared" si="55"/>
        <v>333.08</v>
      </c>
      <c r="GR55">
        <v>0</v>
      </c>
      <c r="GS55">
        <v>3</v>
      </c>
      <c r="GT55">
        <v>0</v>
      </c>
      <c r="GU55" t="s">
        <v>3</v>
      </c>
      <c r="GV55">
        <f t="shared" si="49"/>
        <v>0</v>
      </c>
      <c r="GW55">
        <v>1</v>
      </c>
      <c r="GX55">
        <f t="shared" si="50"/>
        <v>0</v>
      </c>
      <c r="HA55">
        <v>0</v>
      </c>
      <c r="HB55">
        <v>0</v>
      </c>
      <c r="HC55">
        <f t="shared" si="51"/>
        <v>0</v>
      </c>
      <c r="IK55">
        <v>0</v>
      </c>
    </row>
    <row r="56" spans="1:245" x14ac:dyDescent="0.2">
      <c r="A56">
        <v>17</v>
      </c>
      <c r="B56">
        <v>1</v>
      </c>
      <c r="C56">
        <f>ROW(SmtRes!A5)</f>
        <v>5</v>
      </c>
      <c r="D56">
        <f>ROW(EtalonRes!A138)</f>
        <v>138</v>
      </c>
      <c r="E56" t="s">
        <v>111</v>
      </c>
      <c r="F56" t="s">
        <v>112</v>
      </c>
      <c r="G56" t="s">
        <v>113</v>
      </c>
      <c r="H56" t="s">
        <v>35</v>
      </c>
      <c r="I56">
        <f>ROUND(12/1000,9)</f>
        <v>1.2E-2</v>
      </c>
      <c r="J56">
        <v>0</v>
      </c>
      <c r="O56">
        <f t="shared" si="21"/>
        <v>84.55</v>
      </c>
      <c r="P56">
        <f t="shared" si="22"/>
        <v>0</v>
      </c>
      <c r="Q56">
        <f t="shared" si="23"/>
        <v>2.16</v>
      </c>
      <c r="R56">
        <f t="shared" si="24"/>
        <v>0.09</v>
      </c>
      <c r="S56">
        <f t="shared" si="25"/>
        <v>82.39</v>
      </c>
      <c r="T56">
        <f t="shared" si="26"/>
        <v>0</v>
      </c>
      <c r="U56">
        <f t="shared" si="27"/>
        <v>0.32016000000000006</v>
      </c>
      <c r="V56">
        <f t="shared" si="28"/>
        <v>0</v>
      </c>
      <c r="W56">
        <f t="shared" si="29"/>
        <v>0</v>
      </c>
      <c r="X56">
        <f t="shared" si="30"/>
        <v>57.67</v>
      </c>
      <c r="Y56">
        <f t="shared" si="31"/>
        <v>8.24</v>
      </c>
      <c r="AA56">
        <v>71209905</v>
      </c>
      <c r="AB56">
        <f t="shared" si="32"/>
        <v>7045.3639999999996</v>
      </c>
      <c r="AC56">
        <f>ROUND(((ES56*0)),6)</f>
        <v>0</v>
      </c>
      <c r="AD56">
        <f>ROUND(((((ET56*0.2))-((EU56*0.2)))+AE56),6)</f>
        <v>179.8</v>
      </c>
      <c r="AE56">
        <f>ROUND(((EU56*0.2)),6)</f>
        <v>7.83</v>
      </c>
      <c r="AF56">
        <f>ROUND(((EV56*0.2)),6)</f>
        <v>6865.5640000000003</v>
      </c>
      <c r="AG56">
        <f t="shared" si="34"/>
        <v>0</v>
      </c>
      <c r="AH56">
        <f>((EW56*0.2))</f>
        <v>26.680000000000003</v>
      </c>
      <c r="AI56">
        <f>((EX56*0.2))</f>
        <v>0</v>
      </c>
      <c r="AJ56">
        <f t="shared" si="36"/>
        <v>0</v>
      </c>
      <c r="AK56">
        <v>115912.21</v>
      </c>
      <c r="AL56">
        <v>80685.39</v>
      </c>
      <c r="AM56">
        <v>899</v>
      </c>
      <c r="AN56">
        <v>39.15</v>
      </c>
      <c r="AO56">
        <v>34327.82</v>
      </c>
      <c r="AP56">
        <v>0</v>
      </c>
      <c r="AQ56">
        <v>133.4</v>
      </c>
      <c r="AR56">
        <v>0</v>
      </c>
      <c r="AS56">
        <v>0</v>
      </c>
      <c r="AT56">
        <v>70</v>
      </c>
      <c r="AU56">
        <v>10</v>
      </c>
      <c r="AV56">
        <v>1</v>
      </c>
      <c r="AW56">
        <v>1</v>
      </c>
      <c r="AZ56">
        <v>1</v>
      </c>
      <c r="BA56">
        <v>1</v>
      </c>
      <c r="BB56">
        <v>1</v>
      </c>
      <c r="BC56">
        <v>1</v>
      </c>
      <c r="BD56" t="s">
        <v>3</v>
      </c>
      <c r="BE56" t="s">
        <v>3</v>
      </c>
      <c r="BF56" t="s">
        <v>3</v>
      </c>
      <c r="BG56" t="s">
        <v>3</v>
      </c>
      <c r="BH56">
        <v>0</v>
      </c>
      <c r="BI56">
        <v>4</v>
      </c>
      <c r="BJ56" t="s">
        <v>114</v>
      </c>
      <c r="BM56">
        <v>0</v>
      </c>
      <c r="BN56">
        <v>0</v>
      </c>
      <c r="BO56" t="s">
        <v>3</v>
      </c>
      <c r="BP56">
        <v>0</v>
      </c>
      <c r="BQ56">
        <v>1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 t="s">
        <v>3</v>
      </c>
      <c r="BZ56">
        <v>70</v>
      </c>
      <c r="CA56">
        <v>10</v>
      </c>
      <c r="CE56">
        <v>0</v>
      </c>
      <c r="CF56">
        <v>0</v>
      </c>
      <c r="CG56">
        <v>0</v>
      </c>
      <c r="CM56">
        <v>0</v>
      </c>
      <c r="CN56" t="s">
        <v>3</v>
      </c>
      <c r="CO56">
        <v>0</v>
      </c>
      <c r="CP56">
        <f t="shared" si="37"/>
        <v>84.55</v>
      </c>
      <c r="CQ56">
        <f t="shared" si="38"/>
        <v>0</v>
      </c>
      <c r="CR56">
        <f>(((((ET56*0.2))*BB56-((EU56*0.2))*BS56)+AE56*BS56)*AV56)</f>
        <v>179.8</v>
      </c>
      <c r="CS56">
        <f t="shared" si="39"/>
        <v>7.83</v>
      </c>
      <c r="CT56">
        <f t="shared" si="40"/>
        <v>6865.5640000000003</v>
      </c>
      <c r="CU56">
        <f t="shared" si="41"/>
        <v>0</v>
      </c>
      <c r="CV56">
        <f t="shared" si="42"/>
        <v>26.680000000000003</v>
      </c>
      <c r="CW56">
        <f t="shared" si="43"/>
        <v>0</v>
      </c>
      <c r="CX56">
        <f t="shared" si="44"/>
        <v>0</v>
      </c>
      <c r="CY56">
        <f t="shared" si="45"/>
        <v>57.673000000000002</v>
      </c>
      <c r="CZ56">
        <f t="shared" si="46"/>
        <v>8.238999999999999</v>
      </c>
      <c r="DC56" t="s">
        <v>3</v>
      </c>
      <c r="DD56" t="s">
        <v>52</v>
      </c>
      <c r="DE56" t="s">
        <v>53</v>
      </c>
      <c r="DF56" t="s">
        <v>53</v>
      </c>
      <c r="DG56" t="s">
        <v>53</v>
      </c>
      <c r="DH56" t="s">
        <v>3</v>
      </c>
      <c r="DI56" t="s">
        <v>53</v>
      </c>
      <c r="DJ56" t="s">
        <v>53</v>
      </c>
      <c r="DK56" t="s">
        <v>3</v>
      </c>
      <c r="DL56" t="s">
        <v>3</v>
      </c>
      <c r="DM56" t="s">
        <v>3</v>
      </c>
      <c r="DN56">
        <v>0</v>
      </c>
      <c r="DO56">
        <v>0</v>
      </c>
      <c r="DP56">
        <v>1</v>
      </c>
      <c r="DQ56">
        <v>1</v>
      </c>
      <c r="DU56">
        <v>1009</v>
      </c>
      <c r="DV56" t="s">
        <v>35</v>
      </c>
      <c r="DW56" t="s">
        <v>35</v>
      </c>
      <c r="DX56">
        <v>1000</v>
      </c>
      <c r="EE56">
        <v>67874524</v>
      </c>
      <c r="EF56">
        <v>1</v>
      </c>
      <c r="EG56" t="s">
        <v>20</v>
      </c>
      <c r="EH56">
        <v>0</v>
      </c>
      <c r="EI56" t="s">
        <v>3</v>
      </c>
      <c r="EJ56">
        <v>4</v>
      </c>
      <c r="EK56">
        <v>0</v>
      </c>
      <c r="EL56" t="s">
        <v>21</v>
      </c>
      <c r="EM56" t="s">
        <v>22</v>
      </c>
      <c r="EO56" t="s">
        <v>3</v>
      </c>
      <c r="EQ56">
        <v>0</v>
      </c>
      <c r="ER56">
        <v>115912.21</v>
      </c>
      <c r="ES56">
        <v>80685.39</v>
      </c>
      <c r="ET56">
        <v>899</v>
      </c>
      <c r="EU56">
        <v>39.15</v>
      </c>
      <c r="EV56">
        <v>34327.82</v>
      </c>
      <c r="EW56">
        <v>133.4</v>
      </c>
      <c r="EX56">
        <v>0</v>
      </c>
      <c r="EY56">
        <v>0</v>
      </c>
      <c r="FQ56">
        <v>0</v>
      </c>
      <c r="FR56">
        <f t="shared" si="47"/>
        <v>0</v>
      </c>
      <c r="FS56">
        <v>0</v>
      </c>
      <c r="FX56">
        <v>70</v>
      </c>
      <c r="FY56">
        <v>10</v>
      </c>
      <c r="GA56" t="s">
        <v>3</v>
      </c>
      <c r="GD56">
        <v>0</v>
      </c>
      <c r="GF56">
        <v>-366528150</v>
      </c>
      <c r="GG56">
        <v>2</v>
      </c>
      <c r="GH56">
        <v>1</v>
      </c>
      <c r="GI56">
        <v>-2</v>
      </c>
      <c r="GJ56">
        <v>0</v>
      </c>
      <c r="GK56">
        <f>ROUND(R56*(R12)/100,2)</f>
        <v>0.1</v>
      </c>
      <c r="GL56">
        <f t="shared" si="48"/>
        <v>0</v>
      </c>
      <c r="GM56">
        <f t="shared" si="52"/>
        <v>150.56</v>
      </c>
      <c r="GN56">
        <f t="shared" si="53"/>
        <v>0</v>
      </c>
      <c r="GO56">
        <f t="shared" si="54"/>
        <v>0</v>
      </c>
      <c r="GP56">
        <f t="shared" si="55"/>
        <v>150.56</v>
      </c>
      <c r="GR56">
        <v>0</v>
      </c>
      <c r="GS56">
        <v>3</v>
      </c>
      <c r="GT56">
        <v>0</v>
      </c>
      <c r="GU56" t="s">
        <v>53</v>
      </c>
      <c r="GV56">
        <f>ROUND(((GT56*0.2)),6)</f>
        <v>0</v>
      </c>
      <c r="GW56">
        <v>1</v>
      </c>
      <c r="GX56">
        <f t="shared" si="50"/>
        <v>0</v>
      </c>
      <c r="HA56">
        <v>0</v>
      </c>
      <c r="HB56">
        <v>0</v>
      </c>
      <c r="HC56">
        <f t="shared" si="51"/>
        <v>0</v>
      </c>
      <c r="IK56">
        <v>0</v>
      </c>
    </row>
    <row r="57" spans="1:245" x14ac:dyDescent="0.2">
      <c r="A57">
        <v>17</v>
      </c>
      <c r="B57">
        <v>1</v>
      </c>
      <c r="C57">
        <f>ROW(SmtRes!A8)</f>
        <v>8</v>
      </c>
      <c r="D57">
        <f>ROW(EtalonRes!A141)</f>
        <v>141</v>
      </c>
      <c r="E57" t="s">
        <v>115</v>
      </c>
      <c r="F57" t="s">
        <v>116</v>
      </c>
      <c r="G57" t="s">
        <v>117</v>
      </c>
      <c r="H57" t="s">
        <v>28</v>
      </c>
      <c r="I57">
        <f>ROUND(8*0.2/100,9)</f>
        <v>1.6E-2</v>
      </c>
      <c r="J57">
        <v>0</v>
      </c>
      <c r="O57">
        <f t="shared" si="21"/>
        <v>148.99</v>
      </c>
      <c r="P57">
        <f t="shared" si="22"/>
        <v>0</v>
      </c>
      <c r="Q57">
        <f t="shared" si="23"/>
        <v>0.81</v>
      </c>
      <c r="R57">
        <f t="shared" si="24"/>
        <v>0</v>
      </c>
      <c r="S57">
        <f t="shared" si="25"/>
        <v>148.18</v>
      </c>
      <c r="T57">
        <f t="shared" si="26"/>
        <v>0</v>
      </c>
      <c r="U57">
        <f t="shared" si="27"/>
        <v>1.0163200000000001</v>
      </c>
      <c r="V57">
        <f t="shared" si="28"/>
        <v>0</v>
      </c>
      <c r="W57">
        <f t="shared" si="29"/>
        <v>0</v>
      </c>
      <c r="X57">
        <f t="shared" si="30"/>
        <v>103.73</v>
      </c>
      <c r="Y57">
        <f t="shared" si="31"/>
        <v>14.82</v>
      </c>
      <c r="AA57">
        <v>71209905</v>
      </c>
      <c r="AB57">
        <f t="shared" si="32"/>
        <v>9312.15</v>
      </c>
      <c r="AC57">
        <f>ROUND((ES57),6)</f>
        <v>0</v>
      </c>
      <c r="AD57">
        <f>ROUND((((ET57)-(EU57))+AE57),6)</f>
        <v>50.93</v>
      </c>
      <c r="AE57">
        <f t="shared" ref="AE57:AF61" si="67">ROUND((EU57),6)</f>
        <v>0.27</v>
      </c>
      <c r="AF57">
        <f t="shared" si="67"/>
        <v>9261.2199999999993</v>
      </c>
      <c r="AG57">
        <f t="shared" si="34"/>
        <v>0</v>
      </c>
      <c r="AH57">
        <f t="shared" ref="AH57:AI61" si="68">(EW57)</f>
        <v>63.52</v>
      </c>
      <c r="AI57">
        <f t="shared" si="68"/>
        <v>0</v>
      </c>
      <c r="AJ57">
        <f t="shared" si="36"/>
        <v>0</v>
      </c>
      <c r="AK57">
        <v>9312.15</v>
      </c>
      <c r="AL57">
        <v>0</v>
      </c>
      <c r="AM57">
        <v>50.93</v>
      </c>
      <c r="AN57">
        <v>0.27</v>
      </c>
      <c r="AO57">
        <v>9261.2199999999993</v>
      </c>
      <c r="AP57">
        <v>0</v>
      </c>
      <c r="AQ57">
        <v>63.52</v>
      </c>
      <c r="AR57">
        <v>0</v>
      </c>
      <c r="AS57">
        <v>0</v>
      </c>
      <c r="AT57">
        <v>70</v>
      </c>
      <c r="AU57">
        <v>10</v>
      </c>
      <c r="AV57">
        <v>1</v>
      </c>
      <c r="AW57">
        <v>1</v>
      </c>
      <c r="AZ57">
        <v>1</v>
      </c>
      <c r="BA57">
        <v>1</v>
      </c>
      <c r="BB57">
        <v>1</v>
      </c>
      <c r="BC57">
        <v>1</v>
      </c>
      <c r="BD57" t="s">
        <v>3</v>
      </c>
      <c r="BE57" t="s">
        <v>3</v>
      </c>
      <c r="BF57" t="s">
        <v>3</v>
      </c>
      <c r="BG57" t="s">
        <v>3</v>
      </c>
      <c r="BH57">
        <v>0</v>
      </c>
      <c r="BI57">
        <v>4</v>
      </c>
      <c r="BJ57" t="s">
        <v>118</v>
      </c>
      <c r="BM57">
        <v>0</v>
      </c>
      <c r="BN57">
        <v>0</v>
      </c>
      <c r="BO57" t="s">
        <v>3</v>
      </c>
      <c r="BP57">
        <v>0</v>
      </c>
      <c r="BQ57">
        <v>1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 t="s">
        <v>3</v>
      </c>
      <c r="BZ57">
        <v>70</v>
      </c>
      <c r="CA57">
        <v>10</v>
      </c>
      <c r="CE57">
        <v>0</v>
      </c>
      <c r="CF57">
        <v>0</v>
      </c>
      <c r="CG57">
        <v>0</v>
      </c>
      <c r="CM57">
        <v>0</v>
      </c>
      <c r="CN57" t="s">
        <v>3</v>
      </c>
      <c r="CO57">
        <v>0</v>
      </c>
      <c r="CP57">
        <f t="shared" si="37"/>
        <v>148.99</v>
      </c>
      <c r="CQ57">
        <f t="shared" si="38"/>
        <v>0</v>
      </c>
      <c r="CR57">
        <f>((((ET57)*BB57-(EU57)*BS57)+AE57*BS57)*AV57)</f>
        <v>50.93</v>
      </c>
      <c r="CS57">
        <f t="shared" si="39"/>
        <v>0.27</v>
      </c>
      <c r="CT57">
        <f t="shared" si="40"/>
        <v>9261.2199999999993</v>
      </c>
      <c r="CU57">
        <f t="shared" si="41"/>
        <v>0</v>
      </c>
      <c r="CV57">
        <f t="shared" si="42"/>
        <v>63.52</v>
      </c>
      <c r="CW57">
        <f t="shared" si="43"/>
        <v>0</v>
      </c>
      <c r="CX57">
        <f t="shared" si="44"/>
        <v>0</v>
      </c>
      <c r="CY57">
        <f t="shared" si="45"/>
        <v>103.726</v>
      </c>
      <c r="CZ57">
        <f t="shared" si="46"/>
        <v>14.818000000000001</v>
      </c>
      <c r="DC57" t="s">
        <v>3</v>
      </c>
      <c r="DD57" t="s">
        <v>3</v>
      </c>
      <c r="DE57" t="s">
        <v>3</v>
      </c>
      <c r="DF57" t="s">
        <v>3</v>
      </c>
      <c r="DG57" t="s">
        <v>3</v>
      </c>
      <c r="DH57" t="s">
        <v>3</v>
      </c>
      <c r="DI57" t="s">
        <v>3</v>
      </c>
      <c r="DJ57" t="s">
        <v>3</v>
      </c>
      <c r="DK57" t="s">
        <v>3</v>
      </c>
      <c r="DL57" t="s">
        <v>3</v>
      </c>
      <c r="DM57" t="s">
        <v>3</v>
      </c>
      <c r="DN57">
        <v>0</v>
      </c>
      <c r="DO57">
        <v>0</v>
      </c>
      <c r="DP57">
        <v>1</v>
      </c>
      <c r="DQ57">
        <v>1</v>
      </c>
      <c r="DU57">
        <v>1005</v>
      </c>
      <c r="DV57" t="s">
        <v>28</v>
      </c>
      <c r="DW57" t="s">
        <v>28</v>
      </c>
      <c r="DX57">
        <v>100</v>
      </c>
      <c r="EE57">
        <v>67874524</v>
      </c>
      <c r="EF57">
        <v>1</v>
      </c>
      <c r="EG57" t="s">
        <v>20</v>
      </c>
      <c r="EH57">
        <v>0</v>
      </c>
      <c r="EI57" t="s">
        <v>3</v>
      </c>
      <c r="EJ57">
        <v>4</v>
      </c>
      <c r="EK57">
        <v>0</v>
      </c>
      <c r="EL57" t="s">
        <v>21</v>
      </c>
      <c r="EM57" t="s">
        <v>22</v>
      </c>
      <c r="EO57" t="s">
        <v>3</v>
      </c>
      <c r="EQ57">
        <v>0</v>
      </c>
      <c r="ER57">
        <v>9312.15</v>
      </c>
      <c r="ES57">
        <v>0</v>
      </c>
      <c r="ET57">
        <v>50.93</v>
      </c>
      <c r="EU57">
        <v>0.27</v>
      </c>
      <c r="EV57">
        <v>9261.2199999999993</v>
      </c>
      <c r="EW57">
        <v>63.52</v>
      </c>
      <c r="EX57">
        <v>0</v>
      </c>
      <c r="EY57">
        <v>0</v>
      </c>
      <c r="FQ57">
        <v>0</v>
      </c>
      <c r="FR57">
        <f t="shared" si="47"/>
        <v>0</v>
      </c>
      <c r="FS57">
        <v>0</v>
      </c>
      <c r="FX57">
        <v>70</v>
      </c>
      <c r="FY57">
        <v>10</v>
      </c>
      <c r="GA57" t="s">
        <v>3</v>
      </c>
      <c r="GD57">
        <v>0</v>
      </c>
      <c r="GF57">
        <v>-310612539</v>
      </c>
      <c r="GG57">
        <v>2</v>
      </c>
      <c r="GH57">
        <v>1</v>
      </c>
      <c r="GI57">
        <v>-2</v>
      </c>
      <c r="GJ57">
        <v>0</v>
      </c>
      <c r="GK57">
        <f>ROUND(R57*(R12)/100,2)</f>
        <v>0</v>
      </c>
      <c r="GL57">
        <f t="shared" si="48"/>
        <v>0</v>
      </c>
      <c r="GM57">
        <f t="shared" si="52"/>
        <v>267.54000000000002</v>
      </c>
      <c r="GN57">
        <f t="shared" si="53"/>
        <v>0</v>
      </c>
      <c r="GO57">
        <f t="shared" si="54"/>
        <v>0</v>
      </c>
      <c r="GP57">
        <f t="shared" si="55"/>
        <v>267.54000000000002</v>
      </c>
      <c r="GR57">
        <v>0</v>
      </c>
      <c r="GS57">
        <v>3</v>
      </c>
      <c r="GT57">
        <v>0</v>
      </c>
      <c r="GU57" t="s">
        <v>3</v>
      </c>
      <c r="GV57">
        <f>ROUND((GT57),6)</f>
        <v>0</v>
      </c>
      <c r="GW57">
        <v>1</v>
      </c>
      <c r="GX57">
        <f t="shared" si="50"/>
        <v>0</v>
      </c>
      <c r="HA57">
        <v>0</v>
      </c>
      <c r="HB57">
        <v>0</v>
      </c>
      <c r="HC57">
        <f t="shared" si="51"/>
        <v>0</v>
      </c>
      <c r="IK57">
        <v>0</v>
      </c>
    </row>
    <row r="58" spans="1:245" x14ac:dyDescent="0.2">
      <c r="A58">
        <v>17</v>
      </c>
      <c r="B58">
        <v>1</v>
      </c>
      <c r="D58">
        <f>ROW(EtalonRes!A142)</f>
        <v>142</v>
      </c>
      <c r="E58" t="s">
        <v>119</v>
      </c>
      <c r="F58" t="s">
        <v>120</v>
      </c>
      <c r="G58" t="s">
        <v>121</v>
      </c>
      <c r="H58" t="s">
        <v>35</v>
      </c>
      <c r="I58">
        <f>ROUND(I62*0.9,9)</f>
        <v>142.86049199999999</v>
      </c>
      <c r="J58">
        <v>0</v>
      </c>
      <c r="O58">
        <f t="shared" si="21"/>
        <v>11464.55</v>
      </c>
      <c r="P58">
        <f t="shared" si="22"/>
        <v>0</v>
      </c>
      <c r="Q58">
        <f t="shared" si="23"/>
        <v>11464.55</v>
      </c>
      <c r="R58">
        <f t="shared" si="24"/>
        <v>3691.52</v>
      </c>
      <c r="S58">
        <f t="shared" si="25"/>
        <v>0</v>
      </c>
      <c r="T58">
        <f t="shared" si="26"/>
        <v>0</v>
      </c>
      <c r="U58">
        <f t="shared" si="27"/>
        <v>0</v>
      </c>
      <c r="V58">
        <f t="shared" si="28"/>
        <v>0</v>
      </c>
      <c r="W58">
        <f t="shared" si="29"/>
        <v>0</v>
      </c>
      <c r="X58">
        <f t="shared" si="30"/>
        <v>0</v>
      </c>
      <c r="Y58">
        <f t="shared" si="31"/>
        <v>0</v>
      </c>
      <c r="AA58">
        <v>71209905</v>
      </c>
      <c r="AB58">
        <f t="shared" si="32"/>
        <v>80.25</v>
      </c>
      <c r="AC58">
        <f>ROUND((ES58),6)</f>
        <v>0</v>
      </c>
      <c r="AD58">
        <f>ROUND((((ET58)-(EU58))+AE58),6)</f>
        <v>80.25</v>
      </c>
      <c r="AE58">
        <f t="shared" si="67"/>
        <v>25.84</v>
      </c>
      <c r="AF58">
        <f t="shared" si="67"/>
        <v>0</v>
      </c>
      <c r="AG58">
        <f t="shared" si="34"/>
        <v>0</v>
      </c>
      <c r="AH58">
        <f t="shared" si="68"/>
        <v>0</v>
      </c>
      <c r="AI58">
        <f t="shared" si="68"/>
        <v>0</v>
      </c>
      <c r="AJ58">
        <f t="shared" si="36"/>
        <v>0</v>
      </c>
      <c r="AK58">
        <v>80.25</v>
      </c>
      <c r="AL58">
        <v>0</v>
      </c>
      <c r="AM58">
        <v>80.25</v>
      </c>
      <c r="AN58">
        <v>25.84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70</v>
      </c>
      <c r="AU58">
        <v>10</v>
      </c>
      <c r="AV58">
        <v>1</v>
      </c>
      <c r="AW58">
        <v>1</v>
      </c>
      <c r="AZ58">
        <v>1</v>
      </c>
      <c r="BA58">
        <v>1</v>
      </c>
      <c r="BB58">
        <v>1</v>
      </c>
      <c r="BC58">
        <v>1</v>
      </c>
      <c r="BD58" t="s">
        <v>3</v>
      </c>
      <c r="BE58" t="s">
        <v>3</v>
      </c>
      <c r="BF58" t="s">
        <v>3</v>
      </c>
      <c r="BG58" t="s">
        <v>3</v>
      </c>
      <c r="BH58">
        <v>0</v>
      </c>
      <c r="BI58">
        <v>4</v>
      </c>
      <c r="BJ58" t="s">
        <v>122</v>
      </c>
      <c r="BM58">
        <v>0</v>
      </c>
      <c r="BN58">
        <v>0</v>
      </c>
      <c r="BO58" t="s">
        <v>3</v>
      </c>
      <c r="BP58">
        <v>0</v>
      </c>
      <c r="BQ58">
        <v>1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 t="s">
        <v>3</v>
      </c>
      <c r="BZ58">
        <v>70</v>
      </c>
      <c r="CA58">
        <v>10</v>
      </c>
      <c r="CE58">
        <v>0</v>
      </c>
      <c r="CF58">
        <v>0</v>
      </c>
      <c r="CG58">
        <v>0</v>
      </c>
      <c r="CM58">
        <v>0</v>
      </c>
      <c r="CN58" t="s">
        <v>3</v>
      </c>
      <c r="CO58">
        <v>0</v>
      </c>
      <c r="CP58">
        <f t="shared" si="37"/>
        <v>11464.55</v>
      </c>
      <c r="CQ58">
        <f t="shared" si="38"/>
        <v>0</v>
      </c>
      <c r="CR58">
        <f>((((ET58)*BB58-(EU58)*BS58)+AE58*BS58)*AV58)</f>
        <v>80.25</v>
      </c>
      <c r="CS58">
        <f t="shared" si="39"/>
        <v>25.84</v>
      </c>
      <c r="CT58">
        <f t="shared" si="40"/>
        <v>0</v>
      </c>
      <c r="CU58">
        <f t="shared" si="41"/>
        <v>0</v>
      </c>
      <c r="CV58">
        <f t="shared" si="42"/>
        <v>0</v>
      </c>
      <c r="CW58">
        <f t="shared" si="43"/>
        <v>0</v>
      </c>
      <c r="CX58">
        <f t="shared" si="44"/>
        <v>0</v>
      </c>
      <c r="CY58">
        <f t="shared" si="45"/>
        <v>0</v>
      </c>
      <c r="CZ58">
        <f t="shared" si="46"/>
        <v>0</v>
      </c>
      <c r="DC58" t="s">
        <v>3</v>
      </c>
      <c r="DD58" t="s">
        <v>3</v>
      </c>
      <c r="DE58" t="s">
        <v>3</v>
      </c>
      <c r="DF58" t="s">
        <v>3</v>
      </c>
      <c r="DG58" t="s">
        <v>3</v>
      </c>
      <c r="DH58" t="s">
        <v>3</v>
      </c>
      <c r="DI58" t="s">
        <v>3</v>
      </c>
      <c r="DJ58" t="s">
        <v>3</v>
      </c>
      <c r="DK58" t="s">
        <v>3</v>
      </c>
      <c r="DL58" t="s">
        <v>3</v>
      </c>
      <c r="DM58" t="s">
        <v>3</v>
      </c>
      <c r="DN58">
        <v>0</v>
      </c>
      <c r="DO58">
        <v>0</v>
      </c>
      <c r="DP58">
        <v>1</v>
      </c>
      <c r="DQ58">
        <v>1</v>
      </c>
      <c r="DU58">
        <v>1009</v>
      </c>
      <c r="DV58" t="s">
        <v>35</v>
      </c>
      <c r="DW58" t="s">
        <v>35</v>
      </c>
      <c r="DX58">
        <v>1000</v>
      </c>
      <c r="EE58">
        <v>67874524</v>
      </c>
      <c r="EF58">
        <v>1</v>
      </c>
      <c r="EG58" t="s">
        <v>20</v>
      </c>
      <c r="EH58">
        <v>0</v>
      </c>
      <c r="EI58" t="s">
        <v>3</v>
      </c>
      <c r="EJ58">
        <v>4</v>
      </c>
      <c r="EK58">
        <v>0</v>
      </c>
      <c r="EL58" t="s">
        <v>21</v>
      </c>
      <c r="EM58" t="s">
        <v>22</v>
      </c>
      <c r="EO58" t="s">
        <v>3</v>
      </c>
      <c r="EQ58">
        <v>131072</v>
      </c>
      <c r="ER58">
        <v>80.25</v>
      </c>
      <c r="ES58">
        <v>0</v>
      </c>
      <c r="ET58">
        <v>80.25</v>
      </c>
      <c r="EU58">
        <v>25.84</v>
      </c>
      <c r="EV58">
        <v>0</v>
      </c>
      <c r="EW58">
        <v>0</v>
      </c>
      <c r="EX58">
        <v>0</v>
      </c>
      <c r="EY58">
        <v>0</v>
      </c>
      <c r="FQ58">
        <v>0</v>
      </c>
      <c r="FR58">
        <f t="shared" si="47"/>
        <v>0</v>
      </c>
      <c r="FS58">
        <v>0</v>
      </c>
      <c r="FX58">
        <v>70</v>
      </c>
      <c r="FY58">
        <v>10</v>
      </c>
      <c r="GA58" t="s">
        <v>3</v>
      </c>
      <c r="GD58">
        <v>0</v>
      </c>
      <c r="GF58">
        <v>-706956719</v>
      </c>
      <c r="GG58">
        <v>2</v>
      </c>
      <c r="GH58">
        <v>1</v>
      </c>
      <c r="GI58">
        <v>-2</v>
      </c>
      <c r="GJ58">
        <v>0</v>
      </c>
      <c r="GK58">
        <f>ROUND(R58*(R12)/100,2)</f>
        <v>3986.84</v>
      </c>
      <c r="GL58">
        <f t="shared" si="48"/>
        <v>0</v>
      </c>
      <c r="GM58">
        <f t="shared" si="52"/>
        <v>15451.39</v>
      </c>
      <c r="GN58">
        <f t="shared" si="53"/>
        <v>0</v>
      </c>
      <c r="GO58">
        <f t="shared" si="54"/>
        <v>0</v>
      </c>
      <c r="GP58">
        <f t="shared" si="55"/>
        <v>15451.39</v>
      </c>
      <c r="GR58">
        <v>0</v>
      </c>
      <c r="GS58">
        <v>3</v>
      </c>
      <c r="GT58">
        <v>0</v>
      </c>
      <c r="GU58" t="s">
        <v>3</v>
      </c>
      <c r="GV58">
        <f>ROUND((GT58),6)</f>
        <v>0</v>
      </c>
      <c r="GW58">
        <v>1</v>
      </c>
      <c r="GX58">
        <f t="shared" si="50"/>
        <v>0</v>
      </c>
      <c r="HA58">
        <v>0</v>
      </c>
      <c r="HB58">
        <v>0</v>
      </c>
      <c r="HC58">
        <f t="shared" si="51"/>
        <v>0</v>
      </c>
      <c r="IK58">
        <v>0</v>
      </c>
    </row>
    <row r="59" spans="1:245" x14ac:dyDescent="0.2">
      <c r="A59">
        <v>17</v>
      </c>
      <c r="B59">
        <v>1</v>
      </c>
      <c r="D59">
        <f>ROW(EtalonRes!A143)</f>
        <v>143</v>
      </c>
      <c r="E59" t="s">
        <v>123</v>
      </c>
      <c r="F59" t="s">
        <v>124</v>
      </c>
      <c r="G59" t="s">
        <v>125</v>
      </c>
      <c r="H59" t="s">
        <v>35</v>
      </c>
      <c r="I59">
        <f>ROUND(I62*0.1,9)</f>
        <v>15.873388</v>
      </c>
      <c r="J59">
        <v>0</v>
      </c>
      <c r="O59">
        <f t="shared" si="21"/>
        <v>1982.59</v>
      </c>
      <c r="P59">
        <f t="shared" si="22"/>
        <v>0</v>
      </c>
      <c r="Q59">
        <f t="shared" si="23"/>
        <v>0</v>
      </c>
      <c r="R59">
        <f t="shared" si="24"/>
        <v>0</v>
      </c>
      <c r="S59">
        <f t="shared" si="25"/>
        <v>1982.59</v>
      </c>
      <c r="T59">
        <f t="shared" si="26"/>
        <v>0</v>
      </c>
      <c r="U59">
        <f t="shared" si="27"/>
        <v>16.190855760000002</v>
      </c>
      <c r="V59">
        <f t="shared" si="28"/>
        <v>0</v>
      </c>
      <c r="W59">
        <f t="shared" si="29"/>
        <v>0</v>
      </c>
      <c r="X59">
        <f t="shared" si="30"/>
        <v>1387.81</v>
      </c>
      <c r="Y59">
        <f t="shared" si="31"/>
        <v>198.26</v>
      </c>
      <c r="AA59">
        <v>71209905</v>
      </c>
      <c r="AB59">
        <f t="shared" si="32"/>
        <v>124.9</v>
      </c>
      <c r="AC59">
        <f>ROUND((ES59),6)</f>
        <v>0</v>
      </c>
      <c r="AD59">
        <f>ROUND((((ET59)-(EU59))+AE59),6)</f>
        <v>0</v>
      </c>
      <c r="AE59">
        <f t="shared" si="67"/>
        <v>0</v>
      </c>
      <c r="AF59">
        <f t="shared" si="67"/>
        <v>124.9</v>
      </c>
      <c r="AG59">
        <f t="shared" si="34"/>
        <v>0</v>
      </c>
      <c r="AH59">
        <f t="shared" si="68"/>
        <v>1.02</v>
      </c>
      <c r="AI59">
        <f t="shared" si="68"/>
        <v>0</v>
      </c>
      <c r="AJ59">
        <f t="shared" si="36"/>
        <v>0</v>
      </c>
      <c r="AK59">
        <v>124.9</v>
      </c>
      <c r="AL59">
        <v>0</v>
      </c>
      <c r="AM59">
        <v>0</v>
      </c>
      <c r="AN59">
        <v>0</v>
      </c>
      <c r="AO59">
        <v>124.9</v>
      </c>
      <c r="AP59">
        <v>0</v>
      </c>
      <c r="AQ59">
        <v>1.02</v>
      </c>
      <c r="AR59">
        <v>0</v>
      </c>
      <c r="AS59">
        <v>0</v>
      </c>
      <c r="AT59">
        <v>70</v>
      </c>
      <c r="AU59">
        <v>10</v>
      </c>
      <c r="AV59">
        <v>1</v>
      </c>
      <c r="AW59">
        <v>1</v>
      </c>
      <c r="AZ59">
        <v>1</v>
      </c>
      <c r="BA59">
        <v>1</v>
      </c>
      <c r="BB59">
        <v>1</v>
      </c>
      <c r="BC59">
        <v>1</v>
      </c>
      <c r="BD59" t="s">
        <v>3</v>
      </c>
      <c r="BE59" t="s">
        <v>3</v>
      </c>
      <c r="BF59" t="s">
        <v>3</v>
      </c>
      <c r="BG59" t="s">
        <v>3</v>
      </c>
      <c r="BH59">
        <v>0</v>
      </c>
      <c r="BI59">
        <v>4</v>
      </c>
      <c r="BJ59" t="s">
        <v>126</v>
      </c>
      <c r="BM59">
        <v>0</v>
      </c>
      <c r="BN59">
        <v>0</v>
      </c>
      <c r="BO59" t="s">
        <v>3</v>
      </c>
      <c r="BP59">
        <v>0</v>
      </c>
      <c r="BQ59">
        <v>1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 t="s">
        <v>3</v>
      </c>
      <c r="BZ59">
        <v>70</v>
      </c>
      <c r="CA59">
        <v>10</v>
      </c>
      <c r="CE59">
        <v>0</v>
      </c>
      <c r="CF59">
        <v>0</v>
      </c>
      <c r="CG59">
        <v>0</v>
      </c>
      <c r="CM59">
        <v>0</v>
      </c>
      <c r="CN59" t="s">
        <v>3</v>
      </c>
      <c r="CO59">
        <v>0</v>
      </c>
      <c r="CP59">
        <f t="shared" si="37"/>
        <v>1982.59</v>
      </c>
      <c r="CQ59">
        <f t="shared" si="38"/>
        <v>0</v>
      </c>
      <c r="CR59">
        <f>((((ET59)*BB59-(EU59)*BS59)+AE59*BS59)*AV59)</f>
        <v>0</v>
      </c>
      <c r="CS59">
        <f t="shared" si="39"/>
        <v>0</v>
      </c>
      <c r="CT59">
        <f t="shared" si="40"/>
        <v>124.9</v>
      </c>
      <c r="CU59">
        <f t="shared" si="41"/>
        <v>0</v>
      </c>
      <c r="CV59">
        <f t="shared" si="42"/>
        <v>1.02</v>
      </c>
      <c r="CW59">
        <f t="shared" si="43"/>
        <v>0</v>
      </c>
      <c r="CX59">
        <f t="shared" si="44"/>
        <v>0</v>
      </c>
      <c r="CY59">
        <f t="shared" si="45"/>
        <v>1387.8129999999999</v>
      </c>
      <c r="CZ59">
        <f t="shared" si="46"/>
        <v>198.25899999999999</v>
      </c>
      <c r="DC59" t="s">
        <v>3</v>
      </c>
      <c r="DD59" t="s">
        <v>3</v>
      </c>
      <c r="DE59" t="s">
        <v>3</v>
      </c>
      <c r="DF59" t="s">
        <v>3</v>
      </c>
      <c r="DG59" t="s">
        <v>3</v>
      </c>
      <c r="DH59" t="s">
        <v>3</v>
      </c>
      <c r="DI59" t="s">
        <v>3</v>
      </c>
      <c r="DJ59" t="s">
        <v>3</v>
      </c>
      <c r="DK59" t="s">
        <v>3</v>
      </c>
      <c r="DL59" t="s">
        <v>3</v>
      </c>
      <c r="DM59" t="s">
        <v>3</v>
      </c>
      <c r="DN59">
        <v>0</v>
      </c>
      <c r="DO59">
        <v>0</v>
      </c>
      <c r="DP59">
        <v>1</v>
      </c>
      <c r="DQ59">
        <v>1</v>
      </c>
      <c r="DU59">
        <v>1009</v>
      </c>
      <c r="DV59" t="s">
        <v>35</v>
      </c>
      <c r="DW59" t="s">
        <v>35</v>
      </c>
      <c r="DX59">
        <v>1000</v>
      </c>
      <c r="EE59">
        <v>67874524</v>
      </c>
      <c r="EF59">
        <v>1</v>
      </c>
      <c r="EG59" t="s">
        <v>20</v>
      </c>
      <c r="EH59">
        <v>0</v>
      </c>
      <c r="EI59" t="s">
        <v>3</v>
      </c>
      <c r="EJ59">
        <v>4</v>
      </c>
      <c r="EK59">
        <v>0</v>
      </c>
      <c r="EL59" t="s">
        <v>21</v>
      </c>
      <c r="EM59" t="s">
        <v>22</v>
      </c>
      <c r="EO59" t="s">
        <v>3</v>
      </c>
      <c r="EQ59">
        <v>131072</v>
      </c>
      <c r="ER59">
        <v>124.9</v>
      </c>
      <c r="ES59">
        <v>0</v>
      </c>
      <c r="ET59">
        <v>0</v>
      </c>
      <c r="EU59">
        <v>0</v>
      </c>
      <c r="EV59">
        <v>124.9</v>
      </c>
      <c r="EW59">
        <v>1.02</v>
      </c>
      <c r="EX59">
        <v>0</v>
      </c>
      <c r="EY59">
        <v>0</v>
      </c>
      <c r="FQ59">
        <v>0</v>
      </c>
      <c r="FR59">
        <f t="shared" si="47"/>
        <v>0</v>
      </c>
      <c r="FS59">
        <v>0</v>
      </c>
      <c r="FX59">
        <v>70</v>
      </c>
      <c r="FY59">
        <v>10</v>
      </c>
      <c r="GA59" t="s">
        <v>3</v>
      </c>
      <c r="GD59">
        <v>0</v>
      </c>
      <c r="GF59">
        <v>44828971</v>
      </c>
      <c r="GG59">
        <v>2</v>
      </c>
      <c r="GH59">
        <v>1</v>
      </c>
      <c r="GI59">
        <v>-2</v>
      </c>
      <c r="GJ59">
        <v>0</v>
      </c>
      <c r="GK59">
        <f>ROUND(R59*(R12)/100,2)</f>
        <v>0</v>
      </c>
      <c r="GL59">
        <f t="shared" si="48"/>
        <v>0</v>
      </c>
      <c r="GM59">
        <f t="shared" si="52"/>
        <v>3568.66</v>
      </c>
      <c r="GN59">
        <f t="shared" si="53"/>
        <v>0</v>
      </c>
      <c r="GO59">
        <f t="shared" si="54"/>
        <v>0</v>
      </c>
      <c r="GP59">
        <f t="shared" si="55"/>
        <v>3568.66</v>
      </c>
      <c r="GR59">
        <v>0</v>
      </c>
      <c r="GS59">
        <v>3</v>
      </c>
      <c r="GT59">
        <v>0</v>
      </c>
      <c r="GU59" t="s">
        <v>3</v>
      </c>
      <c r="GV59">
        <f>ROUND((GT59),6)</f>
        <v>0</v>
      </c>
      <c r="GW59">
        <v>1</v>
      </c>
      <c r="GX59">
        <f t="shared" si="50"/>
        <v>0</v>
      </c>
      <c r="HA59">
        <v>0</v>
      </c>
      <c r="HB59">
        <v>0</v>
      </c>
      <c r="HC59">
        <f t="shared" si="51"/>
        <v>0</v>
      </c>
      <c r="IK59">
        <v>0</v>
      </c>
    </row>
    <row r="60" spans="1:245" x14ac:dyDescent="0.2">
      <c r="A60">
        <v>17</v>
      </c>
      <c r="B60">
        <v>1</v>
      </c>
      <c r="D60">
        <f>ROW(EtalonRes!A145)</f>
        <v>145</v>
      </c>
      <c r="E60" t="s">
        <v>127</v>
      </c>
      <c r="F60" t="s">
        <v>128</v>
      </c>
      <c r="G60" t="s">
        <v>129</v>
      </c>
      <c r="H60" t="s">
        <v>35</v>
      </c>
      <c r="I60">
        <f>ROUND(I58,9)</f>
        <v>142.86049199999999</v>
      </c>
      <c r="J60">
        <v>0</v>
      </c>
      <c r="O60">
        <f t="shared" si="21"/>
        <v>8261.6200000000008</v>
      </c>
      <c r="P60">
        <f t="shared" si="22"/>
        <v>0</v>
      </c>
      <c r="Q60">
        <f t="shared" si="23"/>
        <v>8261.6200000000008</v>
      </c>
      <c r="R60">
        <f t="shared" si="24"/>
        <v>4491.53</v>
      </c>
      <c r="S60">
        <f t="shared" si="25"/>
        <v>0</v>
      </c>
      <c r="T60">
        <f t="shared" si="26"/>
        <v>0</v>
      </c>
      <c r="U60">
        <f t="shared" si="27"/>
        <v>0</v>
      </c>
      <c r="V60">
        <f t="shared" si="28"/>
        <v>0</v>
      </c>
      <c r="W60">
        <f t="shared" si="29"/>
        <v>0</v>
      </c>
      <c r="X60">
        <f t="shared" si="30"/>
        <v>0</v>
      </c>
      <c r="Y60">
        <f t="shared" si="31"/>
        <v>0</v>
      </c>
      <c r="AA60">
        <v>71209905</v>
      </c>
      <c r="AB60">
        <f t="shared" si="32"/>
        <v>57.83</v>
      </c>
      <c r="AC60">
        <f>ROUND((ES60),6)</f>
        <v>0</v>
      </c>
      <c r="AD60">
        <f>ROUND((((ET60)-(EU60))+AE60),6)</f>
        <v>57.83</v>
      </c>
      <c r="AE60">
        <f t="shared" si="67"/>
        <v>31.44</v>
      </c>
      <c r="AF60">
        <f t="shared" si="67"/>
        <v>0</v>
      </c>
      <c r="AG60">
        <f t="shared" si="34"/>
        <v>0</v>
      </c>
      <c r="AH60">
        <f t="shared" si="68"/>
        <v>0</v>
      </c>
      <c r="AI60">
        <f t="shared" si="68"/>
        <v>0</v>
      </c>
      <c r="AJ60">
        <f t="shared" si="36"/>
        <v>0</v>
      </c>
      <c r="AK60">
        <v>57.83</v>
      </c>
      <c r="AL60">
        <v>0</v>
      </c>
      <c r="AM60">
        <v>57.83</v>
      </c>
      <c r="AN60">
        <v>31.44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Z60">
        <v>1</v>
      </c>
      <c r="BA60">
        <v>1</v>
      </c>
      <c r="BB60">
        <v>1</v>
      </c>
      <c r="BC60">
        <v>1</v>
      </c>
      <c r="BD60" t="s">
        <v>3</v>
      </c>
      <c r="BE60" t="s">
        <v>3</v>
      </c>
      <c r="BF60" t="s">
        <v>3</v>
      </c>
      <c r="BG60" t="s">
        <v>3</v>
      </c>
      <c r="BH60">
        <v>0</v>
      </c>
      <c r="BI60">
        <v>4</v>
      </c>
      <c r="BJ60" t="s">
        <v>130</v>
      </c>
      <c r="BM60">
        <v>1</v>
      </c>
      <c r="BN60">
        <v>0</v>
      </c>
      <c r="BO60" t="s">
        <v>3</v>
      </c>
      <c r="BP60">
        <v>0</v>
      </c>
      <c r="BQ60">
        <v>1</v>
      </c>
      <c r="BR60">
        <v>0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 t="s">
        <v>3</v>
      </c>
      <c r="BZ60">
        <v>0</v>
      </c>
      <c r="CA60">
        <v>0</v>
      </c>
      <c r="CE60">
        <v>0</v>
      </c>
      <c r="CF60">
        <v>0</v>
      </c>
      <c r="CG60">
        <v>0</v>
      </c>
      <c r="CM60">
        <v>0</v>
      </c>
      <c r="CN60" t="s">
        <v>3</v>
      </c>
      <c r="CO60">
        <v>0</v>
      </c>
      <c r="CP60">
        <f t="shared" si="37"/>
        <v>8261.6200000000008</v>
      </c>
      <c r="CQ60">
        <f t="shared" si="38"/>
        <v>0</v>
      </c>
      <c r="CR60">
        <f>((((ET60)*BB60-(EU60)*BS60)+AE60*BS60)*AV60)</f>
        <v>57.83</v>
      </c>
      <c r="CS60">
        <f t="shared" si="39"/>
        <v>31.44</v>
      </c>
      <c r="CT60">
        <f t="shared" si="40"/>
        <v>0</v>
      </c>
      <c r="CU60">
        <f t="shared" si="41"/>
        <v>0</v>
      </c>
      <c r="CV60">
        <f t="shared" si="42"/>
        <v>0</v>
      </c>
      <c r="CW60">
        <f t="shared" si="43"/>
        <v>0</v>
      </c>
      <c r="CX60">
        <f t="shared" si="44"/>
        <v>0</v>
      </c>
      <c r="CY60">
        <f t="shared" si="45"/>
        <v>0</v>
      </c>
      <c r="CZ60">
        <f t="shared" si="46"/>
        <v>0</v>
      </c>
      <c r="DC60" t="s">
        <v>3</v>
      </c>
      <c r="DD60" t="s">
        <v>3</v>
      </c>
      <c r="DE60" t="s">
        <v>3</v>
      </c>
      <c r="DF60" t="s">
        <v>3</v>
      </c>
      <c r="DG60" t="s">
        <v>3</v>
      </c>
      <c r="DH60" t="s">
        <v>3</v>
      </c>
      <c r="DI60" t="s">
        <v>3</v>
      </c>
      <c r="DJ60" t="s">
        <v>3</v>
      </c>
      <c r="DK60" t="s">
        <v>3</v>
      </c>
      <c r="DL60" t="s">
        <v>3</v>
      </c>
      <c r="DM60" t="s">
        <v>3</v>
      </c>
      <c r="DN60">
        <v>0</v>
      </c>
      <c r="DO60">
        <v>0</v>
      </c>
      <c r="DP60">
        <v>1</v>
      </c>
      <c r="DQ60">
        <v>1</v>
      </c>
      <c r="DU60">
        <v>1009</v>
      </c>
      <c r="DV60" t="s">
        <v>35</v>
      </c>
      <c r="DW60" t="s">
        <v>35</v>
      </c>
      <c r="DX60">
        <v>1000</v>
      </c>
      <c r="EE60">
        <v>67874526</v>
      </c>
      <c r="EF60">
        <v>1</v>
      </c>
      <c r="EG60" t="s">
        <v>20</v>
      </c>
      <c r="EH60">
        <v>0</v>
      </c>
      <c r="EI60" t="s">
        <v>3</v>
      </c>
      <c r="EJ60">
        <v>4</v>
      </c>
      <c r="EK60">
        <v>1</v>
      </c>
      <c r="EL60" t="s">
        <v>37</v>
      </c>
      <c r="EM60" t="s">
        <v>22</v>
      </c>
      <c r="EO60" t="s">
        <v>3</v>
      </c>
      <c r="EQ60">
        <v>131072</v>
      </c>
      <c r="ER60">
        <v>57.83</v>
      </c>
      <c r="ES60">
        <v>0</v>
      </c>
      <c r="ET60">
        <v>57.83</v>
      </c>
      <c r="EU60">
        <v>31.44</v>
      </c>
      <c r="EV60">
        <v>0</v>
      </c>
      <c r="EW60">
        <v>0</v>
      </c>
      <c r="EX60">
        <v>0</v>
      </c>
      <c r="EY60">
        <v>0</v>
      </c>
      <c r="FQ60">
        <v>0</v>
      </c>
      <c r="FR60">
        <f t="shared" si="47"/>
        <v>0</v>
      </c>
      <c r="FS60">
        <v>0</v>
      </c>
      <c r="FX60">
        <v>0</v>
      </c>
      <c r="FY60">
        <v>0</v>
      </c>
      <c r="GA60" t="s">
        <v>3</v>
      </c>
      <c r="GD60">
        <v>1</v>
      </c>
      <c r="GF60">
        <v>-1870736679</v>
      </c>
      <c r="GG60">
        <v>2</v>
      </c>
      <c r="GH60">
        <v>1</v>
      </c>
      <c r="GI60">
        <v>-2</v>
      </c>
      <c r="GJ60">
        <v>0</v>
      </c>
      <c r="GK60">
        <v>0</v>
      </c>
      <c r="GL60">
        <f t="shared" si="48"/>
        <v>0</v>
      </c>
      <c r="GM60">
        <f>ROUND(O60+X60+Y60,2)+GX60</f>
        <v>8261.6200000000008</v>
      </c>
      <c r="GN60">
        <f>IF(OR(BI60=0,BI60=1),ROUND(O60+X60+Y60,2),0)</f>
        <v>0</v>
      </c>
      <c r="GO60">
        <f>IF(BI60=2,ROUND(O60+X60+Y60,2),0)</f>
        <v>0</v>
      </c>
      <c r="GP60">
        <f>IF(BI60=4,ROUND(O60+X60+Y60,2)+GX60,0)</f>
        <v>8261.6200000000008</v>
      </c>
      <c r="GR60">
        <v>0</v>
      </c>
      <c r="GS60">
        <v>3</v>
      </c>
      <c r="GT60">
        <v>0</v>
      </c>
      <c r="GU60" t="s">
        <v>3</v>
      </c>
      <c r="GV60">
        <f>ROUND((GT60),6)</f>
        <v>0</v>
      </c>
      <c r="GW60">
        <v>1</v>
      </c>
      <c r="GX60">
        <f t="shared" si="50"/>
        <v>0</v>
      </c>
      <c r="HA60">
        <v>0</v>
      </c>
      <c r="HB60">
        <v>0</v>
      </c>
      <c r="HC60">
        <f t="shared" si="51"/>
        <v>0</v>
      </c>
      <c r="IK60">
        <v>0</v>
      </c>
    </row>
    <row r="61" spans="1:245" x14ac:dyDescent="0.2">
      <c r="A61">
        <v>17</v>
      </c>
      <c r="B61">
        <v>1</v>
      </c>
      <c r="D61">
        <f>ROW(EtalonRes!A147)</f>
        <v>147</v>
      </c>
      <c r="E61" t="s">
        <v>131</v>
      </c>
      <c r="F61" t="s">
        <v>132</v>
      </c>
      <c r="G61" t="s">
        <v>133</v>
      </c>
      <c r="H61" t="s">
        <v>35</v>
      </c>
      <c r="I61">
        <f>ROUND(I59,9)</f>
        <v>15.873388</v>
      </c>
      <c r="J61">
        <v>0</v>
      </c>
      <c r="O61">
        <f t="shared" si="21"/>
        <v>2633.55</v>
      </c>
      <c r="P61">
        <f t="shared" si="22"/>
        <v>0</v>
      </c>
      <c r="Q61">
        <f t="shared" si="23"/>
        <v>2633.55</v>
      </c>
      <c r="R61">
        <f t="shared" si="24"/>
        <v>1431.46</v>
      </c>
      <c r="S61">
        <f t="shared" si="25"/>
        <v>0</v>
      </c>
      <c r="T61">
        <f t="shared" si="26"/>
        <v>0</v>
      </c>
      <c r="U61">
        <f t="shared" si="27"/>
        <v>0</v>
      </c>
      <c r="V61">
        <f t="shared" si="28"/>
        <v>0</v>
      </c>
      <c r="W61">
        <f t="shared" si="29"/>
        <v>0</v>
      </c>
      <c r="X61">
        <f t="shared" si="30"/>
        <v>0</v>
      </c>
      <c r="Y61">
        <f t="shared" si="31"/>
        <v>0</v>
      </c>
      <c r="AA61">
        <v>71209905</v>
      </c>
      <c r="AB61">
        <f t="shared" si="32"/>
        <v>165.91</v>
      </c>
      <c r="AC61">
        <f>ROUND((ES61),6)</f>
        <v>0</v>
      </c>
      <c r="AD61">
        <f>ROUND((((ET61)-(EU61))+AE61),6)</f>
        <v>165.91</v>
      </c>
      <c r="AE61">
        <f t="shared" si="67"/>
        <v>90.18</v>
      </c>
      <c r="AF61">
        <f t="shared" si="67"/>
        <v>0</v>
      </c>
      <c r="AG61">
        <f t="shared" si="34"/>
        <v>0</v>
      </c>
      <c r="AH61">
        <f t="shared" si="68"/>
        <v>0</v>
      </c>
      <c r="AI61">
        <f t="shared" si="68"/>
        <v>0</v>
      </c>
      <c r="AJ61">
        <f t="shared" si="36"/>
        <v>0</v>
      </c>
      <c r="AK61">
        <v>165.91</v>
      </c>
      <c r="AL61">
        <v>0</v>
      </c>
      <c r="AM61">
        <v>165.91</v>
      </c>
      <c r="AN61">
        <v>90.18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Z61">
        <v>1</v>
      </c>
      <c r="BA61">
        <v>1</v>
      </c>
      <c r="BB61">
        <v>1</v>
      </c>
      <c r="BC61">
        <v>1</v>
      </c>
      <c r="BD61" t="s">
        <v>3</v>
      </c>
      <c r="BE61" t="s">
        <v>3</v>
      </c>
      <c r="BF61" t="s">
        <v>3</v>
      </c>
      <c r="BG61" t="s">
        <v>3</v>
      </c>
      <c r="BH61">
        <v>0</v>
      </c>
      <c r="BI61">
        <v>4</v>
      </c>
      <c r="BJ61" t="s">
        <v>134</v>
      </c>
      <c r="BM61">
        <v>1</v>
      </c>
      <c r="BN61">
        <v>0</v>
      </c>
      <c r="BO61" t="s">
        <v>3</v>
      </c>
      <c r="BP61">
        <v>0</v>
      </c>
      <c r="BQ61">
        <v>1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 t="s">
        <v>3</v>
      </c>
      <c r="BZ61">
        <v>0</v>
      </c>
      <c r="CA61">
        <v>0</v>
      </c>
      <c r="CE61">
        <v>0</v>
      </c>
      <c r="CF61">
        <v>0</v>
      </c>
      <c r="CG61">
        <v>0</v>
      </c>
      <c r="CM61">
        <v>0</v>
      </c>
      <c r="CN61" t="s">
        <v>3</v>
      </c>
      <c r="CO61">
        <v>0</v>
      </c>
      <c r="CP61">
        <f t="shared" si="37"/>
        <v>2633.55</v>
      </c>
      <c r="CQ61">
        <f t="shared" si="38"/>
        <v>0</v>
      </c>
      <c r="CR61">
        <f>((((ET61)*BB61-(EU61)*BS61)+AE61*BS61)*AV61)</f>
        <v>165.91</v>
      </c>
      <c r="CS61">
        <f t="shared" si="39"/>
        <v>90.18</v>
      </c>
      <c r="CT61">
        <f t="shared" si="40"/>
        <v>0</v>
      </c>
      <c r="CU61">
        <f t="shared" si="41"/>
        <v>0</v>
      </c>
      <c r="CV61">
        <f t="shared" si="42"/>
        <v>0</v>
      </c>
      <c r="CW61">
        <f t="shared" si="43"/>
        <v>0</v>
      </c>
      <c r="CX61">
        <f t="shared" si="44"/>
        <v>0</v>
      </c>
      <c r="CY61">
        <f t="shared" si="45"/>
        <v>0</v>
      </c>
      <c r="CZ61">
        <f t="shared" si="46"/>
        <v>0</v>
      </c>
      <c r="DC61" t="s">
        <v>3</v>
      </c>
      <c r="DD61" t="s">
        <v>3</v>
      </c>
      <c r="DE61" t="s">
        <v>3</v>
      </c>
      <c r="DF61" t="s">
        <v>3</v>
      </c>
      <c r="DG61" t="s">
        <v>3</v>
      </c>
      <c r="DH61" t="s">
        <v>3</v>
      </c>
      <c r="DI61" t="s">
        <v>3</v>
      </c>
      <c r="DJ61" t="s">
        <v>3</v>
      </c>
      <c r="DK61" t="s">
        <v>3</v>
      </c>
      <c r="DL61" t="s">
        <v>3</v>
      </c>
      <c r="DM61" t="s">
        <v>3</v>
      </c>
      <c r="DN61">
        <v>0</v>
      </c>
      <c r="DO61">
        <v>0</v>
      </c>
      <c r="DP61">
        <v>1</v>
      </c>
      <c r="DQ61">
        <v>1</v>
      </c>
      <c r="DU61">
        <v>1009</v>
      </c>
      <c r="DV61" t="s">
        <v>35</v>
      </c>
      <c r="DW61" t="s">
        <v>35</v>
      </c>
      <c r="DX61">
        <v>1000</v>
      </c>
      <c r="EE61">
        <v>67874526</v>
      </c>
      <c r="EF61">
        <v>1</v>
      </c>
      <c r="EG61" t="s">
        <v>20</v>
      </c>
      <c r="EH61">
        <v>0</v>
      </c>
      <c r="EI61" t="s">
        <v>3</v>
      </c>
      <c r="EJ61">
        <v>4</v>
      </c>
      <c r="EK61">
        <v>1</v>
      </c>
      <c r="EL61" t="s">
        <v>37</v>
      </c>
      <c r="EM61" t="s">
        <v>22</v>
      </c>
      <c r="EO61" t="s">
        <v>3</v>
      </c>
      <c r="EQ61">
        <v>131072</v>
      </c>
      <c r="ER61">
        <v>165.91</v>
      </c>
      <c r="ES61">
        <v>0</v>
      </c>
      <c r="ET61">
        <v>165.91</v>
      </c>
      <c r="EU61">
        <v>90.18</v>
      </c>
      <c r="EV61">
        <v>0</v>
      </c>
      <c r="EW61">
        <v>0</v>
      </c>
      <c r="EX61">
        <v>0</v>
      </c>
      <c r="EY61">
        <v>0</v>
      </c>
      <c r="FQ61">
        <v>0</v>
      </c>
      <c r="FR61">
        <f t="shared" si="47"/>
        <v>0</v>
      </c>
      <c r="FS61">
        <v>0</v>
      </c>
      <c r="FX61">
        <v>0</v>
      </c>
      <c r="FY61">
        <v>0</v>
      </c>
      <c r="GA61" t="s">
        <v>3</v>
      </c>
      <c r="GD61">
        <v>1</v>
      </c>
      <c r="GF61">
        <v>1912105629</v>
      </c>
      <c r="GG61">
        <v>2</v>
      </c>
      <c r="GH61">
        <v>1</v>
      </c>
      <c r="GI61">
        <v>-2</v>
      </c>
      <c r="GJ61">
        <v>0</v>
      </c>
      <c r="GK61">
        <v>0</v>
      </c>
      <c r="GL61">
        <f t="shared" si="48"/>
        <v>0</v>
      </c>
      <c r="GM61">
        <f>ROUND(O61+X61+Y61,2)+GX61</f>
        <v>2633.55</v>
      </c>
      <c r="GN61">
        <f>IF(OR(BI61=0,BI61=1),ROUND(O61+X61+Y61,2),0)</f>
        <v>0</v>
      </c>
      <c r="GO61">
        <f>IF(BI61=2,ROUND(O61+X61+Y61,2),0)</f>
        <v>0</v>
      </c>
      <c r="GP61">
        <f>IF(BI61=4,ROUND(O61+X61+Y61,2)+GX61,0)</f>
        <v>2633.55</v>
      </c>
      <c r="GR61">
        <v>0</v>
      </c>
      <c r="GS61">
        <v>3</v>
      </c>
      <c r="GT61">
        <v>0</v>
      </c>
      <c r="GU61" t="s">
        <v>3</v>
      </c>
      <c r="GV61">
        <f>ROUND((GT61),6)</f>
        <v>0</v>
      </c>
      <c r="GW61">
        <v>1</v>
      </c>
      <c r="GX61">
        <f t="shared" si="50"/>
        <v>0</v>
      </c>
      <c r="HA61">
        <v>0</v>
      </c>
      <c r="HB61">
        <v>0</v>
      </c>
      <c r="HC61">
        <f t="shared" si="51"/>
        <v>0</v>
      </c>
      <c r="IK61">
        <v>0</v>
      </c>
    </row>
    <row r="62" spans="1:245" x14ac:dyDescent="0.2">
      <c r="A62">
        <v>17</v>
      </c>
      <c r="B62">
        <v>1</v>
      </c>
      <c r="D62">
        <f>ROW(EtalonRes!A149)</f>
        <v>149</v>
      </c>
      <c r="E62" t="s">
        <v>135</v>
      </c>
      <c r="F62" t="s">
        <v>136</v>
      </c>
      <c r="G62" t="s">
        <v>944</v>
      </c>
      <c r="H62" t="s">
        <v>35</v>
      </c>
      <c r="I62">
        <f>ROUND(I50*100*0.08*2.4+2.1*2.4+I51*100*2.4+I55*100*2.4+118*0.03*0.75+I52*100*1.6+31*0.23408+306*0.1504+I56+20/1000,9)</f>
        <v>158.73388</v>
      </c>
      <c r="J62">
        <v>0</v>
      </c>
      <c r="O62">
        <f t="shared" si="21"/>
        <v>182604.28</v>
      </c>
      <c r="P62">
        <f t="shared" si="22"/>
        <v>0</v>
      </c>
      <c r="Q62">
        <f t="shared" si="23"/>
        <v>182604.28</v>
      </c>
      <c r="R62">
        <f t="shared" si="24"/>
        <v>99268.99</v>
      </c>
      <c r="S62">
        <f t="shared" si="25"/>
        <v>0</v>
      </c>
      <c r="T62">
        <f t="shared" si="26"/>
        <v>0</v>
      </c>
      <c r="U62">
        <f t="shared" si="27"/>
        <v>0</v>
      </c>
      <c r="V62">
        <f t="shared" si="28"/>
        <v>0</v>
      </c>
      <c r="W62">
        <f t="shared" si="29"/>
        <v>0</v>
      </c>
      <c r="X62">
        <f t="shared" si="30"/>
        <v>0</v>
      </c>
      <c r="Y62">
        <f t="shared" si="31"/>
        <v>0</v>
      </c>
      <c r="AA62">
        <v>71209905</v>
      </c>
      <c r="AB62">
        <f t="shared" si="32"/>
        <v>1150.3800000000001</v>
      </c>
      <c r="AC62">
        <f>ROUND(((ES62*42)),6)</f>
        <v>0</v>
      </c>
      <c r="AD62">
        <f>ROUND(((((ET62*42))-((EU62*42)))+AE62),6)</f>
        <v>1150.3800000000001</v>
      </c>
      <c r="AE62">
        <f>ROUND(((EU62*42)),6)</f>
        <v>625.38</v>
      </c>
      <c r="AF62">
        <f>ROUND(((EV62*42)),6)</f>
        <v>0</v>
      </c>
      <c r="AG62">
        <f t="shared" si="34"/>
        <v>0</v>
      </c>
      <c r="AH62">
        <f>((EW62*42))</f>
        <v>0</v>
      </c>
      <c r="AI62">
        <f>((EX62*42))</f>
        <v>0</v>
      </c>
      <c r="AJ62">
        <f t="shared" si="36"/>
        <v>0</v>
      </c>
      <c r="AK62">
        <v>27.39</v>
      </c>
      <c r="AL62">
        <v>0</v>
      </c>
      <c r="AM62">
        <v>27.39</v>
      </c>
      <c r="AN62">
        <v>14.89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Z62">
        <v>1</v>
      </c>
      <c r="BA62">
        <v>1</v>
      </c>
      <c r="BB62">
        <v>1</v>
      </c>
      <c r="BC62">
        <v>1</v>
      </c>
      <c r="BD62" t="s">
        <v>3</v>
      </c>
      <c r="BE62" t="s">
        <v>3</v>
      </c>
      <c r="BF62" t="s">
        <v>3</v>
      </c>
      <c r="BG62" t="s">
        <v>3</v>
      </c>
      <c r="BH62">
        <v>0</v>
      </c>
      <c r="BI62">
        <v>4</v>
      </c>
      <c r="BJ62" t="s">
        <v>137</v>
      </c>
      <c r="BM62">
        <v>1</v>
      </c>
      <c r="BN62">
        <v>0</v>
      </c>
      <c r="BO62" t="s">
        <v>3</v>
      </c>
      <c r="BP62">
        <v>0</v>
      </c>
      <c r="BQ62">
        <v>1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 t="s">
        <v>3</v>
      </c>
      <c r="BZ62">
        <v>0</v>
      </c>
      <c r="CA62">
        <v>0</v>
      </c>
      <c r="CE62">
        <v>0</v>
      </c>
      <c r="CF62">
        <v>0</v>
      </c>
      <c r="CG62">
        <v>0</v>
      </c>
      <c r="CM62">
        <v>0</v>
      </c>
      <c r="CN62" t="s">
        <v>3</v>
      </c>
      <c r="CO62">
        <v>0</v>
      </c>
      <c r="CP62">
        <f t="shared" si="37"/>
        <v>182604.28</v>
      </c>
      <c r="CQ62">
        <f t="shared" si="38"/>
        <v>0</v>
      </c>
      <c r="CR62">
        <f>(((((ET62*42))*BB62-((EU62*42))*BS62)+AE62*BS62)*AV62)</f>
        <v>1150.3800000000001</v>
      </c>
      <c r="CS62">
        <f t="shared" si="39"/>
        <v>625.38</v>
      </c>
      <c r="CT62">
        <f t="shared" si="40"/>
        <v>0</v>
      </c>
      <c r="CU62">
        <f t="shared" si="41"/>
        <v>0</v>
      </c>
      <c r="CV62">
        <f t="shared" si="42"/>
        <v>0</v>
      </c>
      <c r="CW62">
        <f t="shared" si="43"/>
        <v>0</v>
      </c>
      <c r="CX62">
        <f t="shared" si="44"/>
        <v>0</v>
      </c>
      <c r="CY62">
        <f t="shared" si="45"/>
        <v>0</v>
      </c>
      <c r="CZ62">
        <f t="shared" si="46"/>
        <v>0</v>
      </c>
      <c r="DC62" t="s">
        <v>3</v>
      </c>
      <c r="DD62" t="s">
        <v>138</v>
      </c>
      <c r="DE62" t="s">
        <v>138</v>
      </c>
      <c r="DF62" t="s">
        <v>138</v>
      </c>
      <c r="DG62" t="s">
        <v>138</v>
      </c>
      <c r="DH62" t="s">
        <v>3</v>
      </c>
      <c r="DI62" t="s">
        <v>138</v>
      </c>
      <c r="DJ62" t="s">
        <v>138</v>
      </c>
      <c r="DK62" t="s">
        <v>3</v>
      </c>
      <c r="DL62" t="s">
        <v>3</v>
      </c>
      <c r="DM62" t="s">
        <v>3</v>
      </c>
      <c r="DN62">
        <v>0</v>
      </c>
      <c r="DO62">
        <v>0</v>
      </c>
      <c r="DP62">
        <v>1</v>
      </c>
      <c r="DQ62">
        <v>1</v>
      </c>
      <c r="DU62">
        <v>1009</v>
      </c>
      <c r="DV62" t="s">
        <v>35</v>
      </c>
      <c r="DW62" t="s">
        <v>35</v>
      </c>
      <c r="DX62">
        <v>1000</v>
      </c>
      <c r="EE62">
        <v>67874526</v>
      </c>
      <c r="EF62">
        <v>1</v>
      </c>
      <c r="EG62" t="s">
        <v>20</v>
      </c>
      <c r="EH62">
        <v>0</v>
      </c>
      <c r="EI62" t="s">
        <v>3</v>
      </c>
      <c r="EJ62">
        <v>4</v>
      </c>
      <c r="EK62">
        <v>1</v>
      </c>
      <c r="EL62" t="s">
        <v>37</v>
      </c>
      <c r="EM62" t="s">
        <v>22</v>
      </c>
      <c r="EO62" t="s">
        <v>3</v>
      </c>
      <c r="EQ62">
        <v>131072</v>
      </c>
      <c r="ER62">
        <v>27.39</v>
      </c>
      <c r="ES62">
        <v>0</v>
      </c>
      <c r="ET62">
        <v>27.39</v>
      </c>
      <c r="EU62">
        <v>14.89</v>
      </c>
      <c r="EV62">
        <v>0</v>
      </c>
      <c r="EW62">
        <v>0</v>
      </c>
      <c r="EX62">
        <v>0</v>
      </c>
      <c r="EY62">
        <v>0</v>
      </c>
      <c r="FQ62">
        <v>0</v>
      </c>
      <c r="FR62">
        <f t="shared" si="47"/>
        <v>0</v>
      </c>
      <c r="FS62">
        <v>0</v>
      </c>
      <c r="FX62">
        <v>0</v>
      </c>
      <c r="FY62">
        <v>0</v>
      </c>
      <c r="GA62" t="s">
        <v>3</v>
      </c>
      <c r="GD62">
        <v>1</v>
      </c>
      <c r="GF62">
        <v>1376252844</v>
      </c>
      <c r="GG62">
        <v>2</v>
      </c>
      <c r="GH62">
        <v>1</v>
      </c>
      <c r="GI62">
        <v>-2</v>
      </c>
      <c r="GJ62">
        <v>0</v>
      </c>
      <c r="GK62">
        <v>0</v>
      </c>
      <c r="GL62">
        <f t="shared" si="48"/>
        <v>0</v>
      </c>
      <c r="GM62">
        <f>ROUND(O62+X62+Y62,2)+GX62</f>
        <v>182604.28</v>
      </c>
      <c r="GN62">
        <f>IF(OR(BI62=0,BI62=1),ROUND(O62+X62+Y62,2),0)</f>
        <v>0</v>
      </c>
      <c r="GO62">
        <f>IF(BI62=2,ROUND(O62+X62+Y62,2),0)</f>
        <v>0</v>
      </c>
      <c r="GP62">
        <f>IF(BI62=4,ROUND(O62+X62+Y62,2)+GX62,0)</f>
        <v>182604.28</v>
      </c>
      <c r="GR62">
        <v>0</v>
      </c>
      <c r="GS62">
        <v>3</v>
      </c>
      <c r="GT62">
        <v>0</v>
      </c>
      <c r="GU62" t="s">
        <v>138</v>
      </c>
      <c r="GV62">
        <f>ROUND(((GT62*42)),6)</f>
        <v>0</v>
      </c>
      <c r="GW62">
        <v>1</v>
      </c>
      <c r="GX62">
        <f t="shared" si="50"/>
        <v>0</v>
      </c>
      <c r="HA62">
        <v>0</v>
      </c>
      <c r="HB62">
        <v>0</v>
      </c>
      <c r="HC62">
        <f t="shared" si="51"/>
        <v>0</v>
      </c>
      <c r="IK62">
        <v>0</v>
      </c>
    </row>
    <row r="63" spans="1:245" x14ac:dyDescent="0.2">
      <c r="A63">
        <v>17</v>
      </c>
      <c r="B63">
        <v>1</v>
      </c>
      <c r="E63" t="s">
        <v>139</v>
      </c>
      <c r="F63" t="s">
        <v>140</v>
      </c>
      <c r="G63" t="s">
        <v>945</v>
      </c>
      <c r="H63" t="s">
        <v>35</v>
      </c>
      <c r="I63">
        <f>ROUND(I50*100*0.08*2.4+2.1*2.4+I51*100*2.4+I55*100*2.4+118*0.03*0.75+I52*100*1.6+31*0.23408+306*0.1504+20/1000,9)</f>
        <v>158.72188</v>
      </c>
      <c r="J63">
        <v>0</v>
      </c>
      <c r="O63">
        <f t="shared" si="21"/>
        <v>15919.8</v>
      </c>
      <c r="P63">
        <f t="shared" si="22"/>
        <v>15919.8</v>
      </c>
      <c r="Q63">
        <f t="shared" si="23"/>
        <v>0</v>
      </c>
      <c r="R63">
        <f t="shared" si="24"/>
        <v>0</v>
      </c>
      <c r="S63">
        <f t="shared" si="25"/>
        <v>0</v>
      </c>
      <c r="T63">
        <f t="shared" si="26"/>
        <v>0</v>
      </c>
      <c r="U63">
        <f t="shared" si="27"/>
        <v>0</v>
      </c>
      <c r="V63">
        <f t="shared" si="28"/>
        <v>0</v>
      </c>
      <c r="W63">
        <f t="shared" si="29"/>
        <v>0</v>
      </c>
      <c r="X63">
        <f t="shared" si="30"/>
        <v>0</v>
      </c>
      <c r="Y63">
        <f t="shared" si="31"/>
        <v>0</v>
      </c>
      <c r="AA63">
        <v>71209905</v>
      </c>
      <c r="AB63">
        <f t="shared" si="32"/>
        <v>100.3</v>
      </c>
      <c r="AC63">
        <f>ROUND((ES63),6)</f>
        <v>100.3</v>
      </c>
      <c r="AD63">
        <f>ROUND((ET63),6)</f>
        <v>0</v>
      </c>
      <c r="AE63">
        <f>ROUND((EU63),6)</f>
        <v>0</v>
      </c>
      <c r="AF63">
        <f>ROUND((EV63),6)</f>
        <v>0</v>
      </c>
      <c r="AG63">
        <f t="shared" si="34"/>
        <v>0</v>
      </c>
      <c r="AH63">
        <f>(EW63)</f>
        <v>0</v>
      </c>
      <c r="AI63">
        <f>(EX63)</f>
        <v>0</v>
      </c>
      <c r="AJ63">
        <f t="shared" si="36"/>
        <v>0</v>
      </c>
      <c r="AK63">
        <v>100.3</v>
      </c>
      <c r="AL63">
        <v>100.3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Z63">
        <v>1</v>
      </c>
      <c r="BA63">
        <v>1</v>
      </c>
      <c r="BB63">
        <v>1</v>
      </c>
      <c r="BC63">
        <v>1</v>
      </c>
      <c r="BD63" t="s">
        <v>3</v>
      </c>
      <c r="BE63" t="s">
        <v>3</v>
      </c>
      <c r="BF63" t="s">
        <v>3</v>
      </c>
      <c r="BG63" t="s">
        <v>3</v>
      </c>
      <c r="BH63">
        <v>3</v>
      </c>
      <c r="BI63">
        <v>1</v>
      </c>
      <c r="BJ63" t="s">
        <v>3</v>
      </c>
      <c r="BM63">
        <v>6001</v>
      </c>
      <c r="BN63">
        <v>0</v>
      </c>
      <c r="BO63" t="s">
        <v>3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 t="s">
        <v>3</v>
      </c>
      <c r="BZ63">
        <v>0</v>
      </c>
      <c r="CA63">
        <v>0</v>
      </c>
      <c r="CE63">
        <v>0</v>
      </c>
      <c r="CF63">
        <v>0</v>
      </c>
      <c r="CG63">
        <v>0</v>
      </c>
      <c r="CM63">
        <v>0</v>
      </c>
      <c r="CN63" t="s">
        <v>3</v>
      </c>
      <c r="CO63">
        <v>0</v>
      </c>
      <c r="CP63">
        <f t="shared" si="37"/>
        <v>15919.8</v>
      </c>
      <c r="CQ63">
        <f>AC63*BC63</f>
        <v>100.3</v>
      </c>
      <c r="CR63">
        <f>AD63*BB63</f>
        <v>0</v>
      </c>
      <c r="CS63">
        <f>AE63*BS63</f>
        <v>0</v>
      </c>
      <c r="CT63">
        <f>AF63*BA63</f>
        <v>0</v>
      </c>
      <c r="CU63">
        <f t="shared" si="41"/>
        <v>0</v>
      </c>
      <c r="CV63">
        <f>AH63</f>
        <v>0</v>
      </c>
      <c r="CW63">
        <f t="shared" si="43"/>
        <v>0</v>
      </c>
      <c r="CX63">
        <f t="shared" si="44"/>
        <v>0</v>
      </c>
      <c r="CY63">
        <f>0</f>
        <v>0</v>
      </c>
      <c r="CZ63">
        <f>0</f>
        <v>0</v>
      </c>
      <c r="DC63" t="s">
        <v>3</v>
      </c>
      <c r="DD63" t="s">
        <v>3</v>
      </c>
      <c r="DE63" t="s">
        <v>3</v>
      </c>
      <c r="DF63" t="s">
        <v>3</v>
      </c>
      <c r="DG63" t="s">
        <v>3</v>
      </c>
      <c r="DH63" t="s">
        <v>3</v>
      </c>
      <c r="DI63" t="s">
        <v>3</v>
      </c>
      <c r="DJ63" t="s">
        <v>3</v>
      </c>
      <c r="DK63" t="s">
        <v>3</v>
      </c>
      <c r="DL63" t="s">
        <v>3</v>
      </c>
      <c r="DM63" t="s">
        <v>3</v>
      </c>
      <c r="DN63">
        <v>0</v>
      </c>
      <c r="DO63">
        <v>0</v>
      </c>
      <c r="DP63">
        <v>1</v>
      </c>
      <c r="DQ63">
        <v>1</v>
      </c>
      <c r="DU63">
        <v>1009</v>
      </c>
      <c r="DV63" t="s">
        <v>35</v>
      </c>
      <c r="DW63" t="s">
        <v>35</v>
      </c>
      <c r="DX63">
        <v>1000</v>
      </c>
      <c r="EE63">
        <v>0</v>
      </c>
      <c r="EF63">
        <v>0</v>
      </c>
      <c r="EG63" t="s">
        <v>3</v>
      </c>
      <c r="EH63">
        <v>0</v>
      </c>
      <c r="EI63" t="s">
        <v>3</v>
      </c>
      <c r="EJ63">
        <v>0</v>
      </c>
      <c r="EK63">
        <v>6001</v>
      </c>
      <c r="EL63" t="s">
        <v>3</v>
      </c>
      <c r="EM63" t="s">
        <v>3</v>
      </c>
      <c r="EO63" t="s">
        <v>3</v>
      </c>
      <c r="EQ63">
        <v>0</v>
      </c>
      <c r="ER63">
        <v>100.3</v>
      </c>
      <c r="ES63">
        <v>100.3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5</v>
      </c>
      <c r="FC63">
        <v>1</v>
      </c>
      <c r="FD63">
        <v>18</v>
      </c>
      <c r="FF63">
        <v>120.36</v>
      </c>
      <c r="FQ63">
        <v>0</v>
      </c>
      <c r="FR63">
        <f t="shared" si="47"/>
        <v>0</v>
      </c>
      <c r="FS63">
        <v>0</v>
      </c>
      <c r="FX63">
        <v>0</v>
      </c>
      <c r="FY63">
        <v>0</v>
      </c>
      <c r="GA63" t="s">
        <v>141</v>
      </c>
      <c r="GD63">
        <v>0</v>
      </c>
      <c r="GF63">
        <v>-1495181946</v>
      </c>
      <c r="GG63">
        <v>2</v>
      </c>
      <c r="GH63">
        <v>3</v>
      </c>
      <c r="GI63">
        <v>-2</v>
      </c>
      <c r="GJ63">
        <v>0</v>
      </c>
      <c r="GK63">
        <f>ROUND(R63*(R12)/100,2)</f>
        <v>0</v>
      </c>
      <c r="GL63">
        <f t="shared" si="48"/>
        <v>0</v>
      </c>
      <c r="GM63">
        <f>ROUND(O63+X63+Y63+GK63,2)+GX63</f>
        <v>15919.8</v>
      </c>
      <c r="GN63">
        <f>IF(OR(BI63=0,BI63=1),ROUND(O63+X63+Y63+GK63,2),0)</f>
        <v>15919.8</v>
      </c>
      <c r="GO63">
        <f>IF(BI63=2,ROUND(O63+X63+Y63+GK63,2),0)</f>
        <v>0</v>
      </c>
      <c r="GP63">
        <f>IF(BI63=4,ROUND(O63+X63+Y63+GK63,2)+GX63,0)</f>
        <v>0</v>
      </c>
      <c r="GR63">
        <v>1</v>
      </c>
      <c r="GS63">
        <v>1</v>
      </c>
      <c r="GT63">
        <v>0</v>
      </c>
      <c r="GU63" t="s">
        <v>3</v>
      </c>
      <c r="GV63">
        <f>ROUND((GT63),6)</f>
        <v>0</v>
      </c>
      <c r="GW63">
        <v>1</v>
      </c>
      <c r="GX63">
        <f t="shared" si="50"/>
        <v>0</v>
      </c>
      <c r="HA63">
        <v>0</v>
      </c>
      <c r="HB63">
        <v>0</v>
      </c>
      <c r="HC63">
        <f t="shared" si="51"/>
        <v>0</v>
      </c>
      <c r="IK63">
        <v>0</v>
      </c>
    </row>
    <row r="65" spans="1:206" x14ac:dyDescent="0.2">
      <c r="A65">
        <v>51</v>
      </c>
      <c r="B65">
        <f>B24</f>
        <v>1</v>
      </c>
      <c r="C65">
        <f>A24</f>
        <v>4</v>
      </c>
      <c r="D65">
        <f>ROW(A24)</f>
        <v>24</v>
      </c>
      <c r="F65" t="str">
        <f>IF(F24&lt;&gt;"",F24,"")</f>
        <v>Новый раздел</v>
      </c>
      <c r="G65" t="str">
        <f>IF(G24&lt;&gt;"",G24,"")</f>
        <v>Демонтаж покрытий</v>
      </c>
      <c r="H65">
        <v>0</v>
      </c>
      <c r="O65">
        <f t="shared" ref="O65:T65" si="69">ROUND(AB65,2)</f>
        <v>284001.46000000002</v>
      </c>
      <c r="P65">
        <f t="shared" si="69"/>
        <v>15919.8</v>
      </c>
      <c r="Q65">
        <f t="shared" si="69"/>
        <v>208643.18</v>
      </c>
      <c r="R65">
        <f t="shared" si="69"/>
        <v>110793.59</v>
      </c>
      <c r="S65">
        <f t="shared" si="69"/>
        <v>59438.48</v>
      </c>
      <c r="T65">
        <f t="shared" si="69"/>
        <v>0</v>
      </c>
      <c r="U65">
        <f>AH65</f>
        <v>305.22513576</v>
      </c>
      <c r="V65">
        <f>AI65</f>
        <v>0</v>
      </c>
      <c r="W65">
        <f>ROUND(AJ65,2)</f>
        <v>0</v>
      </c>
      <c r="X65">
        <f>ROUND(AK65,2)</f>
        <v>41606.94</v>
      </c>
      <c r="Y65">
        <f>ROUND(AL65,2)</f>
        <v>5943.85</v>
      </c>
      <c r="AB65">
        <f>ROUND(SUMIF(AA28:AA63,"=71209905",O28:O63),2)</f>
        <v>284001.46000000002</v>
      </c>
      <c r="AC65">
        <f>ROUND(SUMIF(AA28:AA63,"=71209905",P28:P63),2)</f>
        <v>15919.8</v>
      </c>
      <c r="AD65">
        <f>ROUND(SUMIF(AA28:AA63,"=71209905",Q28:Q63),2)</f>
        <v>208643.18</v>
      </c>
      <c r="AE65">
        <f>ROUND(SUMIF(AA28:AA63,"=71209905",R28:R63),2)</f>
        <v>110793.59</v>
      </c>
      <c r="AF65">
        <f>ROUND(SUMIF(AA28:AA63,"=71209905",S28:S63),2)</f>
        <v>59438.48</v>
      </c>
      <c r="AG65">
        <f>ROUND(SUMIF(AA28:AA63,"=71209905",T28:T63),2)</f>
        <v>0</v>
      </c>
      <c r="AH65">
        <f>SUMIF(AA28:AA63,"=71209905",U28:U63)</f>
        <v>305.22513576</v>
      </c>
      <c r="AI65">
        <f>SUMIF(AA28:AA63,"=71209905",V28:V63)</f>
        <v>0</v>
      </c>
      <c r="AJ65">
        <f>ROUND(SUMIF(AA28:AA63,"=71209905",W28:W63),2)</f>
        <v>0</v>
      </c>
      <c r="AK65">
        <f>ROUND(SUMIF(AA28:AA63,"=71209905",X28:X63),2)</f>
        <v>41606.94</v>
      </c>
      <c r="AL65">
        <f>ROUND(SUMIF(AA28:AA63,"=71209905",Y28:Y63),2)</f>
        <v>5943.85</v>
      </c>
      <c r="AO65">
        <f t="shared" ref="AO65:BD65" si="70">ROUND(BX65,2)</f>
        <v>0</v>
      </c>
      <c r="AP65">
        <f t="shared" si="70"/>
        <v>0</v>
      </c>
      <c r="AQ65">
        <f t="shared" si="70"/>
        <v>0</v>
      </c>
      <c r="AR65">
        <f t="shared" si="70"/>
        <v>337601.99</v>
      </c>
      <c r="AS65">
        <f t="shared" si="70"/>
        <v>15919.8</v>
      </c>
      <c r="AT65">
        <f t="shared" si="70"/>
        <v>0</v>
      </c>
      <c r="AU65">
        <f t="shared" si="70"/>
        <v>321682.19</v>
      </c>
      <c r="AV65">
        <f t="shared" si="70"/>
        <v>15919.8</v>
      </c>
      <c r="AW65">
        <f t="shared" si="70"/>
        <v>15919.8</v>
      </c>
      <c r="AX65">
        <f t="shared" si="70"/>
        <v>0</v>
      </c>
      <c r="AY65">
        <f t="shared" si="70"/>
        <v>15919.8</v>
      </c>
      <c r="AZ65">
        <f t="shared" si="70"/>
        <v>0</v>
      </c>
      <c r="BA65">
        <f t="shared" si="70"/>
        <v>0</v>
      </c>
      <c r="BB65">
        <f t="shared" si="70"/>
        <v>0</v>
      </c>
      <c r="BC65">
        <f t="shared" si="70"/>
        <v>0</v>
      </c>
      <c r="BD65">
        <f t="shared" si="70"/>
        <v>0</v>
      </c>
      <c r="BX65">
        <f>ROUND(SUMIF(AA28:AA63,"=71209905",FQ28:FQ63),2)</f>
        <v>0</v>
      </c>
      <c r="BY65">
        <f>ROUND(SUMIF(AA28:AA63,"=71209905",FR28:FR63),2)</f>
        <v>0</v>
      </c>
      <c r="BZ65">
        <f>ROUND(SUMIF(AA28:AA63,"=71209905",GL28:GL63),2)</f>
        <v>0</v>
      </c>
      <c r="CA65">
        <f>ROUND(SUMIF(AA28:AA63,"=71209905",GM28:GM63),2)</f>
        <v>337601.99</v>
      </c>
      <c r="CB65">
        <f>ROUND(SUMIF(AA28:AA63,"=71209905",GN28:GN63),2)</f>
        <v>15919.8</v>
      </c>
      <c r="CC65">
        <f>ROUND(SUMIF(AA28:AA63,"=71209905",GO28:GO63),2)</f>
        <v>0</v>
      </c>
      <c r="CD65">
        <f>ROUND(SUMIF(AA28:AA63,"=71209905",GP28:GP63),2)</f>
        <v>321682.19</v>
      </c>
      <c r="CE65">
        <f>AC65-BX65</f>
        <v>15919.8</v>
      </c>
      <c r="CF65">
        <f>AC65-BY65</f>
        <v>15919.8</v>
      </c>
      <c r="CG65">
        <f>BX65-BZ65</f>
        <v>0</v>
      </c>
      <c r="CH65">
        <f>AC65-BX65-BY65+BZ65</f>
        <v>15919.8</v>
      </c>
      <c r="CI65">
        <f>BY65-BZ65</f>
        <v>0</v>
      </c>
      <c r="CJ65">
        <f>ROUND(SUMIF(AA28:AA63,"=71209905",GX28:GX63),2)</f>
        <v>0</v>
      </c>
      <c r="CK65">
        <f>ROUND(SUMIF(AA28:AA63,"=71209905",GY28:GY63),2)</f>
        <v>0</v>
      </c>
      <c r="CL65">
        <f>ROUND(SUMIF(AA28:AA63,"=71209905",GZ28:GZ63),2)</f>
        <v>0</v>
      </c>
      <c r="CM65">
        <f>ROUND(SUMIF(AA28:AA63,"=71209905",HD28:HD63),2)</f>
        <v>0</v>
      </c>
      <c r="GX65">
        <v>0</v>
      </c>
    </row>
    <row r="67" spans="1:206" x14ac:dyDescent="0.2">
      <c r="A67">
        <v>50</v>
      </c>
      <c r="B67">
        <v>0</v>
      </c>
      <c r="C67">
        <v>0</v>
      </c>
      <c r="D67">
        <v>1</v>
      </c>
      <c r="E67">
        <v>201</v>
      </c>
      <c r="F67">
        <f>ROUND(Source!O65,O67)</f>
        <v>284001.46000000002</v>
      </c>
      <c r="G67" t="s">
        <v>142</v>
      </c>
      <c r="H67" t="s">
        <v>143</v>
      </c>
      <c r="K67">
        <v>201</v>
      </c>
      <c r="L67">
        <v>1</v>
      </c>
      <c r="M67">
        <v>3</v>
      </c>
      <c r="N67" t="s">
        <v>3</v>
      </c>
      <c r="O67">
        <v>2</v>
      </c>
    </row>
    <row r="68" spans="1:206" x14ac:dyDescent="0.2">
      <c r="A68">
        <v>50</v>
      </c>
      <c r="B68">
        <v>0</v>
      </c>
      <c r="C68">
        <v>0</v>
      </c>
      <c r="D68">
        <v>1</v>
      </c>
      <c r="E68">
        <v>202</v>
      </c>
      <c r="F68">
        <f>ROUND(Source!P65,O68)</f>
        <v>15919.8</v>
      </c>
      <c r="G68" t="s">
        <v>144</v>
      </c>
      <c r="H68" t="s">
        <v>145</v>
      </c>
      <c r="K68">
        <v>202</v>
      </c>
      <c r="L68">
        <v>2</v>
      </c>
      <c r="M68">
        <v>3</v>
      </c>
      <c r="N68" t="s">
        <v>3</v>
      </c>
      <c r="O68">
        <v>2</v>
      </c>
    </row>
    <row r="69" spans="1:206" x14ac:dyDescent="0.2">
      <c r="A69">
        <v>50</v>
      </c>
      <c r="B69">
        <v>0</v>
      </c>
      <c r="C69">
        <v>0</v>
      </c>
      <c r="D69">
        <v>1</v>
      </c>
      <c r="E69">
        <v>222</v>
      </c>
      <c r="F69">
        <f>ROUND(Source!AO65,O69)</f>
        <v>0</v>
      </c>
      <c r="G69" t="s">
        <v>146</v>
      </c>
      <c r="H69" t="s">
        <v>147</v>
      </c>
      <c r="K69">
        <v>222</v>
      </c>
      <c r="L69">
        <v>3</v>
      </c>
      <c r="M69">
        <v>3</v>
      </c>
      <c r="N69" t="s">
        <v>3</v>
      </c>
      <c r="O69">
        <v>2</v>
      </c>
    </row>
    <row r="70" spans="1:206" x14ac:dyDescent="0.2">
      <c r="A70">
        <v>50</v>
      </c>
      <c r="B70">
        <v>0</v>
      </c>
      <c r="C70">
        <v>0</v>
      </c>
      <c r="D70">
        <v>1</v>
      </c>
      <c r="E70">
        <v>225</v>
      </c>
      <c r="F70">
        <f>ROUND(Source!AV65,O70)</f>
        <v>15919.8</v>
      </c>
      <c r="G70" t="s">
        <v>148</v>
      </c>
      <c r="H70" t="s">
        <v>149</v>
      </c>
      <c r="K70">
        <v>225</v>
      </c>
      <c r="L70">
        <v>4</v>
      </c>
      <c r="M70">
        <v>3</v>
      </c>
      <c r="N70" t="s">
        <v>3</v>
      </c>
      <c r="O70">
        <v>2</v>
      </c>
    </row>
    <row r="71" spans="1:206" x14ac:dyDescent="0.2">
      <c r="A71">
        <v>50</v>
      </c>
      <c r="B71">
        <v>0</v>
      </c>
      <c r="C71">
        <v>0</v>
      </c>
      <c r="D71">
        <v>1</v>
      </c>
      <c r="E71">
        <v>226</v>
      </c>
      <c r="F71">
        <f>ROUND(Source!AW65,O71)</f>
        <v>15919.8</v>
      </c>
      <c r="G71" t="s">
        <v>150</v>
      </c>
      <c r="H71" t="s">
        <v>151</v>
      </c>
      <c r="K71">
        <v>226</v>
      </c>
      <c r="L71">
        <v>5</v>
      </c>
      <c r="M71">
        <v>3</v>
      </c>
      <c r="N71" t="s">
        <v>3</v>
      </c>
      <c r="O71">
        <v>2</v>
      </c>
    </row>
    <row r="72" spans="1:206" x14ac:dyDescent="0.2">
      <c r="A72">
        <v>50</v>
      </c>
      <c r="B72">
        <v>0</v>
      </c>
      <c r="C72">
        <v>0</v>
      </c>
      <c r="D72">
        <v>1</v>
      </c>
      <c r="E72">
        <v>227</v>
      </c>
      <c r="F72">
        <f>ROUND(Source!AX65,O72)</f>
        <v>0</v>
      </c>
      <c r="G72" t="s">
        <v>152</v>
      </c>
      <c r="H72" t="s">
        <v>153</v>
      </c>
      <c r="K72">
        <v>227</v>
      </c>
      <c r="L72">
        <v>6</v>
      </c>
      <c r="M72">
        <v>3</v>
      </c>
      <c r="N72" t="s">
        <v>3</v>
      </c>
      <c r="O72">
        <v>2</v>
      </c>
    </row>
    <row r="73" spans="1:206" x14ac:dyDescent="0.2">
      <c r="A73">
        <v>50</v>
      </c>
      <c r="B73">
        <v>0</v>
      </c>
      <c r="C73">
        <v>0</v>
      </c>
      <c r="D73">
        <v>1</v>
      </c>
      <c r="E73">
        <v>228</v>
      </c>
      <c r="F73">
        <f>ROUND(Source!AY65,O73)</f>
        <v>15919.8</v>
      </c>
      <c r="G73" t="s">
        <v>154</v>
      </c>
      <c r="H73" t="s">
        <v>155</v>
      </c>
      <c r="K73">
        <v>228</v>
      </c>
      <c r="L73">
        <v>7</v>
      </c>
      <c r="M73">
        <v>3</v>
      </c>
      <c r="N73" t="s">
        <v>3</v>
      </c>
      <c r="O73">
        <v>2</v>
      </c>
    </row>
    <row r="74" spans="1:206" x14ac:dyDescent="0.2">
      <c r="A74">
        <v>50</v>
      </c>
      <c r="B74">
        <v>0</v>
      </c>
      <c r="C74">
        <v>0</v>
      </c>
      <c r="D74">
        <v>1</v>
      </c>
      <c r="E74">
        <v>216</v>
      </c>
      <c r="F74">
        <f>ROUND(Source!AP65,O74)</f>
        <v>0</v>
      </c>
      <c r="G74" t="s">
        <v>156</v>
      </c>
      <c r="H74" t="s">
        <v>157</v>
      </c>
      <c r="K74">
        <v>216</v>
      </c>
      <c r="L74">
        <v>8</v>
      </c>
      <c r="M74">
        <v>3</v>
      </c>
      <c r="N74" t="s">
        <v>3</v>
      </c>
      <c r="O74">
        <v>2</v>
      </c>
    </row>
    <row r="75" spans="1:206" x14ac:dyDescent="0.2">
      <c r="A75">
        <v>50</v>
      </c>
      <c r="B75">
        <v>0</v>
      </c>
      <c r="C75">
        <v>0</v>
      </c>
      <c r="D75">
        <v>1</v>
      </c>
      <c r="E75">
        <v>223</v>
      </c>
      <c r="F75">
        <f>ROUND(Source!AQ65,O75)</f>
        <v>0</v>
      </c>
      <c r="G75" t="s">
        <v>158</v>
      </c>
      <c r="H75" t="s">
        <v>159</v>
      </c>
      <c r="K75">
        <v>223</v>
      </c>
      <c r="L75">
        <v>9</v>
      </c>
      <c r="M75">
        <v>3</v>
      </c>
      <c r="N75" t="s">
        <v>3</v>
      </c>
      <c r="O75">
        <v>2</v>
      </c>
    </row>
    <row r="76" spans="1:206" x14ac:dyDescent="0.2">
      <c r="A76">
        <v>50</v>
      </c>
      <c r="B76">
        <v>0</v>
      </c>
      <c r="C76">
        <v>0</v>
      </c>
      <c r="D76">
        <v>1</v>
      </c>
      <c r="E76">
        <v>229</v>
      </c>
      <c r="F76">
        <f>ROUND(Source!AZ65,O76)</f>
        <v>0</v>
      </c>
      <c r="G76" t="s">
        <v>160</v>
      </c>
      <c r="H76" t="s">
        <v>161</v>
      </c>
      <c r="K76">
        <v>229</v>
      </c>
      <c r="L76">
        <v>10</v>
      </c>
      <c r="M76">
        <v>3</v>
      </c>
      <c r="N76" t="s">
        <v>3</v>
      </c>
      <c r="O76">
        <v>2</v>
      </c>
    </row>
    <row r="77" spans="1:206" x14ac:dyDescent="0.2">
      <c r="A77">
        <v>50</v>
      </c>
      <c r="B77">
        <v>0</v>
      </c>
      <c r="C77">
        <v>0</v>
      </c>
      <c r="D77">
        <v>1</v>
      </c>
      <c r="E77">
        <v>203</v>
      </c>
      <c r="F77">
        <f>ROUND(Source!Q65,O77)</f>
        <v>208643.18</v>
      </c>
      <c r="G77" t="s">
        <v>162</v>
      </c>
      <c r="H77" t="s">
        <v>163</v>
      </c>
      <c r="K77">
        <v>203</v>
      </c>
      <c r="L77">
        <v>11</v>
      </c>
      <c r="M77">
        <v>3</v>
      </c>
      <c r="N77" t="s">
        <v>3</v>
      </c>
      <c r="O77">
        <v>2</v>
      </c>
    </row>
    <row r="78" spans="1:206" x14ac:dyDescent="0.2">
      <c r="A78">
        <v>50</v>
      </c>
      <c r="B78">
        <v>0</v>
      </c>
      <c r="C78">
        <v>0</v>
      </c>
      <c r="D78">
        <v>1</v>
      </c>
      <c r="E78">
        <v>231</v>
      </c>
      <c r="F78">
        <f>ROUND(Source!BB65,O78)</f>
        <v>0</v>
      </c>
      <c r="G78" t="s">
        <v>164</v>
      </c>
      <c r="H78" t="s">
        <v>165</v>
      </c>
      <c r="K78">
        <v>231</v>
      </c>
      <c r="L78">
        <v>12</v>
      </c>
      <c r="M78">
        <v>3</v>
      </c>
      <c r="N78" t="s">
        <v>3</v>
      </c>
      <c r="O78">
        <v>2</v>
      </c>
    </row>
    <row r="79" spans="1:206" x14ac:dyDescent="0.2">
      <c r="A79">
        <v>50</v>
      </c>
      <c r="B79">
        <v>0</v>
      </c>
      <c r="C79">
        <v>0</v>
      </c>
      <c r="D79">
        <v>1</v>
      </c>
      <c r="E79">
        <v>204</v>
      </c>
      <c r="F79">
        <f>ROUND(Source!R65,O79)</f>
        <v>110793.59</v>
      </c>
      <c r="G79" t="s">
        <v>166</v>
      </c>
      <c r="H79" t="s">
        <v>167</v>
      </c>
      <c r="K79">
        <v>204</v>
      </c>
      <c r="L79">
        <v>13</v>
      </c>
      <c r="M79">
        <v>3</v>
      </c>
      <c r="N79" t="s">
        <v>3</v>
      </c>
      <c r="O79">
        <v>2</v>
      </c>
    </row>
    <row r="80" spans="1:206" x14ac:dyDescent="0.2">
      <c r="A80">
        <v>50</v>
      </c>
      <c r="B80">
        <v>0</v>
      </c>
      <c r="C80">
        <v>0</v>
      </c>
      <c r="D80">
        <v>1</v>
      </c>
      <c r="E80">
        <v>205</v>
      </c>
      <c r="F80">
        <f>ROUND(Source!S65,O80)</f>
        <v>59438.48</v>
      </c>
      <c r="G80" t="s">
        <v>168</v>
      </c>
      <c r="H80" t="s">
        <v>169</v>
      </c>
      <c r="K80">
        <v>205</v>
      </c>
      <c r="L80">
        <v>14</v>
      </c>
      <c r="M80">
        <v>3</v>
      </c>
      <c r="N80" t="s">
        <v>3</v>
      </c>
      <c r="O80">
        <v>2</v>
      </c>
    </row>
    <row r="81" spans="1:88" x14ac:dyDescent="0.2">
      <c r="A81">
        <v>50</v>
      </c>
      <c r="B81">
        <v>0</v>
      </c>
      <c r="C81">
        <v>0</v>
      </c>
      <c r="D81">
        <v>1</v>
      </c>
      <c r="E81">
        <v>232</v>
      </c>
      <c r="F81">
        <f>ROUND(Source!BC65,O81)</f>
        <v>0</v>
      </c>
      <c r="G81" t="s">
        <v>170</v>
      </c>
      <c r="H81" t="s">
        <v>171</v>
      </c>
      <c r="K81">
        <v>232</v>
      </c>
      <c r="L81">
        <v>15</v>
      </c>
      <c r="M81">
        <v>3</v>
      </c>
      <c r="N81" t="s">
        <v>3</v>
      </c>
      <c r="O81">
        <v>2</v>
      </c>
    </row>
    <row r="82" spans="1:88" x14ac:dyDescent="0.2">
      <c r="A82">
        <v>50</v>
      </c>
      <c r="B82">
        <v>0</v>
      </c>
      <c r="C82">
        <v>0</v>
      </c>
      <c r="D82">
        <v>1</v>
      </c>
      <c r="E82">
        <v>214</v>
      </c>
      <c r="F82">
        <f>ROUND(Source!AS65,O82)</f>
        <v>15919.8</v>
      </c>
      <c r="G82" t="s">
        <v>172</v>
      </c>
      <c r="H82" t="s">
        <v>173</v>
      </c>
      <c r="K82">
        <v>214</v>
      </c>
      <c r="L82">
        <v>16</v>
      </c>
      <c r="M82">
        <v>3</v>
      </c>
      <c r="N82" t="s">
        <v>3</v>
      </c>
      <c r="O82">
        <v>2</v>
      </c>
    </row>
    <row r="83" spans="1:88" x14ac:dyDescent="0.2">
      <c r="A83">
        <v>50</v>
      </c>
      <c r="B83">
        <v>0</v>
      </c>
      <c r="C83">
        <v>0</v>
      </c>
      <c r="D83">
        <v>1</v>
      </c>
      <c r="E83">
        <v>215</v>
      </c>
      <c r="F83">
        <f>ROUND(Source!AT65,O83)</f>
        <v>0</v>
      </c>
      <c r="G83" t="s">
        <v>174</v>
      </c>
      <c r="H83" t="s">
        <v>175</v>
      </c>
      <c r="K83">
        <v>215</v>
      </c>
      <c r="L83">
        <v>17</v>
      </c>
      <c r="M83">
        <v>3</v>
      </c>
      <c r="N83" t="s">
        <v>3</v>
      </c>
      <c r="O83">
        <v>2</v>
      </c>
    </row>
    <row r="84" spans="1:88" x14ac:dyDescent="0.2">
      <c r="A84">
        <v>50</v>
      </c>
      <c r="B84">
        <v>0</v>
      </c>
      <c r="C84">
        <v>0</v>
      </c>
      <c r="D84">
        <v>1</v>
      </c>
      <c r="E84">
        <v>217</v>
      </c>
      <c r="F84">
        <f>ROUND(Source!AU65,O84)</f>
        <v>321682.19</v>
      </c>
      <c r="G84" t="s">
        <v>176</v>
      </c>
      <c r="H84" t="s">
        <v>177</v>
      </c>
      <c r="K84">
        <v>217</v>
      </c>
      <c r="L84">
        <v>18</v>
      </c>
      <c r="M84">
        <v>3</v>
      </c>
      <c r="N84" t="s">
        <v>3</v>
      </c>
      <c r="O84">
        <v>2</v>
      </c>
    </row>
    <row r="85" spans="1:88" x14ac:dyDescent="0.2">
      <c r="A85">
        <v>50</v>
      </c>
      <c r="B85">
        <v>0</v>
      </c>
      <c r="C85">
        <v>0</v>
      </c>
      <c r="D85">
        <v>1</v>
      </c>
      <c r="E85">
        <v>230</v>
      </c>
      <c r="F85">
        <f>ROUND(Source!BA65,O85)</f>
        <v>0</v>
      </c>
      <c r="G85" t="s">
        <v>178</v>
      </c>
      <c r="H85" t="s">
        <v>179</v>
      </c>
      <c r="K85">
        <v>230</v>
      </c>
      <c r="L85">
        <v>19</v>
      </c>
      <c r="M85">
        <v>3</v>
      </c>
      <c r="N85" t="s">
        <v>3</v>
      </c>
      <c r="O85">
        <v>2</v>
      </c>
    </row>
    <row r="86" spans="1:88" x14ac:dyDescent="0.2">
      <c r="A86">
        <v>50</v>
      </c>
      <c r="B86">
        <v>0</v>
      </c>
      <c r="C86">
        <v>0</v>
      </c>
      <c r="D86">
        <v>1</v>
      </c>
      <c r="E86">
        <v>206</v>
      </c>
      <c r="F86">
        <f>ROUND(Source!T65,O86)</f>
        <v>0</v>
      </c>
      <c r="G86" t="s">
        <v>180</v>
      </c>
      <c r="H86" t="s">
        <v>181</v>
      </c>
      <c r="K86">
        <v>206</v>
      </c>
      <c r="L86">
        <v>20</v>
      </c>
      <c r="M86">
        <v>3</v>
      </c>
      <c r="N86" t="s">
        <v>3</v>
      </c>
      <c r="O86">
        <v>2</v>
      </c>
    </row>
    <row r="87" spans="1:88" x14ac:dyDescent="0.2">
      <c r="A87">
        <v>50</v>
      </c>
      <c r="B87">
        <v>0</v>
      </c>
      <c r="C87">
        <v>0</v>
      </c>
      <c r="D87">
        <v>1</v>
      </c>
      <c r="E87">
        <v>207</v>
      </c>
      <c r="F87">
        <f>Source!U65</f>
        <v>305.22513576</v>
      </c>
      <c r="G87" t="s">
        <v>182</v>
      </c>
      <c r="H87" t="s">
        <v>183</v>
      </c>
      <c r="K87">
        <v>207</v>
      </c>
      <c r="L87">
        <v>21</v>
      </c>
      <c r="M87">
        <v>3</v>
      </c>
      <c r="N87" t="s">
        <v>3</v>
      </c>
      <c r="O87">
        <v>-1</v>
      </c>
    </row>
    <row r="88" spans="1:88" x14ac:dyDescent="0.2">
      <c r="A88">
        <v>50</v>
      </c>
      <c r="B88">
        <v>0</v>
      </c>
      <c r="C88">
        <v>0</v>
      </c>
      <c r="D88">
        <v>1</v>
      </c>
      <c r="E88">
        <v>208</v>
      </c>
      <c r="F88">
        <f>Source!V65</f>
        <v>0</v>
      </c>
      <c r="G88" t="s">
        <v>184</v>
      </c>
      <c r="H88" t="s">
        <v>185</v>
      </c>
      <c r="K88">
        <v>208</v>
      </c>
      <c r="L88">
        <v>22</v>
      </c>
      <c r="M88">
        <v>3</v>
      </c>
      <c r="N88" t="s">
        <v>3</v>
      </c>
      <c r="O88">
        <v>-1</v>
      </c>
    </row>
    <row r="89" spans="1:88" x14ac:dyDescent="0.2">
      <c r="A89">
        <v>50</v>
      </c>
      <c r="B89">
        <v>0</v>
      </c>
      <c r="C89">
        <v>0</v>
      </c>
      <c r="D89">
        <v>1</v>
      </c>
      <c r="E89">
        <v>209</v>
      </c>
      <c r="F89">
        <f>ROUND(Source!W65,O89)</f>
        <v>0</v>
      </c>
      <c r="G89" t="s">
        <v>186</v>
      </c>
      <c r="H89" t="s">
        <v>187</v>
      </c>
      <c r="K89">
        <v>209</v>
      </c>
      <c r="L89">
        <v>23</v>
      </c>
      <c r="M89">
        <v>3</v>
      </c>
      <c r="N89" t="s">
        <v>3</v>
      </c>
      <c r="O89">
        <v>2</v>
      </c>
    </row>
    <row r="90" spans="1:88" x14ac:dyDescent="0.2">
      <c r="A90">
        <v>50</v>
      </c>
      <c r="B90">
        <v>0</v>
      </c>
      <c r="C90">
        <v>0</v>
      </c>
      <c r="D90">
        <v>1</v>
      </c>
      <c r="E90">
        <v>233</v>
      </c>
      <c r="F90">
        <f>ROUND(Source!BD65,O90)</f>
        <v>0</v>
      </c>
      <c r="G90" t="s">
        <v>188</v>
      </c>
      <c r="H90" t="s">
        <v>189</v>
      </c>
      <c r="K90">
        <v>233</v>
      </c>
      <c r="L90">
        <v>24</v>
      </c>
      <c r="M90">
        <v>3</v>
      </c>
      <c r="N90" t="s">
        <v>3</v>
      </c>
      <c r="O90">
        <v>2</v>
      </c>
    </row>
    <row r="91" spans="1:88" x14ac:dyDescent="0.2">
      <c r="A91">
        <v>50</v>
      </c>
      <c r="B91">
        <v>0</v>
      </c>
      <c r="C91">
        <v>0</v>
      </c>
      <c r="D91">
        <v>1</v>
      </c>
      <c r="E91">
        <v>210</v>
      </c>
      <c r="F91">
        <f>ROUND(Source!X65,O91)</f>
        <v>41606.94</v>
      </c>
      <c r="G91" t="s">
        <v>190</v>
      </c>
      <c r="H91" t="s">
        <v>191</v>
      </c>
      <c r="K91">
        <v>210</v>
      </c>
      <c r="L91">
        <v>25</v>
      </c>
      <c r="M91">
        <v>3</v>
      </c>
      <c r="N91" t="s">
        <v>3</v>
      </c>
      <c r="O91">
        <v>2</v>
      </c>
    </row>
    <row r="92" spans="1:88" x14ac:dyDescent="0.2">
      <c r="A92">
        <v>50</v>
      </c>
      <c r="B92">
        <v>0</v>
      </c>
      <c r="C92">
        <v>0</v>
      </c>
      <c r="D92">
        <v>1</v>
      </c>
      <c r="E92">
        <v>211</v>
      </c>
      <c r="F92">
        <f>ROUND(Source!Y65,O92)</f>
        <v>5943.85</v>
      </c>
      <c r="G92" t="s">
        <v>192</v>
      </c>
      <c r="H92" t="s">
        <v>193</v>
      </c>
      <c r="K92">
        <v>211</v>
      </c>
      <c r="L92">
        <v>26</v>
      </c>
      <c r="M92">
        <v>3</v>
      </c>
      <c r="N92" t="s">
        <v>3</v>
      </c>
      <c r="O92">
        <v>2</v>
      </c>
    </row>
    <row r="93" spans="1:88" x14ac:dyDescent="0.2">
      <c r="A93">
        <v>50</v>
      </c>
      <c r="B93">
        <v>0</v>
      </c>
      <c r="C93">
        <v>0</v>
      </c>
      <c r="D93">
        <v>1</v>
      </c>
      <c r="E93">
        <v>224</v>
      </c>
      <c r="F93">
        <f>ROUND(Source!AR65,O93)</f>
        <v>337601.99</v>
      </c>
      <c r="G93" t="s">
        <v>194</v>
      </c>
      <c r="H93" t="s">
        <v>195</v>
      </c>
      <c r="K93">
        <v>224</v>
      </c>
      <c r="L93">
        <v>27</v>
      </c>
      <c r="M93">
        <v>3</v>
      </c>
      <c r="N93" t="s">
        <v>3</v>
      </c>
      <c r="O93">
        <v>2</v>
      </c>
    </row>
    <row r="95" spans="1:88" x14ac:dyDescent="0.2">
      <c r="A95">
        <v>4</v>
      </c>
      <c r="B95">
        <v>1</v>
      </c>
      <c r="D95">
        <f>ROW(A128)</f>
        <v>128</v>
      </c>
      <c r="F95" t="s">
        <v>14</v>
      </c>
      <c r="G95" t="s">
        <v>196</v>
      </c>
      <c r="H95" t="s">
        <v>3</v>
      </c>
      <c r="I95">
        <v>0</v>
      </c>
      <c r="K95">
        <v>0</v>
      </c>
      <c r="U95" t="s">
        <v>3</v>
      </c>
      <c r="V95">
        <v>0</v>
      </c>
      <c r="AB95" t="s">
        <v>3</v>
      </c>
      <c r="AC95" t="s">
        <v>3</v>
      </c>
      <c r="AD95" t="s">
        <v>3</v>
      </c>
      <c r="AE95" t="s">
        <v>3</v>
      </c>
      <c r="AF95" t="s">
        <v>3</v>
      </c>
      <c r="AG95" t="s">
        <v>3</v>
      </c>
      <c r="AP95" t="s">
        <v>3</v>
      </c>
      <c r="AQ95" t="s">
        <v>3</v>
      </c>
      <c r="AR95" t="s">
        <v>3</v>
      </c>
      <c r="AZ95" t="s">
        <v>3</v>
      </c>
      <c r="BB95" t="s">
        <v>3</v>
      </c>
      <c r="BC95" t="s">
        <v>3</v>
      </c>
      <c r="BD95" t="s">
        <v>3</v>
      </c>
      <c r="BE95" t="s">
        <v>3</v>
      </c>
      <c r="BF95" t="s">
        <v>3</v>
      </c>
      <c r="BG95" t="s">
        <v>3</v>
      </c>
      <c r="BH95" t="s">
        <v>3</v>
      </c>
      <c r="BI95" t="s">
        <v>3</v>
      </c>
      <c r="BJ95" t="s">
        <v>3</v>
      </c>
      <c r="BK95" t="s">
        <v>3</v>
      </c>
      <c r="BL95" t="s">
        <v>3</v>
      </c>
      <c r="BM95" t="s">
        <v>3</v>
      </c>
      <c r="BN95" t="s">
        <v>3</v>
      </c>
      <c r="BO95" t="s">
        <v>3</v>
      </c>
      <c r="BP95" t="s">
        <v>3</v>
      </c>
      <c r="BX95">
        <v>0</v>
      </c>
      <c r="CJ95">
        <v>0</v>
      </c>
    </row>
    <row r="97" spans="1:245" x14ac:dyDescent="0.2">
      <c r="A97">
        <v>52</v>
      </c>
      <c r="B97">
        <f t="shared" ref="B97:G97" si="71">B128</f>
        <v>1</v>
      </c>
      <c r="C97">
        <f t="shared" si="71"/>
        <v>4</v>
      </c>
      <c r="D97">
        <f t="shared" si="71"/>
        <v>95</v>
      </c>
      <c r="E97">
        <f t="shared" si="71"/>
        <v>0</v>
      </c>
      <c r="F97" t="str">
        <f t="shared" si="71"/>
        <v>Новый раздел</v>
      </c>
      <c r="G97" t="str">
        <f t="shared" si="71"/>
        <v>Демонтаж МАФ</v>
      </c>
      <c r="O97">
        <f t="shared" ref="O97:AT97" si="72">O128</f>
        <v>14028.74</v>
      </c>
      <c r="P97">
        <f t="shared" si="72"/>
        <v>621.86</v>
      </c>
      <c r="Q97">
        <f t="shared" si="72"/>
        <v>8919.9599999999991</v>
      </c>
      <c r="R97">
        <f t="shared" si="72"/>
        <v>4633.29</v>
      </c>
      <c r="S97">
        <f t="shared" si="72"/>
        <v>4486.92</v>
      </c>
      <c r="T97">
        <f t="shared" si="72"/>
        <v>0</v>
      </c>
      <c r="U97">
        <f t="shared" si="72"/>
        <v>22.794724000000002</v>
      </c>
      <c r="V97">
        <f t="shared" si="72"/>
        <v>0</v>
      </c>
      <c r="W97">
        <f t="shared" si="72"/>
        <v>0</v>
      </c>
      <c r="X97">
        <f t="shared" si="72"/>
        <v>3140.85</v>
      </c>
      <c r="Y97">
        <f t="shared" si="72"/>
        <v>448.69</v>
      </c>
      <c r="Z97">
        <f t="shared" si="72"/>
        <v>0</v>
      </c>
      <c r="AA97">
        <f t="shared" si="72"/>
        <v>0</v>
      </c>
      <c r="AB97">
        <f t="shared" si="72"/>
        <v>14028.74</v>
      </c>
      <c r="AC97">
        <f t="shared" si="72"/>
        <v>621.86</v>
      </c>
      <c r="AD97">
        <f t="shared" si="72"/>
        <v>8919.9599999999991</v>
      </c>
      <c r="AE97">
        <f t="shared" si="72"/>
        <v>4633.29</v>
      </c>
      <c r="AF97">
        <f t="shared" si="72"/>
        <v>4486.92</v>
      </c>
      <c r="AG97">
        <f t="shared" si="72"/>
        <v>0</v>
      </c>
      <c r="AH97">
        <f t="shared" si="72"/>
        <v>22.794724000000002</v>
      </c>
      <c r="AI97">
        <f t="shared" si="72"/>
        <v>0</v>
      </c>
      <c r="AJ97">
        <f t="shared" si="72"/>
        <v>0</v>
      </c>
      <c r="AK97">
        <f t="shared" si="72"/>
        <v>3140.85</v>
      </c>
      <c r="AL97">
        <f t="shared" si="72"/>
        <v>448.69</v>
      </c>
      <c r="AM97">
        <f t="shared" si="72"/>
        <v>0</v>
      </c>
      <c r="AN97">
        <f t="shared" si="72"/>
        <v>0</v>
      </c>
      <c r="AO97">
        <f t="shared" si="72"/>
        <v>0</v>
      </c>
      <c r="AP97">
        <f t="shared" si="72"/>
        <v>0</v>
      </c>
      <c r="AQ97">
        <f t="shared" si="72"/>
        <v>0</v>
      </c>
      <c r="AR97">
        <f t="shared" si="72"/>
        <v>17911.439999999999</v>
      </c>
      <c r="AS97">
        <f t="shared" si="72"/>
        <v>621.86</v>
      </c>
      <c r="AT97">
        <f t="shared" si="72"/>
        <v>0</v>
      </c>
      <c r="AU97">
        <f t="shared" ref="AU97:BZ97" si="73">AU128</f>
        <v>17289.580000000002</v>
      </c>
      <c r="AV97">
        <f t="shared" si="73"/>
        <v>621.86</v>
      </c>
      <c r="AW97">
        <f t="shared" si="73"/>
        <v>621.86</v>
      </c>
      <c r="AX97">
        <f t="shared" si="73"/>
        <v>0</v>
      </c>
      <c r="AY97">
        <f t="shared" si="73"/>
        <v>621.86</v>
      </c>
      <c r="AZ97">
        <f t="shared" si="73"/>
        <v>0</v>
      </c>
      <c r="BA97">
        <f t="shared" si="73"/>
        <v>0</v>
      </c>
      <c r="BB97">
        <f t="shared" si="73"/>
        <v>0</v>
      </c>
      <c r="BC97">
        <f t="shared" si="73"/>
        <v>0</v>
      </c>
      <c r="BD97">
        <f t="shared" si="73"/>
        <v>0</v>
      </c>
      <c r="BE97">
        <f t="shared" si="73"/>
        <v>0</v>
      </c>
      <c r="BF97">
        <f t="shared" si="73"/>
        <v>0</v>
      </c>
      <c r="BG97">
        <f t="shared" si="73"/>
        <v>0</v>
      </c>
      <c r="BH97">
        <f t="shared" si="73"/>
        <v>0</v>
      </c>
      <c r="BI97">
        <f t="shared" si="73"/>
        <v>0</v>
      </c>
      <c r="BJ97">
        <f t="shared" si="73"/>
        <v>0</v>
      </c>
      <c r="BK97">
        <f t="shared" si="73"/>
        <v>0</v>
      </c>
      <c r="BL97">
        <f t="shared" si="73"/>
        <v>0</v>
      </c>
      <c r="BM97">
        <f t="shared" si="73"/>
        <v>0</v>
      </c>
      <c r="BN97">
        <f t="shared" si="73"/>
        <v>0</v>
      </c>
      <c r="BO97">
        <f t="shared" si="73"/>
        <v>0</v>
      </c>
      <c r="BP97">
        <f t="shared" si="73"/>
        <v>0</v>
      </c>
      <c r="BQ97">
        <f t="shared" si="73"/>
        <v>0</v>
      </c>
      <c r="BR97">
        <f t="shared" si="73"/>
        <v>0</v>
      </c>
      <c r="BS97">
        <f t="shared" si="73"/>
        <v>0</v>
      </c>
      <c r="BT97">
        <f t="shared" si="73"/>
        <v>0</v>
      </c>
      <c r="BU97">
        <f t="shared" si="73"/>
        <v>0</v>
      </c>
      <c r="BV97">
        <f t="shared" si="73"/>
        <v>0</v>
      </c>
      <c r="BW97">
        <f t="shared" si="73"/>
        <v>0</v>
      </c>
      <c r="BX97">
        <f t="shared" si="73"/>
        <v>0</v>
      </c>
      <c r="BY97">
        <f t="shared" si="73"/>
        <v>0</v>
      </c>
      <c r="BZ97">
        <f t="shared" si="73"/>
        <v>0</v>
      </c>
      <c r="CA97">
        <f t="shared" ref="CA97:DF97" si="74">CA128</f>
        <v>17911.439999999999</v>
      </c>
      <c r="CB97">
        <f t="shared" si="74"/>
        <v>621.86</v>
      </c>
      <c r="CC97">
        <f t="shared" si="74"/>
        <v>0</v>
      </c>
      <c r="CD97">
        <f t="shared" si="74"/>
        <v>17289.580000000002</v>
      </c>
      <c r="CE97">
        <f t="shared" si="74"/>
        <v>621.86</v>
      </c>
      <c r="CF97">
        <f t="shared" si="74"/>
        <v>621.86</v>
      </c>
      <c r="CG97">
        <f t="shared" si="74"/>
        <v>0</v>
      </c>
      <c r="CH97">
        <f t="shared" si="74"/>
        <v>621.86</v>
      </c>
      <c r="CI97">
        <f t="shared" si="74"/>
        <v>0</v>
      </c>
      <c r="CJ97">
        <f t="shared" si="74"/>
        <v>0</v>
      </c>
      <c r="CK97">
        <f t="shared" si="74"/>
        <v>0</v>
      </c>
      <c r="CL97">
        <f t="shared" si="74"/>
        <v>0</v>
      </c>
      <c r="CM97">
        <f t="shared" si="74"/>
        <v>0</v>
      </c>
      <c r="CN97">
        <f t="shared" si="74"/>
        <v>0</v>
      </c>
      <c r="CO97">
        <f t="shared" si="74"/>
        <v>0</v>
      </c>
      <c r="CP97">
        <f t="shared" si="74"/>
        <v>0</v>
      </c>
      <c r="CQ97">
        <f t="shared" si="74"/>
        <v>0</v>
      </c>
      <c r="CR97">
        <f t="shared" si="74"/>
        <v>0</v>
      </c>
      <c r="CS97">
        <f t="shared" si="74"/>
        <v>0</v>
      </c>
      <c r="CT97">
        <f t="shared" si="74"/>
        <v>0</v>
      </c>
      <c r="CU97">
        <f t="shared" si="74"/>
        <v>0</v>
      </c>
      <c r="CV97">
        <f t="shared" si="74"/>
        <v>0</v>
      </c>
      <c r="CW97">
        <f t="shared" si="74"/>
        <v>0</v>
      </c>
      <c r="CX97">
        <f t="shared" si="74"/>
        <v>0</v>
      </c>
      <c r="CY97">
        <f t="shared" si="74"/>
        <v>0</v>
      </c>
      <c r="CZ97">
        <f t="shared" si="74"/>
        <v>0</v>
      </c>
      <c r="DA97">
        <f t="shared" si="74"/>
        <v>0</v>
      </c>
      <c r="DB97">
        <f t="shared" si="74"/>
        <v>0</v>
      </c>
      <c r="DC97">
        <f t="shared" si="74"/>
        <v>0</v>
      </c>
      <c r="DD97">
        <f t="shared" si="74"/>
        <v>0</v>
      </c>
      <c r="DE97">
        <f t="shared" si="74"/>
        <v>0</v>
      </c>
      <c r="DF97">
        <f t="shared" si="74"/>
        <v>0</v>
      </c>
      <c r="DG97">
        <f t="shared" ref="DG97:EL97" si="75">DG128</f>
        <v>0</v>
      </c>
      <c r="DH97">
        <f t="shared" si="75"/>
        <v>0</v>
      </c>
      <c r="DI97">
        <f t="shared" si="75"/>
        <v>0</v>
      </c>
      <c r="DJ97">
        <f t="shared" si="75"/>
        <v>0</v>
      </c>
      <c r="DK97">
        <f t="shared" si="75"/>
        <v>0</v>
      </c>
      <c r="DL97">
        <f t="shared" si="75"/>
        <v>0</v>
      </c>
      <c r="DM97">
        <f t="shared" si="75"/>
        <v>0</v>
      </c>
      <c r="DN97">
        <f t="shared" si="75"/>
        <v>0</v>
      </c>
      <c r="DO97">
        <f t="shared" si="75"/>
        <v>0</v>
      </c>
      <c r="DP97">
        <f t="shared" si="75"/>
        <v>0</v>
      </c>
      <c r="DQ97">
        <f t="shared" si="75"/>
        <v>0</v>
      </c>
      <c r="DR97">
        <f t="shared" si="75"/>
        <v>0</v>
      </c>
      <c r="DS97">
        <f t="shared" si="75"/>
        <v>0</v>
      </c>
      <c r="DT97">
        <f t="shared" si="75"/>
        <v>0</v>
      </c>
      <c r="DU97">
        <f t="shared" si="75"/>
        <v>0</v>
      </c>
      <c r="DV97">
        <f t="shared" si="75"/>
        <v>0</v>
      </c>
      <c r="DW97">
        <f t="shared" si="75"/>
        <v>0</v>
      </c>
      <c r="DX97">
        <f t="shared" si="75"/>
        <v>0</v>
      </c>
      <c r="DY97">
        <f t="shared" si="75"/>
        <v>0</v>
      </c>
      <c r="DZ97">
        <f t="shared" si="75"/>
        <v>0</v>
      </c>
      <c r="EA97">
        <f t="shared" si="75"/>
        <v>0</v>
      </c>
      <c r="EB97">
        <f t="shared" si="75"/>
        <v>0</v>
      </c>
      <c r="EC97">
        <f t="shared" si="75"/>
        <v>0</v>
      </c>
      <c r="ED97">
        <f t="shared" si="75"/>
        <v>0</v>
      </c>
      <c r="EE97">
        <f t="shared" si="75"/>
        <v>0</v>
      </c>
      <c r="EF97">
        <f t="shared" si="75"/>
        <v>0</v>
      </c>
      <c r="EG97">
        <f t="shared" si="75"/>
        <v>0</v>
      </c>
      <c r="EH97">
        <f t="shared" si="75"/>
        <v>0</v>
      </c>
      <c r="EI97">
        <f t="shared" si="75"/>
        <v>0</v>
      </c>
      <c r="EJ97">
        <f t="shared" si="75"/>
        <v>0</v>
      </c>
      <c r="EK97">
        <f t="shared" si="75"/>
        <v>0</v>
      </c>
      <c r="EL97">
        <f t="shared" si="75"/>
        <v>0</v>
      </c>
      <c r="EM97">
        <f t="shared" ref="EM97:FR97" si="76">EM128</f>
        <v>0</v>
      </c>
      <c r="EN97">
        <f t="shared" si="76"/>
        <v>0</v>
      </c>
      <c r="EO97">
        <f t="shared" si="76"/>
        <v>0</v>
      </c>
      <c r="EP97">
        <f t="shared" si="76"/>
        <v>0</v>
      </c>
      <c r="EQ97">
        <f t="shared" si="76"/>
        <v>0</v>
      </c>
      <c r="ER97">
        <f t="shared" si="76"/>
        <v>0</v>
      </c>
      <c r="ES97">
        <f t="shared" si="76"/>
        <v>0</v>
      </c>
      <c r="ET97">
        <f t="shared" si="76"/>
        <v>0</v>
      </c>
      <c r="EU97">
        <f t="shared" si="76"/>
        <v>0</v>
      </c>
      <c r="EV97">
        <f t="shared" si="76"/>
        <v>0</v>
      </c>
      <c r="EW97">
        <f t="shared" si="76"/>
        <v>0</v>
      </c>
      <c r="EX97">
        <f t="shared" si="76"/>
        <v>0</v>
      </c>
      <c r="EY97">
        <f t="shared" si="76"/>
        <v>0</v>
      </c>
      <c r="EZ97">
        <f t="shared" si="76"/>
        <v>0</v>
      </c>
      <c r="FA97">
        <f t="shared" si="76"/>
        <v>0</v>
      </c>
      <c r="FB97">
        <f t="shared" si="76"/>
        <v>0</v>
      </c>
      <c r="FC97">
        <f t="shared" si="76"/>
        <v>0</v>
      </c>
      <c r="FD97">
        <f t="shared" si="76"/>
        <v>0</v>
      </c>
      <c r="FE97">
        <f t="shared" si="76"/>
        <v>0</v>
      </c>
      <c r="FF97">
        <f t="shared" si="76"/>
        <v>0</v>
      </c>
      <c r="FG97">
        <f t="shared" si="76"/>
        <v>0</v>
      </c>
      <c r="FH97">
        <f t="shared" si="76"/>
        <v>0</v>
      </c>
      <c r="FI97">
        <f t="shared" si="76"/>
        <v>0</v>
      </c>
      <c r="FJ97">
        <f t="shared" si="76"/>
        <v>0</v>
      </c>
      <c r="FK97">
        <f t="shared" si="76"/>
        <v>0</v>
      </c>
      <c r="FL97">
        <f t="shared" si="76"/>
        <v>0</v>
      </c>
      <c r="FM97">
        <f t="shared" si="76"/>
        <v>0</v>
      </c>
      <c r="FN97">
        <f t="shared" si="76"/>
        <v>0</v>
      </c>
      <c r="FO97">
        <f t="shared" si="76"/>
        <v>0</v>
      </c>
      <c r="FP97">
        <f t="shared" si="76"/>
        <v>0</v>
      </c>
      <c r="FQ97">
        <f t="shared" si="76"/>
        <v>0</v>
      </c>
      <c r="FR97">
        <f t="shared" si="76"/>
        <v>0</v>
      </c>
      <c r="FS97">
        <f t="shared" ref="FS97:GX97" si="77">FS128</f>
        <v>0</v>
      </c>
      <c r="FT97">
        <f t="shared" si="77"/>
        <v>0</v>
      </c>
      <c r="FU97">
        <f t="shared" si="77"/>
        <v>0</v>
      </c>
      <c r="FV97">
        <f t="shared" si="77"/>
        <v>0</v>
      </c>
      <c r="FW97">
        <f t="shared" si="77"/>
        <v>0</v>
      </c>
      <c r="FX97">
        <f t="shared" si="77"/>
        <v>0</v>
      </c>
      <c r="FY97">
        <f t="shared" si="77"/>
        <v>0</v>
      </c>
      <c r="FZ97">
        <f t="shared" si="77"/>
        <v>0</v>
      </c>
      <c r="GA97">
        <f t="shared" si="77"/>
        <v>0</v>
      </c>
      <c r="GB97">
        <f t="shared" si="77"/>
        <v>0</v>
      </c>
      <c r="GC97">
        <f t="shared" si="77"/>
        <v>0</v>
      </c>
      <c r="GD97">
        <f t="shared" si="77"/>
        <v>0</v>
      </c>
      <c r="GE97">
        <f t="shared" si="77"/>
        <v>0</v>
      </c>
      <c r="GF97">
        <f t="shared" si="77"/>
        <v>0</v>
      </c>
      <c r="GG97">
        <f t="shared" si="77"/>
        <v>0</v>
      </c>
      <c r="GH97">
        <f t="shared" si="77"/>
        <v>0</v>
      </c>
      <c r="GI97">
        <f t="shared" si="77"/>
        <v>0</v>
      </c>
      <c r="GJ97">
        <f t="shared" si="77"/>
        <v>0</v>
      </c>
      <c r="GK97">
        <f t="shared" si="77"/>
        <v>0</v>
      </c>
      <c r="GL97">
        <f t="shared" si="77"/>
        <v>0</v>
      </c>
      <c r="GM97">
        <f t="shared" si="77"/>
        <v>0</v>
      </c>
      <c r="GN97">
        <f t="shared" si="77"/>
        <v>0</v>
      </c>
      <c r="GO97">
        <f t="shared" si="77"/>
        <v>0</v>
      </c>
      <c r="GP97">
        <f t="shared" si="77"/>
        <v>0</v>
      </c>
      <c r="GQ97">
        <f t="shared" si="77"/>
        <v>0</v>
      </c>
      <c r="GR97">
        <f t="shared" si="77"/>
        <v>0</v>
      </c>
      <c r="GS97">
        <f t="shared" si="77"/>
        <v>0</v>
      </c>
      <c r="GT97">
        <f t="shared" si="77"/>
        <v>0</v>
      </c>
      <c r="GU97">
        <f t="shared" si="77"/>
        <v>0</v>
      </c>
      <c r="GV97">
        <f t="shared" si="77"/>
        <v>0</v>
      </c>
      <c r="GW97">
        <f t="shared" si="77"/>
        <v>0</v>
      </c>
      <c r="GX97">
        <f t="shared" si="77"/>
        <v>0</v>
      </c>
    </row>
    <row r="99" spans="1:245" x14ac:dyDescent="0.2">
      <c r="A99">
        <v>17</v>
      </c>
      <c r="B99">
        <v>1</v>
      </c>
      <c r="D99">
        <f>ROW(EtalonRes!A157)</f>
        <v>157</v>
      </c>
      <c r="E99" t="s">
        <v>3</v>
      </c>
      <c r="F99" t="s">
        <v>86</v>
      </c>
      <c r="G99" t="s">
        <v>197</v>
      </c>
      <c r="H99" t="s">
        <v>35</v>
      </c>
      <c r="I99">
        <f>ROUND((40+114)/1000+(50+50+50+50+50)/1000+(70+100)/1000,9)</f>
        <v>0.57399999999999995</v>
      </c>
      <c r="J99">
        <v>0</v>
      </c>
      <c r="O99">
        <f t="shared" ref="O99:O126" si="78">ROUND(CP99,2)</f>
        <v>623.04</v>
      </c>
      <c r="P99">
        <f t="shared" ref="P99:P126" si="79">ROUND(CQ99*I99,2)</f>
        <v>0</v>
      </c>
      <c r="Q99">
        <f t="shared" ref="Q99:Q126" si="80">ROUND(CR99*I99,2)</f>
        <v>35.159999999999997</v>
      </c>
      <c r="R99">
        <f t="shared" ref="R99:R126" si="81">ROUND(CS99*I99,2)</f>
        <v>0.22</v>
      </c>
      <c r="S99">
        <f t="shared" ref="S99:S126" si="82">ROUND(CT99*I99,2)</f>
        <v>587.88</v>
      </c>
      <c r="T99">
        <f t="shared" ref="T99:T126" si="83">ROUND(CU99*I99,2)</f>
        <v>0</v>
      </c>
      <c r="U99">
        <f t="shared" ref="U99:U126" si="84">CV99*I99</f>
        <v>2.2845199999999997</v>
      </c>
      <c r="V99">
        <f t="shared" ref="V99:V126" si="85">CW99*I99</f>
        <v>0</v>
      </c>
      <c r="W99">
        <f t="shared" ref="W99:W126" si="86">ROUND(CX99*I99,2)</f>
        <v>0</v>
      </c>
      <c r="X99">
        <f t="shared" ref="X99:X126" si="87">ROUND(CY99,2)</f>
        <v>411.52</v>
      </c>
      <c r="Y99">
        <f t="shared" ref="Y99:Y126" si="88">ROUND(CZ99,2)</f>
        <v>58.79</v>
      </c>
      <c r="AA99">
        <v>-1</v>
      </c>
      <c r="AB99">
        <f t="shared" ref="AB99:AB126" si="89">ROUND((AC99+AD99+AF99),6)</f>
        <v>1085.422</v>
      </c>
      <c r="AC99">
        <f>ROUND(((ES99*0)),6)</f>
        <v>0</v>
      </c>
      <c r="AD99">
        <f>ROUND(((((ET99*0.2))-((EU99*0.2)))+AE99),6)</f>
        <v>61.247999999999998</v>
      </c>
      <c r="AE99">
        <f t="shared" ref="AE99:AF102" si="90">ROUND(((EU99*0.2)),6)</f>
        <v>0.39</v>
      </c>
      <c r="AF99">
        <f t="shared" si="90"/>
        <v>1024.174</v>
      </c>
      <c r="AG99">
        <f t="shared" ref="AG99:AG126" si="91">ROUND((AP99),6)</f>
        <v>0</v>
      </c>
      <c r="AH99">
        <f t="shared" ref="AH99:AI102" si="92">((EW99*0.2))</f>
        <v>3.98</v>
      </c>
      <c r="AI99">
        <f t="shared" si="92"/>
        <v>0</v>
      </c>
      <c r="AJ99">
        <f t="shared" ref="AJ99:AJ126" si="93">(AS99)</f>
        <v>0</v>
      </c>
      <c r="AK99">
        <v>77411.34</v>
      </c>
      <c r="AL99">
        <v>71984.23</v>
      </c>
      <c r="AM99">
        <v>306.24</v>
      </c>
      <c r="AN99">
        <v>1.95</v>
      </c>
      <c r="AO99">
        <v>5120.87</v>
      </c>
      <c r="AP99">
        <v>0</v>
      </c>
      <c r="AQ99">
        <v>19.899999999999999</v>
      </c>
      <c r="AR99">
        <v>0</v>
      </c>
      <c r="AS99">
        <v>0</v>
      </c>
      <c r="AT99">
        <v>70</v>
      </c>
      <c r="AU99">
        <v>10</v>
      </c>
      <c r="AV99">
        <v>1</v>
      </c>
      <c r="AW99">
        <v>1</v>
      </c>
      <c r="AZ99">
        <v>1</v>
      </c>
      <c r="BA99">
        <v>1</v>
      </c>
      <c r="BB99">
        <v>1</v>
      </c>
      <c r="BC99">
        <v>1</v>
      </c>
      <c r="BD99" t="s">
        <v>3</v>
      </c>
      <c r="BE99" t="s">
        <v>3</v>
      </c>
      <c r="BF99" t="s">
        <v>3</v>
      </c>
      <c r="BG99" t="s">
        <v>3</v>
      </c>
      <c r="BH99">
        <v>0</v>
      </c>
      <c r="BI99">
        <v>4</v>
      </c>
      <c r="BJ99" t="s">
        <v>88</v>
      </c>
      <c r="BM99">
        <v>0</v>
      </c>
      <c r="BN99">
        <v>0</v>
      </c>
      <c r="BO99" t="s">
        <v>3</v>
      </c>
      <c r="BP99">
        <v>0</v>
      </c>
      <c r="BQ99">
        <v>1</v>
      </c>
      <c r="BR99">
        <v>0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 t="s">
        <v>3</v>
      </c>
      <c r="BZ99">
        <v>70</v>
      </c>
      <c r="CA99">
        <v>10</v>
      </c>
      <c r="CE99">
        <v>0</v>
      </c>
      <c r="CF99">
        <v>0</v>
      </c>
      <c r="CG99">
        <v>0</v>
      </c>
      <c r="CM99">
        <v>0</v>
      </c>
      <c r="CN99" t="s">
        <v>3</v>
      </c>
      <c r="CO99">
        <v>0</v>
      </c>
      <c r="CP99">
        <f t="shared" ref="CP99:CP126" si="94">(P99+Q99+S99)</f>
        <v>623.04</v>
      </c>
      <c r="CQ99">
        <f t="shared" ref="CQ99:CQ120" si="95">(AC99*BC99*AW99)</f>
        <v>0</v>
      </c>
      <c r="CR99">
        <f>(((((ET99*0.2))*BB99-((EU99*0.2))*BS99)+AE99*BS99)*AV99)</f>
        <v>61.248000000000005</v>
      </c>
      <c r="CS99">
        <f t="shared" ref="CS99:CS120" si="96">(AE99*BS99*AV99)</f>
        <v>0.39</v>
      </c>
      <c r="CT99">
        <f t="shared" ref="CT99:CT120" si="97">(AF99*BA99*AV99)</f>
        <v>1024.174</v>
      </c>
      <c r="CU99">
        <f t="shared" ref="CU99:CU126" si="98">AG99</f>
        <v>0</v>
      </c>
      <c r="CV99">
        <f t="shared" ref="CV99:CV120" si="99">(AH99*AV99)</f>
        <v>3.98</v>
      </c>
      <c r="CW99">
        <f t="shared" ref="CW99:CW126" si="100">AI99</f>
        <v>0</v>
      </c>
      <c r="CX99">
        <f t="shared" ref="CX99:CX126" si="101">AJ99</f>
        <v>0</v>
      </c>
      <c r="CY99">
        <f t="shared" ref="CY99:CY120" si="102">((S99*BZ99)/100)</f>
        <v>411.51599999999996</v>
      </c>
      <c r="CZ99">
        <f t="shared" ref="CZ99:CZ120" si="103">((S99*CA99)/100)</f>
        <v>58.788000000000004</v>
      </c>
      <c r="DC99" t="s">
        <v>3</v>
      </c>
      <c r="DD99" t="s">
        <v>52</v>
      </c>
      <c r="DE99" t="s">
        <v>53</v>
      </c>
      <c r="DF99" t="s">
        <v>53</v>
      </c>
      <c r="DG99" t="s">
        <v>53</v>
      </c>
      <c r="DH99" t="s">
        <v>3</v>
      </c>
      <c r="DI99" t="s">
        <v>53</v>
      </c>
      <c r="DJ99" t="s">
        <v>53</v>
      </c>
      <c r="DK99" t="s">
        <v>3</v>
      </c>
      <c r="DL99" t="s">
        <v>3</v>
      </c>
      <c r="DM99" t="s">
        <v>3</v>
      </c>
      <c r="DN99">
        <v>0</v>
      </c>
      <c r="DO99">
        <v>0</v>
      </c>
      <c r="DP99">
        <v>1</v>
      </c>
      <c r="DQ99">
        <v>1</v>
      </c>
      <c r="DU99">
        <v>1009</v>
      </c>
      <c r="DV99" t="s">
        <v>35</v>
      </c>
      <c r="DW99" t="s">
        <v>35</v>
      </c>
      <c r="DX99">
        <v>1000</v>
      </c>
      <c r="EE99">
        <v>67874524</v>
      </c>
      <c r="EF99">
        <v>1</v>
      </c>
      <c r="EG99" t="s">
        <v>20</v>
      </c>
      <c r="EH99">
        <v>0</v>
      </c>
      <c r="EI99" t="s">
        <v>3</v>
      </c>
      <c r="EJ99">
        <v>4</v>
      </c>
      <c r="EK99">
        <v>0</v>
      </c>
      <c r="EL99" t="s">
        <v>21</v>
      </c>
      <c r="EM99" t="s">
        <v>22</v>
      </c>
      <c r="EO99" t="s">
        <v>3</v>
      </c>
      <c r="EQ99">
        <v>1024</v>
      </c>
      <c r="ER99">
        <v>77411.34</v>
      </c>
      <c r="ES99">
        <v>71984.23</v>
      </c>
      <c r="ET99">
        <v>306.24</v>
      </c>
      <c r="EU99">
        <v>1.95</v>
      </c>
      <c r="EV99">
        <v>5120.87</v>
      </c>
      <c r="EW99">
        <v>19.899999999999999</v>
      </c>
      <c r="EX99">
        <v>0</v>
      </c>
      <c r="EY99">
        <v>0</v>
      </c>
      <c r="FQ99">
        <v>0</v>
      </c>
      <c r="FR99">
        <f t="shared" ref="FR99:FR126" si="104">ROUND(IF(AND(BH99=3,BI99=3),P99,0),2)</f>
        <v>0</v>
      </c>
      <c r="FS99">
        <v>0</v>
      </c>
      <c r="FX99">
        <v>70</v>
      </c>
      <c r="FY99">
        <v>10</v>
      </c>
      <c r="GA99" t="s">
        <v>3</v>
      </c>
      <c r="GD99">
        <v>0</v>
      </c>
      <c r="GF99">
        <v>874334193</v>
      </c>
      <c r="GG99">
        <v>2</v>
      </c>
      <c r="GH99">
        <v>1</v>
      </c>
      <c r="GI99">
        <v>-2</v>
      </c>
      <c r="GJ99">
        <v>0</v>
      </c>
      <c r="GK99">
        <f>ROUND(R99*(R12)/100,2)</f>
        <v>0.24</v>
      </c>
      <c r="GL99">
        <f t="shared" ref="GL99:GL126" si="105">ROUND(IF(AND(BH99=3,BI99=3,FS99&lt;&gt;0),P99,0),2)</f>
        <v>0</v>
      </c>
      <c r="GM99">
        <f t="shared" ref="GM99:GM117" si="106">ROUND(O99+X99+Y99+GK99,2)+GX99</f>
        <v>1093.5899999999999</v>
      </c>
      <c r="GN99">
        <f t="shared" ref="GN99:GN117" si="107">IF(OR(BI99=0,BI99=1),ROUND(O99+X99+Y99+GK99,2),0)</f>
        <v>0</v>
      </c>
      <c r="GO99">
        <f t="shared" ref="GO99:GO117" si="108">IF(BI99=2,ROUND(O99+X99+Y99+GK99,2),0)</f>
        <v>0</v>
      </c>
      <c r="GP99">
        <f t="shared" ref="GP99:GP117" si="109">IF(BI99=4,ROUND(O99+X99+Y99+GK99,2)+GX99,0)</f>
        <v>1093.5899999999999</v>
      </c>
      <c r="GR99">
        <v>0</v>
      </c>
      <c r="GS99">
        <v>3</v>
      </c>
      <c r="GT99">
        <v>0</v>
      </c>
      <c r="GU99" t="s">
        <v>3</v>
      </c>
      <c r="GV99">
        <f>ROUND((GT99),6)</f>
        <v>0</v>
      </c>
      <c r="GW99">
        <v>1</v>
      </c>
      <c r="GX99">
        <f t="shared" ref="GX99:GX126" si="110">ROUND(HC99*I99,2)</f>
        <v>0</v>
      </c>
      <c r="HA99">
        <v>0</v>
      </c>
      <c r="HB99">
        <v>0</v>
      </c>
      <c r="HC99">
        <f t="shared" ref="HC99:HC126" si="111">GV99*GW99</f>
        <v>0</v>
      </c>
      <c r="IK99">
        <v>0</v>
      </c>
    </row>
    <row r="100" spans="1:245" x14ac:dyDescent="0.2">
      <c r="A100">
        <v>17</v>
      </c>
      <c r="B100">
        <v>1</v>
      </c>
      <c r="C100">
        <f>ROW(SmtRes!A13)</f>
        <v>13</v>
      </c>
      <c r="D100">
        <f>ROW(EtalonRes!A162)</f>
        <v>162</v>
      </c>
      <c r="E100" t="s">
        <v>198</v>
      </c>
      <c r="F100" t="s">
        <v>112</v>
      </c>
      <c r="G100" t="s">
        <v>199</v>
      </c>
      <c r="H100" t="s">
        <v>35</v>
      </c>
      <c r="I100">
        <f>ROUND((48+114+40+30)/1000,9)</f>
        <v>0.23200000000000001</v>
      </c>
      <c r="J100">
        <v>0</v>
      </c>
      <c r="O100">
        <f t="shared" si="78"/>
        <v>1634.52</v>
      </c>
      <c r="P100">
        <f t="shared" si="79"/>
        <v>0</v>
      </c>
      <c r="Q100">
        <f t="shared" si="80"/>
        <v>41.71</v>
      </c>
      <c r="R100">
        <f t="shared" si="81"/>
        <v>1.82</v>
      </c>
      <c r="S100">
        <f t="shared" si="82"/>
        <v>1592.81</v>
      </c>
      <c r="T100">
        <f t="shared" si="83"/>
        <v>0</v>
      </c>
      <c r="U100">
        <f t="shared" si="84"/>
        <v>6.1897600000000015</v>
      </c>
      <c r="V100">
        <f t="shared" si="85"/>
        <v>0</v>
      </c>
      <c r="W100">
        <f t="shared" si="86"/>
        <v>0</v>
      </c>
      <c r="X100">
        <f t="shared" si="87"/>
        <v>1114.97</v>
      </c>
      <c r="Y100">
        <f t="shared" si="88"/>
        <v>159.28</v>
      </c>
      <c r="AA100">
        <v>71209905</v>
      </c>
      <c r="AB100">
        <f t="shared" si="89"/>
        <v>7045.3639999999996</v>
      </c>
      <c r="AC100">
        <f>ROUND(((ES100*0)),6)</f>
        <v>0</v>
      </c>
      <c r="AD100">
        <f>ROUND(((((ET100*0.2))-((EU100*0.2)))+AE100),6)</f>
        <v>179.8</v>
      </c>
      <c r="AE100">
        <f t="shared" si="90"/>
        <v>7.83</v>
      </c>
      <c r="AF100">
        <f t="shared" si="90"/>
        <v>6865.5640000000003</v>
      </c>
      <c r="AG100">
        <f t="shared" si="91"/>
        <v>0</v>
      </c>
      <c r="AH100">
        <f t="shared" si="92"/>
        <v>26.680000000000003</v>
      </c>
      <c r="AI100">
        <f t="shared" si="92"/>
        <v>0</v>
      </c>
      <c r="AJ100">
        <f t="shared" si="93"/>
        <v>0</v>
      </c>
      <c r="AK100">
        <v>115912.21</v>
      </c>
      <c r="AL100">
        <v>80685.39</v>
      </c>
      <c r="AM100">
        <v>899</v>
      </c>
      <c r="AN100">
        <v>39.15</v>
      </c>
      <c r="AO100">
        <v>34327.82</v>
      </c>
      <c r="AP100">
        <v>0</v>
      </c>
      <c r="AQ100">
        <v>133.4</v>
      </c>
      <c r="AR100">
        <v>0</v>
      </c>
      <c r="AS100">
        <v>0</v>
      </c>
      <c r="AT100">
        <v>70</v>
      </c>
      <c r="AU100">
        <v>10</v>
      </c>
      <c r="AV100">
        <v>1</v>
      </c>
      <c r="AW100">
        <v>1</v>
      </c>
      <c r="AZ100">
        <v>1</v>
      </c>
      <c r="BA100">
        <v>1</v>
      </c>
      <c r="BB100">
        <v>1</v>
      </c>
      <c r="BC100">
        <v>1</v>
      </c>
      <c r="BD100" t="s">
        <v>3</v>
      </c>
      <c r="BE100" t="s">
        <v>3</v>
      </c>
      <c r="BF100" t="s">
        <v>3</v>
      </c>
      <c r="BG100" t="s">
        <v>3</v>
      </c>
      <c r="BH100">
        <v>0</v>
      </c>
      <c r="BI100">
        <v>4</v>
      </c>
      <c r="BJ100" t="s">
        <v>114</v>
      </c>
      <c r="BM100">
        <v>0</v>
      </c>
      <c r="BN100">
        <v>0</v>
      </c>
      <c r="BO100" t="s">
        <v>3</v>
      </c>
      <c r="BP100">
        <v>0</v>
      </c>
      <c r="BQ100">
        <v>1</v>
      </c>
      <c r="BR100">
        <v>0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 t="s">
        <v>3</v>
      </c>
      <c r="BZ100">
        <v>70</v>
      </c>
      <c r="CA100">
        <v>10</v>
      </c>
      <c r="CE100">
        <v>0</v>
      </c>
      <c r="CF100">
        <v>0</v>
      </c>
      <c r="CG100">
        <v>0</v>
      </c>
      <c r="CM100">
        <v>0</v>
      </c>
      <c r="CN100" t="s">
        <v>3</v>
      </c>
      <c r="CO100">
        <v>0</v>
      </c>
      <c r="CP100">
        <f t="shared" si="94"/>
        <v>1634.52</v>
      </c>
      <c r="CQ100">
        <f t="shared" si="95"/>
        <v>0</v>
      </c>
      <c r="CR100">
        <f>(((((ET100*0.2))*BB100-((EU100*0.2))*BS100)+AE100*BS100)*AV100)</f>
        <v>179.8</v>
      </c>
      <c r="CS100">
        <f t="shared" si="96"/>
        <v>7.83</v>
      </c>
      <c r="CT100">
        <f t="shared" si="97"/>
        <v>6865.5640000000003</v>
      </c>
      <c r="CU100">
        <f t="shared" si="98"/>
        <v>0</v>
      </c>
      <c r="CV100">
        <f t="shared" si="99"/>
        <v>26.680000000000003</v>
      </c>
      <c r="CW100">
        <f t="shared" si="100"/>
        <v>0</v>
      </c>
      <c r="CX100">
        <f t="shared" si="101"/>
        <v>0</v>
      </c>
      <c r="CY100">
        <f t="shared" si="102"/>
        <v>1114.9669999999999</v>
      </c>
      <c r="CZ100">
        <f t="shared" si="103"/>
        <v>159.28099999999998</v>
      </c>
      <c r="DC100" t="s">
        <v>3</v>
      </c>
      <c r="DD100" t="s">
        <v>52</v>
      </c>
      <c r="DE100" t="s">
        <v>53</v>
      </c>
      <c r="DF100" t="s">
        <v>53</v>
      </c>
      <c r="DG100" t="s">
        <v>53</v>
      </c>
      <c r="DH100" t="s">
        <v>3</v>
      </c>
      <c r="DI100" t="s">
        <v>53</v>
      </c>
      <c r="DJ100" t="s">
        <v>53</v>
      </c>
      <c r="DK100" t="s">
        <v>3</v>
      </c>
      <c r="DL100" t="s">
        <v>3</v>
      </c>
      <c r="DM100" t="s">
        <v>3</v>
      </c>
      <c r="DN100">
        <v>0</v>
      </c>
      <c r="DO100">
        <v>0</v>
      </c>
      <c r="DP100">
        <v>1</v>
      </c>
      <c r="DQ100">
        <v>1</v>
      </c>
      <c r="DU100">
        <v>1009</v>
      </c>
      <c r="DV100" t="s">
        <v>35</v>
      </c>
      <c r="DW100" t="s">
        <v>35</v>
      </c>
      <c r="DX100">
        <v>1000</v>
      </c>
      <c r="EE100">
        <v>67874524</v>
      </c>
      <c r="EF100">
        <v>1</v>
      </c>
      <c r="EG100" t="s">
        <v>20</v>
      </c>
      <c r="EH100">
        <v>0</v>
      </c>
      <c r="EI100" t="s">
        <v>3</v>
      </c>
      <c r="EJ100">
        <v>4</v>
      </c>
      <c r="EK100">
        <v>0</v>
      </c>
      <c r="EL100" t="s">
        <v>21</v>
      </c>
      <c r="EM100" t="s">
        <v>22</v>
      </c>
      <c r="EO100" t="s">
        <v>3</v>
      </c>
      <c r="EQ100">
        <v>0</v>
      </c>
      <c r="ER100">
        <v>115912.21</v>
      </c>
      <c r="ES100">
        <v>80685.39</v>
      </c>
      <c r="ET100">
        <v>899</v>
      </c>
      <c r="EU100">
        <v>39.15</v>
      </c>
      <c r="EV100">
        <v>34327.82</v>
      </c>
      <c r="EW100">
        <v>133.4</v>
      </c>
      <c r="EX100">
        <v>0</v>
      </c>
      <c r="EY100">
        <v>0</v>
      </c>
      <c r="FQ100">
        <v>0</v>
      </c>
      <c r="FR100">
        <f t="shared" si="104"/>
        <v>0</v>
      </c>
      <c r="FS100">
        <v>0</v>
      </c>
      <c r="FX100">
        <v>70</v>
      </c>
      <c r="FY100">
        <v>10</v>
      </c>
      <c r="GA100" t="s">
        <v>3</v>
      </c>
      <c r="GD100">
        <v>0</v>
      </c>
      <c r="GF100">
        <v>-1704845714</v>
      </c>
      <c r="GG100">
        <v>2</v>
      </c>
      <c r="GH100">
        <v>1</v>
      </c>
      <c r="GI100">
        <v>-2</v>
      </c>
      <c r="GJ100">
        <v>0</v>
      </c>
      <c r="GK100">
        <f>ROUND(R100*(R12)/100,2)</f>
        <v>1.97</v>
      </c>
      <c r="GL100">
        <f t="shared" si="105"/>
        <v>0</v>
      </c>
      <c r="GM100">
        <f t="shared" si="106"/>
        <v>2910.74</v>
      </c>
      <c r="GN100">
        <f t="shared" si="107"/>
        <v>0</v>
      </c>
      <c r="GO100">
        <f t="shared" si="108"/>
        <v>0</v>
      </c>
      <c r="GP100">
        <f t="shared" si="109"/>
        <v>2910.74</v>
      </c>
      <c r="GR100">
        <v>0</v>
      </c>
      <c r="GS100">
        <v>3</v>
      </c>
      <c r="GT100">
        <v>0</v>
      </c>
      <c r="GU100" t="s">
        <v>53</v>
      </c>
      <c r="GV100">
        <f>ROUND(((GT100*0.2)),6)</f>
        <v>0</v>
      </c>
      <c r="GW100">
        <v>1</v>
      </c>
      <c r="GX100">
        <f t="shared" si="110"/>
        <v>0</v>
      </c>
      <c r="HA100">
        <v>0</v>
      </c>
      <c r="HB100">
        <v>0</v>
      </c>
      <c r="HC100">
        <f t="shared" si="111"/>
        <v>0</v>
      </c>
      <c r="IK100">
        <v>0</v>
      </c>
    </row>
    <row r="101" spans="1:245" x14ac:dyDescent="0.2">
      <c r="A101">
        <v>17</v>
      </c>
      <c r="B101">
        <v>1</v>
      </c>
      <c r="C101">
        <f>ROW(SmtRes!A18)</f>
        <v>18</v>
      </c>
      <c r="D101">
        <f>ROW(EtalonRes!A167)</f>
        <v>167</v>
      </c>
      <c r="E101" t="s">
        <v>200</v>
      </c>
      <c r="F101" t="s">
        <v>201</v>
      </c>
      <c r="G101" t="s">
        <v>202</v>
      </c>
      <c r="H101" t="s">
        <v>35</v>
      </c>
      <c r="I101">
        <f>ROUND((50+50+50)/1000,9)</f>
        <v>0.15</v>
      </c>
      <c r="J101">
        <v>0</v>
      </c>
      <c r="O101">
        <f t="shared" si="78"/>
        <v>874.6</v>
      </c>
      <c r="P101">
        <f t="shared" si="79"/>
        <v>0</v>
      </c>
      <c r="Q101">
        <f t="shared" si="80"/>
        <v>22.32</v>
      </c>
      <c r="R101">
        <f t="shared" si="81"/>
        <v>0.97</v>
      </c>
      <c r="S101">
        <f t="shared" si="82"/>
        <v>852.28</v>
      </c>
      <c r="T101">
        <f t="shared" si="83"/>
        <v>0</v>
      </c>
      <c r="U101">
        <f t="shared" si="84"/>
        <v>3.3120000000000003</v>
      </c>
      <c r="V101">
        <f t="shared" si="85"/>
        <v>0</v>
      </c>
      <c r="W101">
        <f t="shared" si="86"/>
        <v>0</v>
      </c>
      <c r="X101">
        <f t="shared" si="87"/>
        <v>596.6</v>
      </c>
      <c r="Y101">
        <f t="shared" si="88"/>
        <v>85.23</v>
      </c>
      <c r="AA101">
        <v>71209905</v>
      </c>
      <c r="AB101">
        <f t="shared" si="89"/>
        <v>5830.6459999999997</v>
      </c>
      <c r="AC101">
        <f>ROUND(((ES101*0)),6)</f>
        <v>0</v>
      </c>
      <c r="AD101">
        <f>ROUND(((((ET101*0.2))-((EU101*0.2)))+AE101),6)</f>
        <v>148.80000000000001</v>
      </c>
      <c r="AE101">
        <f t="shared" si="90"/>
        <v>6.48</v>
      </c>
      <c r="AF101">
        <f t="shared" si="90"/>
        <v>5681.8459999999995</v>
      </c>
      <c r="AG101">
        <f t="shared" si="91"/>
        <v>0</v>
      </c>
      <c r="AH101">
        <f t="shared" si="92"/>
        <v>22.080000000000002</v>
      </c>
      <c r="AI101">
        <f t="shared" si="92"/>
        <v>0</v>
      </c>
      <c r="AJ101">
        <f t="shared" si="93"/>
        <v>0</v>
      </c>
      <c r="AK101">
        <v>109622.76</v>
      </c>
      <c r="AL101">
        <v>80469.53</v>
      </c>
      <c r="AM101">
        <v>744</v>
      </c>
      <c r="AN101">
        <v>32.4</v>
      </c>
      <c r="AO101">
        <v>28409.23</v>
      </c>
      <c r="AP101">
        <v>0</v>
      </c>
      <c r="AQ101">
        <v>110.4</v>
      </c>
      <c r="AR101">
        <v>0</v>
      </c>
      <c r="AS101">
        <v>0</v>
      </c>
      <c r="AT101">
        <v>70</v>
      </c>
      <c r="AU101">
        <v>10</v>
      </c>
      <c r="AV101">
        <v>1</v>
      </c>
      <c r="AW101">
        <v>1</v>
      </c>
      <c r="AZ101">
        <v>1</v>
      </c>
      <c r="BA101">
        <v>1</v>
      </c>
      <c r="BB101">
        <v>1</v>
      </c>
      <c r="BC101">
        <v>1</v>
      </c>
      <c r="BD101" t="s">
        <v>3</v>
      </c>
      <c r="BE101" t="s">
        <v>3</v>
      </c>
      <c r="BF101" t="s">
        <v>3</v>
      </c>
      <c r="BG101" t="s">
        <v>3</v>
      </c>
      <c r="BH101">
        <v>0</v>
      </c>
      <c r="BI101">
        <v>4</v>
      </c>
      <c r="BJ101" t="s">
        <v>203</v>
      </c>
      <c r="BM101">
        <v>0</v>
      </c>
      <c r="BN101">
        <v>0</v>
      </c>
      <c r="BO101" t="s">
        <v>3</v>
      </c>
      <c r="BP101">
        <v>0</v>
      </c>
      <c r="BQ101">
        <v>1</v>
      </c>
      <c r="BR101">
        <v>0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 t="s">
        <v>3</v>
      </c>
      <c r="BZ101">
        <v>70</v>
      </c>
      <c r="CA101">
        <v>10</v>
      </c>
      <c r="CE101">
        <v>0</v>
      </c>
      <c r="CF101">
        <v>0</v>
      </c>
      <c r="CG101">
        <v>0</v>
      </c>
      <c r="CM101">
        <v>0</v>
      </c>
      <c r="CN101" t="s">
        <v>3</v>
      </c>
      <c r="CO101">
        <v>0</v>
      </c>
      <c r="CP101">
        <f t="shared" si="94"/>
        <v>874.6</v>
      </c>
      <c r="CQ101">
        <f t="shared" si="95"/>
        <v>0</v>
      </c>
      <c r="CR101">
        <f>(((((ET101*0.2))*BB101-((EU101*0.2))*BS101)+AE101*BS101)*AV101)</f>
        <v>148.80000000000001</v>
      </c>
      <c r="CS101">
        <f t="shared" si="96"/>
        <v>6.48</v>
      </c>
      <c r="CT101">
        <f t="shared" si="97"/>
        <v>5681.8459999999995</v>
      </c>
      <c r="CU101">
        <f t="shared" si="98"/>
        <v>0</v>
      </c>
      <c r="CV101">
        <f t="shared" si="99"/>
        <v>22.080000000000002</v>
      </c>
      <c r="CW101">
        <f t="shared" si="100"/>
        <v>0</v>
      </c>
      <c r="CX101">
        <f t="shared" si="101"/>
        <v>0</v>
      </c>
      <c r="CY101">
        <f t="shared" si="102"/>
        <v>596.596</v>
      </c>
      <c r="CZ101">
        <f t="shared" si="103"/>
        <v>85.227999999999994</v>
      </c>
      <c r="DC101" t="s">
        <v>3</v>
      </c>
      <c r="DD101" t="s">
        <v>52</v>
      </c>
      <c r="DE101" t="s">
        <v>53</v>
      </c>
      <c r="DF101" t="s">
        <v>53</v>
      </c>
      <c r="DG101" t="s">
        <v>53</v>
      </c>
      <c r="DH101" t="s">
        <v>3</v>
      </c>
      <c r="DI101" t="s">
        <v>53</v>
      </c>
      <c r="DJ101" t="s">
        <v>53</v>
      </c>
      <c r="DK101" t="s">
        <v>3</v>
      </c>
      <c r="DL101" t="s">
        <v>3</v>
      </c>
      <c r="DM101" t="s">
        <v>3</v>
      </c>
      <c r="DN101">
        <v>0</v>
      </c>
      <c r="DO101">
        <v>0</v>
      </c>
      <c r="DP101">
        <v>1</v>
      </c>
      <c r="DQ101">
        <v>1</v>
      </c>
      <c r="DU101">
        <v>1009</v>
      </c>
      <c r="DV101" t="s">
        <v>35</v>
      </c>
      <c r="DW101" t="s">
        <v>35</v>
      </c>
      <c r="DX101">
        <v>1000</v>
      </c>
      <c r="EE101">
        <v>67874524</v>
      </c>
      <c r="EF101">
        <v>1</v>
      </c>
      <c r="EG101" t="s">
        <v>20</v>
      </c>
      <c r="EH101">
        <v>0</v>
      </c>
      <c r="EI101" t="s">
        <v>3</v>
      </c>
      <c r="EJ101">
        <v>4</v>
      </c>
      <c r="EK101">
        <v>0</v>
      </c>
      <c r="EL101" t="s">
        <v>21</v>
      </c>
      <c r="EM101" t="s">
        <v>22</v>
      </c>
      <c r="EO101" t="s">
        <v>3</v>
      </c>
      <c r="EQ101">
        <v>0</v>
      </c>
      <c r="ER101">
        <v>109622.76</v>
      </c>
      <c r="ES101">
        <v>80469.53</v>
      </c>
      <c r="ET101">
        <v>744</v>
      </c>
      <c r="EU101">
        <v>32.4</v>
      </c>
      <c r="EV101">
        <v>28409.23</v>
      </c>
      <c r="EW101">
        <v>110.4</v>
      </c>
      <c r="EX101">
        <v>0</v>
      </c>
      <c r="EY101">
        <v>0</v>
      </c>
      <c r="FQ101">
        <v>0</v>
      </c>
      <c r="FR101">
        <f t="shared" si="104"/>
        <v>0</v>
      </c>
      <c r="FS101">
        <v>0</v>
      </c>
      <c r="FX101">
        <v>70</v>
      </c>
      <c r="FY101">
        <v>10</v>
      </c>
      <c r="GA101" t="s">
        <v>3</v>
      </c>
      <c r="GD101">
        <v>0</v>
      </c>
      <c r="GF101">
        <v>-678817912</v>
      </c>
      <c r="GG101">
        <v>2</v>
      </c>
      <c r="GH101">
        <v>1</v>
      </c>
      <c r="GI101">
        <v>-2</v>
      </c>
      <c r="GJ101">
        <v>0</v>
      </c>
      <c r="GK101">
        <f>ROUND(R101*(R12)/100,2)</f>
        <v>1.05</v>
      </c>
      <c r="GL101">
        <f t="shared" si="105"/>
        <v>0</v>
      </c>
      <c r="GM101">
        <f t="shared" si="106"/>
        <v>1557.48</v>
      </c>
      <c r="GN101">
        <f t="shared" si="107"/>
        <v>0</v>
      </c>
      <c r="GO101">
        <f t="shared" si="108"/>
        <v>0</v>
      </c>
      <c r="GP101">
        <f t="shared" si="109"/>
        <v>1557.48</v>
      </c>
      <c r="GR101">
        <v>0</v>
      </c>
      <c r="GS101">
        <v>3</v>
      </c>
      <c r="GT101">
        <v>0</v>
      </c>
      <c r="GU101" t="s">
        <v>53</v>
      </c>
      <c r="GV101">
        <f>ROUND(((GT101*0.2)),6)</f>
        <v>0</v>
      </c>
      <c r="GW101">
        <v>1</v>
      </c>
      <c r="GX101">
        <f t="shared" si="110"/>
        <v>0</v>
      </c>
      <c r="HA101">
        <v>0</v>
      </c>
      <c r="HB101">
        <v>0</v>
      </c>
      <c r="HC101">
        <f t="shared" si="111"/>
        <v>0</v>
      </c>
      <c r="IK101">
        <v>0</v>
      </c>
    </row>
    <row r="102" spans="1:245" x14ac:dyDescent="0.2">
      <c r="A102">
        <v>17</v>
      </c>
      <c r="B102">
        <v>1</v>
      </c>
      <c r="C102">
        <f>ROW(SmtRes!A23)</f>
        <v>23</v>
      </c>
      <c r="D102">
        <f>ROW(EtalonRes!A172)</f>
        <v>172</v>
      </c>
      <c r="E102" t="s">
        <v>3</v>
      </c>
      <c r="F102" t="s">
        <v>57</v>
      </c>
      <c r="G102" t="s">
        <v>204</v>
      </c>
      <c r="H102" t="s">
        <v>35</v>
      </c>
      <c r="I102">
        <f>ROUND((250)/1000,9)</f>
        <v>0.25</v>
      </c>
      <c r="J102">
        <v>0</v>
      </c>
      <c r="O102">
        <f t="shared" si="78"/>
        <v>1153.98</v>
      </c>
      <c r="P102">
        <f t="shared" si="79"/>
        <v>0</v>
      </c>
      <c r="Q102">
        <f t="shared" si="80"/>
        <v>29.45</v>
      </c>
      <c r="R102">
        <f t="shared" si="81"/>
        <v>1.28</v>
      </c>
      <c r="S102">
        <f t="shared" si="82"/>
        <v>1124.53</v>
      </c>
      <c r="T102">
        <f t="shared" si="83"/>
        <v>0</v>
      </c>
      <c r="U102">
        <f t="shared" si="84"/>
        <v>4.37</v>
      </c>
      <c r="V102">
        <f t="shared" si="85"/>
        <v>0</v>
      </c>
      <c r="W102">
        <f t="shared" si="86"/>
        <v>0</v>
      </c>
      <c r="X102">
        <f t="shared" si="87"/>
        <v>787.17</v>
      </c>
      <c r="Y102">
        <f t="shared" si="88"/>
        <v>112.45</v>
      </c>
      <c r="AA102">
        <v>-1</v>
      </c>
      <c r="AB102">
        <f t="shared" si="89"/>
        <v>4615.9279999999999</v>
      </c>
      <c r="AC102">
        <f>ROUND(((ES102*0)),6)</f>
        <v>0</v>
      </c>
      <c r="AD102">
        <f>ROUND(((((ET102*0.2))-((EU102*0.2)))+AE102),6)</f>
        <v>117.8</v>
      </c>
      <c r="AE102">
        <f t="shared" si="90"/>
        <v>5.13</v>
      </c>
      <c r="AF102">
        <f t="shared" si="90"/>
        <v>4498.1279999999997</v>
      </c>
      <c r="AG102">
        <f t="shared" si="91"/>
        <v>0</v>
      </c>
      <c r="AH102">
        <f t="shared" si="92"/>
        <v>17.48</v>
      </c>
      <c r="AI102">
        <f t="shared" si="92"/>
        <v>0</v>
      </c>
      <c r="AJ102">
        <f t="shared" si="93"/>
        <v>0</v>
      </c>
      <c r="AK102">
        <v>98608.07</v>
      </c>
      <c r="AL102">
        <v>75528.429999999993</v>
      </c>
      <c r="AM102">
        <v>589</v>
      </c>
      <c r="AN102">
        <v>25.65</v>
      </c>
      <c r="AO102">
        <v>22490.639999999999</v>
      </c>
      <c r="AP102">
        <v>0</v>
      </c>
      <c r="AQ102">
        <v>87.4</v>
      </c>
      <c r="AR102">
        <v>0</v>
      </c>
      <c r="AS102">
        <v>0</v>
      </c>
      <c r="AT102">
        <v>70</v>
      </c>
      <c r="AU102">
        <v>10</v>
      </c>
      <c r="AV102">
        <v>1</v>
      </c>
      <c r="AW102">
        <v>1</v>
      </c>
      <c r="AZ102">
        <v>1</v>
      </c>
      <c r="BA102">
        <v>1</v>
      </c>
      <c r="BB102">
        <v>1</v>
      </c>
      <c r="BC102">
        <v>1</v>
      </c>
      <c r="BD102" t="s">
        <v>3</v>
      </c>
      <c r="BE102" t="s">
        <v>3</v>
      </c>
      <c r="BF102" t="s">
        <v>3</v>
      </c>
      <c r="BG102" t="s">
        <v>3</v>
      </c>
      <c r="BH102">
        <v>0</v>
      </c>
      <c r="BI102">
        <v>4</v>
      </c>
      <c r="BJ102" t="s">
        <v>59</v>
      </c>
      <c r="BM102">
        <v>0</v>
      </c>
      <c r="BN102">
        <v>0</v>
      </c>
      <c r="BO102" t="s">
        <v>3</v>
      </c>
      <c r="BP102">
        <v>0</v>
      </c>
      <c r="BQ102">
        <v>1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 t="s">
        <v>3</v>
      </c>
      <c r="BZ102">
        <v>70</v>
      </c>
      <c r="CA102">
        <v>10</v>
      </c>
      <c r="CE102">
        <v>0</v>
      </c>
      <c r="CF102">
        <v>0</v>
      </c>
      <c r="CG102">
        <v>0</v>
      </c>
      <c r="CM102">
        <v>0</v>
      </c>
      <c r="CN102" t="s">
        <v>3</v>
      </c>
      <c r="CO102">
        <v>0</v>
      </c>
      <c r="CP102">
        <f t="shared" si="94"/>
        <v>1153.98</v>
      </c>
      <c r="CQ102">
        <f t="shared" si="95"/>
        <v>0</v>
      </c>
      <c r="CR102">
        <f>(((((ET102*0.2))*BB102-((EU102*0.2))*BS102)+AE102*BS102)*AV102)</f>
        <v>117.80000000000001</v>
      </c>
      <c r="CS102">
        <f t="shared" si="96"/>
        <v>5.13</v>
      </c>
      <c r="CT102">
        <f t="shared" si="97"/>
        <v>4498.1279999999997</v>
      </c>
      <c r="CU102">
        <f t="shared" si="98"/>
        <v>0</v>
      </c>
      <c r="CV102">
        <f t="shared" si="99"/>
        <v>17.48</v>
      </c>
      <c r="CW102">
        <f t="shared" si="100"/>
        <v>0</v>
      </c>
      <c r="CX102">
        <f t="shared" si="101"/>
        <v>0</v>
      </c>
      <c r="CY102">
        <f t="shared" si="102"/>
        <v>787.17099999999994</v>
      </c>
      <c r="CZ102">
        <f t="shared" si="103"/>
        <v>112.45299999999999</v>
      </c>
      <c r="DC102" t="s">
        <v>3</v>
      </c>
      <c r="DD102" t="s">
        <v>52</v>
      </c>
      <c r="DE102" t="s">
        <v>53</v>
      </c>
      <c r="DF102" t="s">
        <v>53</v>
      </c>
      <c r="DG102" t="s">
        <v>53</v>
      </c>
      <c r="DH102" t="s">
        <v>3</v>
      </c>
      <c r="DI102" t="s">
        <v>53</v>
      </c>
      <c r="DJ102" t="s">
        <v>53</v>
      </c>
      <c r="DK102" t="s">
        <v>3</v>
      </c>
      <c r="DL102" t="s">
        <v>3</v>
      </c>
      <c r="DM102" t="s">
        <v>3</v>
      </c>
      <c r="DN102">
        <v>0</v>
      </c>
      <c r="DO102">
        <v>0</v>
      </c>
      <c r="DP102">
        <v>1</v>
      </c>
      <c r="DQ102">
        <v>1</v>
      </c>
      <c r="DU102">
        <v>1009</v>
      </c>
      <c r="DV102" t="s">
        <v>35</v>
      </c>
      <c r="DW102" t="s">
        <v>35</v>
      </c>
      <c r="DX102">
        <v>1000</v>
      </c>
      <c r="EE102">
        <v>67874524</v>
      </c>
      <c r="EF102">
        <v>1</v>
      </c>
      <c r="EG102" t="s">
        <v>20</v>
      </c>
      <c r="EH102">
        <v>0</v>
      </c>
      <c r="EI102" t="s">
        <v>3</v>
      </c>
      <c r="EJ102">
        <v>4</v>
      </c>
      <c r="EK102">
        <v>0</v>
      </c>
      <c r="EL102" t="s">
        <v>21</v>
      </c>
      <c r="EM102" t="s">
        <v>22</v>
      </c>
      <c r="EO102" t="s">
        <v>3</v>
      </c>
      <c r="EQ102">
        <v>1024</v>
      </c>
      <c r="ER102">
        <v>98608.07</v>
      </c>
      <c r="ES102">
        <v>75528.429999999993</v>
      </c>
      <c r="ET102">
        <v>589</v>
      </c>
      <c r="EU102">
        <v>25.65</v>
      </c>
      <c r="EV102">
        <v>22490.639999999999</v>
      </c>
      <c r="EW102">
        <v>87.4</v>
      </c>
      <c r="EX102">
        <v>0</v>
      </c>
      <c r="EY102">
        <v>0</v>
      </c>
      <c r="FQ102">
        <v>0</v>
      </c>
      <c r="FR102">
        <f t="shared" si="104"/>
        <v>0</v>
      </c>
      <c r="FS102">
        <v>0</v>
      </c>
      <c r="FX102">
        <v>70</v>
      </c>
      <c r="FY102">
        <v>10</v>
      </c>
      <c r="GA102" t="s">
        <v>3</v>
      </c>
      <c r="GD102">
        <v>0</v>
      </c>
      <c r="GF102">
        <v>-1367269336</v>
      </c>
      <c r="GG102">
        <v>2</v>
      </c>
      <c r="GH102">
        <v>1</v>
      </c>
      <c r="GI102">
        <v>-2</v>
      </c>
      <c r="GJ102">
        <v>0</v>
      </c>
      <c r="GK102">
        <f>ROUND(R102*(R12)/100,2)</f>
        <v>1.38</v>
      </c>
      <c r="GL102">
        <f t="shared" si="105"/>
        <v>0</v>
      </c>
      <c r="GM102">
        <f t="shared" si="106"/>
        <v>2054.98</v>
      </c>
      <c r="GN102">
        <f t="shared" si="107"/>
        <v>0</v>
      </c>
      <c r="GO102">
        <f t="shared" si="108"/>
        <v>0</v>
      </c>
      <c r="GP102">
        <f t="shared" si="109"/>
        <v>2054.98</v>
      </c>
      <c r="GR102">
        <v>0</v>
      </c>
      <c r="GS102">
        <v>3</v>
      </c>
      <c r="GT102">
        <v>0</v>
      </c>
      <c r="GU102" t="s">
        <v>53</v>
      </c>
      <c r="GV102">
        <f>ROUND(((GT102*0.2)),6)</f>
        <v>0</v>
      </c>
      <c r="GW102">
        <v>1</v>
      </c>
      <c r="GX102">
        <f t="shared" si="110"/>
        <v>0</v>
      </c>
      <c r="HA102">
        <v>0</v>
      </c>
      <c r="HB102">
        <v>0</v>
      </c>
      <c r="HC102">
        <f t="shared" si="111"/>
        <v>0</v>
      </c>
      <c r="IK102">
        <v>0</v>
      </c>
    </row>
    <row r="103" spans="1:245" x14ac:dyDescent="0.2">
      <c r="A103">
        <v>17</v>
      </c>
      <c r="B103">
        <v>1</v>
      </c>
      <c r="C103">
        <f>ROW(SmtRes!A26)</f>
        <v>26</v>
      </c>
      <c r="D103">
        <f>ROW(EtalonRes!A175)</f>
        <v>175</v>
      </c>
      <c r="E103" t="s">
        <v>205</v>
      </c>
      <c r="F103" t="s">
        <v>116</v>
      </c>
      <c r="G103" t="s">
        <v>206</v>
      </c>
      <c r="H103" t="s">
        <v>28</v>
      </c>
      <c r="I103">
        <f>ROUND((6*1+4*1+8)/100+(50+100+100)/1000/0.8*0,9)</f>
        <v>0.18</v>
      </c>
      <c r="J103">
        <v>0</v>
      </c>
      <c r="O103">
        <f t="shared" si="78"/>
        <v>1676.19</v>
      </c>
      <c r="P103">
        <f t="shared" si="79"/>
        <v>0</v>
      </c>
      <c r="Q103">
        <f t="shared" si="80"/>
        <v>9.17</v>
      </c>
      <c r="R103">
        <f t="shared" si="81"/>
        <v>0.05</v>
      </c>
      <c r="S103">
        <f t="shared" si="82"/>
        <v>1667.02</v>
      </c>
      <c r="T103">
        <f t="shared" si="83"/>
        <v>0</v>
      </c>
      <c r="U103">
        <f t="shared" si="84"/>
        <v>11.4336</v>
      </c>
      <c r="V103">
        <f t="shared" si="85"/>
        <v>0</v>
      </c>
      <c r="W103">
        <f t="shared" si="86"/>
        <v>0</v>
      </c>
      <c r="X103">
        <f t="shared" si="87"/>
        <v>1166.9100000000001</v>
      </c>
      <c r="Y103">
        <f t="shared" si="88"/>
        <v>166.7</v>
      </c>
      <c r="AA103">
        <v>71209905</v>
      </c>
      <c r="AB103">
        <f t="shared" si="89"/>
        <v>9312.15</v>
      </c>
      <c r="AC103">
        <f>ROUND((ES103),6)</f>
        <v>0</v>
      </c>
      <c r="AD103">
        <f>ROUND((((ET103)-(EU103))+AE103),6)</f>
        <v>50.93</v>
      </c>
      <c r="AE103">
        <f>ROUND((EU103),6)</f>
        <v>0.27</v>
      </c>
      <c r="AF103">
        <f>ROUND((EV103),6)</f>
        <v>9261.2199999999993</v>
      </c>
      <c r="AG103">
        <f t="shared" si="91"/>
        <v>0</v>
      </c>
      <c r="AH103">
        <f>(EW103)</f>
        <v>63.52</v>
      </c>
      <c r="AI103">
        <f>(EX103)</f>
        <v>0</v>
      </c>
      <c r="AJ103">
        <f t="shared" si="93"/>
        <v>0</v>
      </c>
      <c r="AK103">
        <v>9312.15</v>
      </c>
      <c r="AL103">
        <v>0</v>
      </c>
      <c r="AM103">
        <v>50.93</v>
      </c>
      <c r="AN103">
        <v>0.27</v>
      </c>
      <c r="AO103">
        <v>9261.2199999999993</v>
      </c>
      <c r="AP103">
        <v>0</v>
      </c>
      <c r="AQ103">
        <v>63.52</v>
      </c>
      <c r="AR103">
        <v>0</v>
      </c>
      <c r="AS103">
        <v>0</v>
      </c>
      <c r="AT103">
        <v>70</v>
      </c>
      <c r="AU103">
        <v>10</v>
      </c>
      <c r="AV103">
        <v>1</v>
      </c>
      <c r="AW103">
        <v>1</v>
      </c>
      <c r="AZ103">
        <v>1</v>
      </c>
      <c r="BA103">
        <v>1</v>
      </c>
      <c r="BB103">
        <v>1</v>
      </c>
      <c r="BC103">
        <v>1</v>
      </c>
      <c r="BD103" t="s">
        <v>3</v>
      </c>
      <c r="BE103" t="s">
        <v>3</v>
      </c>
      <c r="BF103" t="s">
        <v>3</v>
      </c>
      <c r="BG103" t="s">
        <v>3</v>
      </c>
      <c r="BH103">
        <v>0</v>
      </c>
      <c r="BI103">
        <v>4</v>
      </c>
      <c r="BJ103" t="s">
        <v>118</v>
      </c>
      <c r="BM103">
        <v>0</v>
      </c>
      <c r="BN103">
        <v>0</v>
      </c>
      <c r="BO103" t="s">
        <v>3</v>
      </c>
      <c r="BP103">
        <v>0</v>
      </c>
      <c r="BQ103">
        <v>1</v>
      </c>
      <c r="BR103">
        <v>0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 t="s">
        <v>3</v>
      </c>
      <c r="BZ103">
        <v>70</v>
      </c>
      <c r="CA103">
        <v>10</v>
      </c>
      <c r="CE103">
        <v>0</v>
      </c>
      <c r="CF103">
        <v>0</v>
      </c>
      <c r="CG103">
        <v>0</v>
      </c>
      <c r="CM103">
        <v>0</v>
      </c>
      <c r="CN103" t="s">
        <v>3</v>
      </c>
      <c r="CO103">
        <v>0</v>
      </c>
      <c r="CP103">
        <f t="shared" si="94"/>
        <v>1676.19</v>
      </c>
      <c r="CQ103">
        <f t="shared" si="95"/>
        <v>0</v>
      </c>
      <c r="CR103">
        <f>((((ET103)*BB103-(EU103)*BS103)+AE103*BS103)*AV103)</f>
        <v>50.93</v>
      </c>
      <c r="CS103">
        <f t="shared" si="96"/>
        <v>0.27</v>
      </c>
      <c r="CT103">
        <f t="shared" si="97"/>
        <v>9261.2199999999993</v>
      </c>
      <c r="CU103">
        <f t="shared" si="98"/>
        <v>0</v>
      </c>
      <c r="CV103">
        <f t="shared" si="99"/>
        <v>63.52</v>
      </c>
      <c r="CW103">
        <f t="shared" si="100"/>
        <v>0</v>
      </c>
      <c r="CX103">
        <f t="shared" si="101"/>
        <v>0</v>
      </c>
      <c r="CY103">
        <f t="shared" si="102"/>
        <v>1166.914</v>
      </c>
      <c r="CZ103">
        <f t="shared" si="103"/>
        <v>166.702</v>
      </c>
      <c r="DC103" t="s">
        <v>3</v>
      </c>
      <c r="DD103" t="s">
        <v>3</v>
      </c>
      <c r="DE103" t="s">
        <v>3</v>
      </c>
      <c r="DF103" t="s">
        <v>3</v>
      </c>
      <c r="DG103" t="s">
        <v>3</v>
      </c>
      <c r="DH103" t="s">
        <v>3</v>
      </c>
      <c r="DI103" t="s">
        <v>3</v>
      </c>
      <c r="DJ103" t="s">
        <v>3</v>
      </c>
      <c r="DK103" t="s">
        <v>3</v>
      </c>
      <c r="DL103" t="s">
        <v>3</v>
      </c>
      <c r="DM103" t="s">
        <v>3</v>
      </c>
      <c r="DN103">
        <v>0</v>
      </c>
      <c r="DO103">
        <v>0</v>
      </c>
      <c r="DP103">
        <v>1</v>
      </c>
      <c r="DQ103">
        <v>1</v>
      </c>
      <c r="DU103">
        <v>1005</v>
      </c>
      <c r="DV103" t="s">
        <v>28</v>
      </c>
      <c r="DW103" t="s">
        <v>28</v>
      </c>
      <c r="DX103">
        <v>100</v>
      </c>
      <c r="EE103">
        <v>67874524</v>
      </c>
      <c r="EF103">
        <v>1</v>
      </c>
      <c r="EG103" t="s">
        <v>20</v>
      </c>
      <c r="EH103">
        <v>0</v>
      </c>
      <c r="EI103" t="s">
        <v>3</v>
      </c>
      <c r="EJ103">
        <v>4</v>
      </c>
      <c r="EK103">
        <v>0</v>
      </c>
      <c r="EL103" t="s">
        <v>21</v>
      </c>
      <c r="EM103" t="s">
        <v>22</v>
      </c>
      <c r="EO103" t="s">
        <v>3</v>
      </c>
      <c r="EQ103">
        <v>0</v>
      </c>
      <c r="ER103">
        <v>9312.15</v>
      </c>
      <c r="ES103">
        <v>0</v>
      </c>
      <c r="ET103">
        <v>50.93</v>
      </c>
      <c r="EU103">
        <v>0.27</v>
      </c>
      <c r="EV103">
        <v>9261.2199999999993</v>
      </c>
      <c r="EW103">
        <v>63.52</v>
      </c>
      <c r="EX103">
        <v>0</v>
      </c>
      <c r="EY103">
        <v>0</v>
      </c>
      <c r="FQ103">
        <v>0</v>
      </c>
      <c r="FR103">
        <f t="shared" si="104"/>
        <v>0</v>
      </c>
      <c r="FS103">
        <v>0</v>
      </c>
      <c r="FX103">
        <v>70</v>
      </c>
      <c r="FY103">
        <v>10</v>
      </c>
      <c r="GA103" t="s">
        <v>3</v>
      </c>
      <c r="GD103">
        <v>0</v>
      </c>
      <c r="GF103">
        <v>2105943919</v>
      </c>
      <c r="GG103">
        <v>2</v>
      </c>
      <c r="GH103">
        <v>1</v>
      </c>
      <c r="GI103">
        <v>-2</v>
      </c>
      <c r="GJ103">
        <v>0</v>
      </c>
      <c r="GK103">
        <f>ROUND(R103*(R12)/100,2)</f>
        <v>0.05</v>
      </c>
      <c r="GL103">
        <f t="shared" si="105"/>
        <v>0</v>
      </c>
      <c r="GM103">
        <f t="shared" si="106"/>
        <v>3009.85</v>
      </c>
      <c r="GN103">
        <f t="shared" si="107"/>
        <v>0</v>
      </c>
      <c r="GO103">
        <f t="shared" si="108"/>
        <v>0</v>
      </c>
      <c r="GP103">
        <f t="shared" si="109"/>
        <v>3009.85</v>
      </c>
      <c r="GR103">
        <v>0</v>
      </c>
      <c r="GS103">
        <v>3</v>
      </c>
      <c r="GT103">
        <v>0</v>
      </c>
      <c r="GU103" t="s">
        <v>3</v>
      </c>
      <c r="GV103">
        <f t="shared" ref="GV103:GV119" si="112">ROUND((GT103),6)</f>
        <v>0</v>
      </c>
      <c r="GW103">
        <v>1</v>
      </c>
      <c r="GX103">
        <f t="shared" si="110"/>
        <v>0</v>
      </c>
      <c r="HA103">
        <v>0</v>
      </c>
      <c r="HB103">
        <v>0</v>
      </c>
      <c r="HC103">
        <f t="shared" si="111"/>
        <v>0</v>
      </c>
      <c r="IK103">
        <v>0</v>
      </c>
    </row>
    <row r="104" spans="1:245" x14ac:dyDescent="0.2">
      <c r="A104">
        <v>17</v>
      </c>
      <c r="B104">
        <v>1</v>
      </c>
      <c r="D104">
        <f>ROW(EtalonRes!A179)</f>
        <v>179</v>
      </c>
      <c r="E104" t="s">
        <v>3</v>
      </c>
      <c r="F104" t="s">
        <v>207</v>
      </c>
      <c r="G104" t="s">
        <v>208</v>
      </c>
      <c r="H104" t="s">
        <v>35</v>
      </c>
      <c r="I104">
        <f>ROUND(140/1000,9)</f>
        <v>0.14000000000000001</v>
      </c>
      <c r="J104">
        <v>0</v>
      </c>
      <c r="O104">
        <f t="shared" si="78"/>
        <v>393.86</v>
      </c>
      <c r="P104">
        <f t="shared" si="79"/>
        <v>0</v>
      </c>
      <c r="Q104">
        <f t="shared" si="80"/>
        <v>35.04</v>
      </c>
      <c r="R104">
        <f t="shared" si="81"/>
        <v>0.03</v>
      </c>
      <c r="S104">
        <f t="shared" si="82"/>
        <v>358.82</v>
      </c>
      <c r="T104">
        <f t="shared" si="83"/>
        <v>0</v>
      </c>
      <c r="U104">
        <f t="shared" si="84"/>
        <v>1.3748000000000002</v>
      </c>
      <c r="V104">
        <f t="shared" si="85"/>
        <v>0</v>
      </c>
      <c r="W104">
        <f t="shared" si="86"/>
        <v>0</v>
      </c>
      <c r="X104">
        <f t="shared" si="87"/>
        <v>251.17</v>
      </c>
      <c r="Y104">
        <f t="shared" si="88"/>
        <v>35.880000000000003</v>
      </c>
      <c r="AA104">
        <v>-1</v>
      </c>
      <c r="AB104">
        <f t="shared" si="89"/>
        <v>2813.3159999999998</v>
      </c>
      <c r="AC104">
        <f>ROUND(((ES104*0)),6)</f>
        <v>0</v>
      </c>
      <c r="AD104">
        <f>ROUND(((((ET104*0.2))-((EU104*0.2)))+AE104),6)</f>
        <v>250.29599999999999</v>
      </c>
      <c r="AE104">
        <f>ROUND(((EU104*0.2)),6)</f>
        <v>0.22800000000000001</v>
      </c>
      <c r="AF104">
        <f>ROUND(((EV104*0.2)),6)</f>
        <v>2563.02</v>
      </c>
      <c r="AG104">
        <f t="shared" si="91"/>
        <v>0</v>
      </c>
      <c r="AH104">
        <f>((EW104*0.2))</f>
        <v>9.82</v>
      </c>
      <c r="AI104">
        <f>((EX104*0.2))</f>
        <v>0</v>
      </c>
      <c r="AJ104">
        <f t="shared" si="93"/>
        <v>0</v>
      </c>
      <c r="AK104">
        <v>71731.350000000006</v>
      </c>
      <c r="AL104">
        <v>57664.77</v>
      </c>
      <c r="AM104">
        <v>1251.48</v>
      </c>
      <c r="AN104">
        <v>1.1399999999999999</v>
      </c>
      <c r="AO104">
        <v>12815.1</v>
      </c>
      <c r="AP104">
        <v>0</v>
      </c>
      <c r="AQ104">
        <v>49.1</v>
      </c>
      <c r="AR104">
        <v>0</v>
      </c>
      <c r="AS104">
        <v>0</v>
      </c>
      <c r="AT104">
        <v>70</v>
      </c>
      <c r="AU104">
        <v>10</v>
      </c>
      <c r="AV104">
        <v>1</v>
      </c>
      <c r="AW104">
        <v>1</v>
      </c>
      <c r="AZ104">
        <v>1</v>
      </c>
      <c r="BA104">
        <v>1</v>
      </c>
      <c r="BB104">
        <v>1</v>
      </c>
      <c r="BC104">
        <v>1</v>
      </c>
      <c r="BD104" t="s">
        <v>3</v>
      </c>
      <c r="BE104" t="s">
        <v>3</v>
      </c>
      <c r="BF104" t="s">
        <v>3</v>
      </c>
      <c r="BG104" t="s">
        <v>3</v>
      </c>
      <c r="BH104">
        <v>0</v>
      </c>
      <c r="BI104">
        <v>4</v>
      </c>
      <c r="BJ104" t="s">
        <v>209</v>
      </c>
      <c r="BM104">
        <v>0</v>
      </c>
      <c r="BN104">
        <v>0</v>
      </c>
      <c r="BO104" t="s">
        <v>3</v>
      </c>
      <c r="BP104">
        <v>0</v>
      </c>
      <c r="BQ104">
        <v>1</v>
      </c>
      <c r="BR104">
        <v>0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 t="s">
        <v>3</v>
      </c>
      <c r="BZ104">
        <v>70</v>
      </c>
      <c r="CA104">
        <v>10</v>
      </c>
      <c r="CE104">
        <v>0</v>
      </c>
      <c r="CF104">
        <v>0</v>
      </c>
      <c r="CG104">
        <v>0</v>
      </c>
      <c r="CM104">
        <v>0</v>
      </c>
      <c r="CN104" t="s">
        <v>3</v>
      </c>
      <c r="CO104">
        <v>0</v>
      </c>
      <c r="CP104">
        <f t="shared" si="94"/>
        <v>393.86</v>
      </c>
      <c r="CQ104">
        <f t="shared" si="95"/>
        <v>0</v>
      </c>
      <c r="CR104">
        <f>(((((ET104*0.2))*BB104-((EU104*0.2))*BS104)+AE104*BS104)*AV104)</f>
        <v>250.29600000000002</v>
      </c>
      <c r="CS104">
        <f t="shared" si="96"/>
        <v>0.22800000000000001</v>
      </c>
      <c r="CT104">
        <f t="shared" si="97"/>
        <v>2563.02</v>
      </c>
      <c r="CU104">
        <f t="shared" si="98"/>
        <v>0</v>
      </c>
      <c r="CV104">
        <f t="shared" si="99"/>
        <v>9.82</v>
      </c>
      <c r="CW104">
        <f t="shared" si="100"/>
        <v>0</v>
      </c>
      <c r="CX104">
        <f t="shared" si="101"/>
        <v>0</v>
      </c>
      <c r="CY104">
        <f t="shared" si="102"/>
        <v>251.17399999999998</v>
      </c>
      <c r="CZ104">
        <f t="shared" si="103"/>
        <v>35.881999999999998</v>
      </c>
      <c r="DC104" t="s">
        <v>3</v>
      </c>
      <c r="DD104" t="s">
        <v>52</v>
      </c>
      <c r="DE104" t="s">
        <v>53</v>
      </c>
      <c r="DF104" t="s">
        <v>53</v>
      </c>
      <c r="DG104" t="s">
        <v>53</v>
      </c>
      <c r="DH104" t="s">
        <v>3</v>
      </c>
      <c r="DI104" t="s">
        <v>53</v>
      </c>
      <c r="DJ104" t="s">
        <v>53</v>
      </c>
      <c r="DK104" t="s">
        <v>3</v>
      </c>
      <c r="DL104" t="s">
        <v>3</v>
      </c>
      <c r="DM104" t="s">
        <v>3</v>
      </c>
      <c r="DN104">
        <v>0</v>
      </c>
      <c r="DO104">
        <v>0</v>
      </c>
      <c r="DP104">
        <v>1</v>
      </c>
      <c r="DQ104">
        <v>1</v>
      </c>
      <c r="DU104">
        <v>1009</v>
      </c>
      <c r="DV104" t="s">
        <v>35</v>
      </c>
      <c r="DW104" t="s">
        <v>35</v>
      </c>
      <c r="DX104">
        <v>1000</v>
      </c>
      <c r="EE104">
        <v>67874524</v>
      </c>
      <c r="EF104">
        <v>1</v>
      </c>
      <c r="EG104" t="s">
        <v>20</v>
      </c>
      <c r="EH104">
        <v>0</v>
      </c>
      <c r="EI104" t="s">
        <v>3</v>
      </c>
      <c r="EJ104">
        <v>4</v>
      </c>
      <c r="EK104">
        <v>0</v>
      </c>
      <c r="EL104" t="s">
        <v>21</v>
      </c>
      <c r="EM104" t="s">
        <v>22</v>
      </c>
      <c r="EO104" t="s">
        <v>3</v>
      </c>
      <c r="EQ104">
        <v>1024</v>
      </c>
      <c r="ER104">
        <v>71731.350000000006</v>
      </c>
      <c r="ES104">
        <v>57664.77</v>
      </c>
      <c r="ET104">
        <v>1251.48</v>
      </c>
      <c r="EU104">
        <v>1.1399999999999999</v>
      </c>
      <c r="EV104">
        <v>12815.1</v>
      </c>
      <c r="EW104">
        <v>49.1</v>
      </c>
      <c r="EX104">
        <v>0</v>
      </c>
      <c r="EY104">
        <v>0</v>
      </c>
      <c r="FQ104">
        <v>0</v>
      </c>
      <c r="FR104">
        <f t="shared" si="104"/>
        <v>0</v>
      </c>
      <c r="FS104">
        <v>0</v>
      </c>
      <c r="FX104">
        <v>70</v>
      </c>
      <c r="FY104">
        <v>10</v>
      </c>
      <c r="GA104" t="s">
        <v>3</v>
      </c>
      <c r="GD104">
        <v>0</v>
      </c>
      <c r="GF104">
        <v>-675565401</v>
      </c>
      <c r="GG104">
        <v>2</v>
      </c>
      <c r="GH104">
        <v>1</v>
      </c>
      <c r="GI104">
        <v>-2</v>
      </c>
      <c r="GJ104">
        <v>0</v>
      </c>
      <c r="GK104">
        <f>ROUND(R104*(R12)/100,2)</f>
        <v>0.03</v>
      </c>
      <c r="GL104">
        <f t="shared" si="105"/>
        <v>0</v>
      </c>
      <c r="GM104">
        <f t="shared" si="106"/>
        <v>680.94</v>
      </c>
      <c r="GN104">
        <f t="shared" si="107"/>
        <v>0</v>
      </c>
      <c r="GO104">
        <f t="shared" si="108"/>
        <v>0</v>
      </c>
      <c r="GP104">
        <f t="shared" si="109"/>
        <v>680.94</v>
      </c>
      <c r="GR104">
        <v>0</v>
      </c>
      <c r="GS104">
        <v>3</v>
      </c>
      <c r="GT104">
        <v>0</v>
      </c>
      <c r="GU104" t="s">
        <v>3</v>
      </c>
      <c r="GV104">
        <f t="shared" si="112"/>
        <v>0</v>
      </c>
      <c r="GW104">
        <v>1</v>
      </c>
      <c r="GX104">
        <f t="shared" si="110"/>
        <v>0</v>
      </c>
      <c r="HA104">
        <v>0</v>
      </c>
      <c r="HB104">
        <v>0</v>
      </c>
      <c r="HC104">
        <f t="shared" si="111"/>
        <v>0</v>
      </c>
      <c r="IK104">
        <v>0</v>
      </c>
    </row>
    <row r="105" spans="1:245" x14ac:dyDescent="0.2">
      <c r="A105">
        <v>17</v>
      </c>
      <c r="B105">
        <v>1</v>
      </c>
      <c r="D105">
        <f>ROW(EtalonRes!A187)</f>
        <v>187</v>
      </c>
      <c r="E105" t="s">
        <v>3</v>
      </c>
      <c r="F105" t="s">
        <v>210</v>
      </c>
      <c r="G105" t="s">
        <v>211</v>
      </c>
      <c r="H105" t="s">
        <v>35</v>
      </c>
      <c r="I105">
        <v>0</v>
      </c>
      <c r="J105">
        <v>0</v>
      </c>
      <c r="O105">
        <f t="shared" si="78"/>
        <v>0</v>
      </c>
      <c r="P105">
        <f t="shared" si="79"/>
        <v>0</v>
      </c>
      <c r="Q105">
        <f t="shared" si="80"/>
        <v>0</v>
      </c>
      <c r="R105">
        <f t="shared" si="81"/>
        <v>0</v>
      </c>
      <c r="S105">
        <f t="shared" si="82"/>
        <v>0</v>
      </c>
      <c r="T105">
        <f t="shared" si="83"/>
        <v>0</v>
      </c>
      <c r="U105">
        <f t="shared" si="84"/>
        <v>0</v>
      </c>
      <c r="V105">
        <f t="shared" si="85"/>
        <v>0</v>
      </c>
      <c r="W105">
        <f t="shared" si="86"/>
        <v>0</v>
      </c>
      <c r="X105">
        <f t="shared" si="87"/>
        <v>0</v>
      </c>
      <c r="Y105">
        <f t="shared" si="88"/>
        <v>0</v>
      </c>
      <c r="AA105">
        <v>-1</v>
      </c>
      <c r="AB105">
        <f t="shared" si="89"/>
        <v>87964.08</v>
      </c>
      <c r="AC105">
        <f>ROUND((ES105),6)</f>
        <v>77075</v>
      </c>
      <c r="AD105">
        <f>ROUND((((ET105)-(EU105))+AE105),6)</f>
        <v>266.5</v>
      </c>
      <c r="AE105">
        <f t="shared" ref="AE105:AF108" si="113">ROUND((EU105),6)</f>
        <v>0.49</v>
      </c>
      <c r="AF105">
        <f t="shared" si="113"/>
        <v>10622.58</v>
      </c>
      <c r="AG105">
        <f t="shared" si="91"/>
        <v>0</v>
      </c>
      <c r="AH105">
        <f t="shared" ref="AH105:AI108" si="114">(EW105)</f>
        <v>41.28</v>
      </c>
      <c r="AI105">
        <f t="shared" si="114"/>
        <v>0</v>
      </c>
      <c r="AJ105">
        <f t="shared" si="93"/>
        <v>0</v>
      </c>
      <c r="AK105">
        <v>87964.08</v>
      </c>
      <c r="AL105">
        <v>77075</v>
      </c>
      <c r="AM105">
        <v>266.5</v>
      </c>
      <c r="AN105">
        <v>0.49</v>
      </c>
      <c r="AO105">
        <v>10622.58</v>
      </c>
      <c r="AP105">
        <v>0</v>
      </c>
      <c r="AQ105">
        <v>41.28</v>
      </c>
      <c r="AR105">
        <v>0</v>
      </c>
      <c r="AS105">
        <v>0</v>
      </c>
      <c r="AT105">
        <v>70</v>
      </c>
      <c r="AU105">
        <v>10</v>
      </c>
      <c r="AV105">
        <v>1</v>
      </c>
      <c r="AW105">
        <v>1</v>
      </c>
      <c r="AZ105">
        <v>1</v>
      </c>
      <c r="BA105">
        <v>1</v>
      </c>
      <c r="BB105">
        <v>1</v>
      </c>
      <c r="BC105">
        <v>1</v>
      </c>
      <c r="BD105" t="s">
        <v>3</v>
      </c>
      <c r="BE105" t="s">
        <v>3</v>
      </c>
      <c r="BF105" t="s">
        <v>3</v>
      </c>
      <c r="BG105" t="s">
        <v>3</v>
      </c>
      <c r="BH105">
        <v>0</v>
      </c>
      <c r="BI105">
        <v>4</v>
      </c>
      <c r="BJ105" t="s">
        <v>212</v>
      </c>
      <c r="BM105">
        <v>0</v>
      </c>
      <c r="BN105">
        <v>0</v>
      </c>
      <c r="BO105" t="s">
        <v>3</v>
      </c>
      <c r="BP105">
        <v>0</v>
      </c>
      <c r="BQ105">
        <v>1</v>
      </c>
      <c r="BR105">
        <v>0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 t="s">
        <v>3</v>
      </c>
      <c r="BZ105">
        <v>70</v>
      </c>
      <c r="CA105">
        <v>10</v>
      </c>
      <c r="CE105">
        <v>0</v>
      </c>
      <c r="CF105">
        <v>0</v>
      </c>
      <c r="CG105">
        <v>0</v>
      </c>
      <c r="CM105">
        <v>0</v>
      </c>
      <c r="CN105" t="s">
        <v>3</v>
      </c>
      <c r="CO105">
        <v>0</v>
      </c>
      <c r="CP105">
        <f t="shared" si="94"/>
        <v>0</v>
      </c>
      <c r="CQ105">
        <f t="shared" si="95"/>
        <v>77075</v>
      </c>
      <c r="CR105">
        <f>((((ET105)*BB105-(EU105)*BS105)+AE105*BS105)*AV105)</f>
        <v>266.5</v>
      </c>
      <c r="CS105">
        <f t="shared" si="96"/>
        <v>0.49</v>
      </c>
      <c r="CT105">
        <f t="shared" si="97"/>
        <v>10622.58</v>
      </c>
      <c r="CU105">
        <f t="shared" si="98"/>
        <v>0</v>
      </c>
      <c r="CV105">
        <f t="shared" si="99"/>
        <v>41.28</v>
      </c>
      <c r="CW105">
        <f t="shared" si="100"/>
        <v>0</v>
      </c>
      <c r="CX105">
        <f t="shared" si="101"/>
        <v>0</v>
      </c>
      <c r="CY105">
        <f t="shared" si="102"/>
        <v>0</v>
      </c>
      <c r="CZ105">
        <f t="shared" si="103"/>
        <v>0</v>
      </c>
      <c r="DC105" t="s">
        <v>3</v>
      </c>
      <c r="DD105" t="s">
        <v>3</v>
      </c>
      <c r="DE105" t="s">
        <v>3</v>
      </c>
      <c r="DF105" t="s">
        <v>3</v>
      </c>
      <c r="DG105" t="s">
        <v>3</v>
      </c>
      <c r="DH105" t="s">
        <v>3</v>
      </c>
      <c r="DI105" t="s">
        <v>3</v>
      </c>
      <c r="DJ105" t="s">
        <v>3</v>
      </c>
      <c r="DK105" t="s">
        <v>3</v>
      </c>
      <c r="DL105" t="s">
        <v>3</v>
      </c>
      <c r="DM105" t="s">
        <v>3</v>
      </c>
      <c r="DN105">
        <v>0</v>
      </c>
      <c r="DO105">
        <v>0</v>
      </c>
      <c r="DP105">
        <v>1</v>
      </c>
      <c r="DQ105">
        <v>1</v>
      </c>
      <c r="DU105">
        <v>1009</v>
      </c>
      <c r="DV105" t="s">
        <v>35</v>
      </c>
      <c r="DW105" t="s">
        <v>35</v>
      </c>
      <c r="DX105">
        <v>1000</v>
      </c>
      <c r="EE105">
        <v>67874524</v>
      </c>
      <c r="EF105">
        <v>1</v>
      </c>
      <c r="EG105" t="s">
        <v>20</v>
      </c>
      <c r="EH105">
        <v>0</v>
      </c>
      <c r="EI105" t="s">
        <v>3</v>
      </c>
      <c r="EJ105">
        <v>4</v>
      </c>
      <c r="EK105">
        <v>0</v>
      </c>
      <c r="EL105" t="s">
        <v>21</v>
      </c>
      <c r="EM105" t="s">
        <v>22</v>
      </c>
      <c r="EO105" t="s">
        <v>3</v>
      </c>
      <c r="EQ105">
        <v>1024</v>
      </c>
      <c r="ER105">
        <v>87964.08</v>
      </c>
      <c r="ES105">
        <v>77075</v>
      </c>
      <c r="ET105">
        <v>266.5</v>
      </c>
      <c r="EU105">
        <v>0.49</v>
      </c>
      <c r="EV105">
        <v>10622.58</v>
      </c>
      <c r="EW105">
        <v>41.28</v>
      </c>
      <c r="EX105">
        <v>0</v>
      </c>
      <c r="EY105">
        <v>0</v>
      </c>
      <c r="FQ105">
        <v>0</v>
      </c>
      <c r="FR105">
        <f t="shared" si="104"/>
        <v>0</v>
      </c>
      <c r="FS105">
        <v>0</v>
      </c>
      <c r="FX105">
        <v>70</v>
      </c>
      <c r="FY105">
        <v>10</v>
      </c>
      <c r="GA105" t="s">
        <v>3</v>
      </c>
      <c r="GD105">
        <v>0</v>
      </c>
      <c r="GF105">
        <v>-162175492</v>
      </c>
      <c r="GG105">
        <v>2</v>
      </c>
      <c r="GH105">
        <v>1</v>
      </c>
      <c r="GI105">
        <v>-2</v>
      </c>
      <c r="GJ105">
        <v>0</v>
      </c>
      <c r="GK105">
        <f>ROUND(R105*(R12)/100,2)</f>
        <v>0</v>
      </c>
      <c r="GL105">
        <f t="shared" si="105"/>
        <v>0</v>
      </c>
      <c r="GM105">
        <f t="shared" si="106"/>
        <v>0</v>
      </c>
      <c r="GN105">
        <f t="shared" si="107"/>
        <v>0</v>
      </c>
      <c r="GO105">
        <f t="shared" si="108"/>
        <v>0</v>
      </c>
      <c r="GP105">
        <f t="shared" si="109"/>
        <v>0</v>
      </c>
      <c r="GR105">
        <v>0</v>
      </c>
      <c r="GS105">
        <v>3</v>
      </c>
      <c r="GT105">
        <v>0</v>
      </c>
      <c r="GU105" t="s">
        <v>3</v>
      </c>
      <c r="GV105">
        <f t="shared" si="112"/>
        <v>0</v>
      </c>
      <c r="GW105">
        <v>1</v>
      </c>
      <c r="GX105">
        <f t="shared" si="110"/>
        <v>0</v>
      </c>
      <c r="HA105">
        <v>0</v>
      </c>
      <c r="HB105">
        <v>0</v>
      </c>
      <c r="HC105">
        <f t="shared" si="111"/>
        <v>0</v>
      </c>
      <c r="IK105">
        <v>0</v>
      </c>
    </row>
    <row r="106" spans="1:245" x14ac:dyDescent="0.2">
      <c r="A106">
        <v>17</v>
      </c>
      <c r="B106">
        <v>1</v>
      </c>
      <c r="D106">
        <f>ROW(EtalonRes!A192)</f>
        <v>192</v>
      </c>
      <c r="E106" t="s">
        <v>3</v>
      </c>
      <c r="F106" t="s">
        <v>112</v>
      </c>
      <c r="G106" t="s">
        <v>213</v>
      </c>
      <c r="H106" t="s">
        <v>35</v>
      </c>
      <c r="I106">
        <v>0</v>
      </c>
      <c r="J106">
        <v>0</v>
      </c>
      <c r="O106">
        <f t="shared" si="78"/>
        <v>0</v>
      </c>
      <c r="P106">
        <f t="shared" si="79"/>
        <v>0</v>
      </c>
      <c r="Q106">
        <f t="shared" si="80"/>
        <v>0</v>
      </c>
      <c r="R106">
        <f t="shared" si="81"/>
        <v>0</v>
      </c>
      <c r="S106">
        <f t="shared" si="82"/>
        <v>0</v>
      </c>
      <c r="T106">
        <f t="shared" si="83"/>
        <v>0</v>
      </c>
      <c r="U106">
        <f t="shared" si="84"/>
        <v>0</v>
      </c>
      <c r="V106">
        <f t="shared" si="85"/>
        <v>0</v>
      </c>
      <c r="W106">
        <f t="shared" si="86"/>
        <v>0</v>
      </c>
      <c r="X106">
        <f t="shared" si="87"/>
        <v>0</v>
      </c>
      <c r="Y106">
        <f t="shared" si="88"/>
        <v>0</v>
      </c>
      <c r="AA106">
        <v>-1</v>
      </c>
      <c r="AB106">
        <f t="shared" si="89"/>
        <v>115912.21</v>
      </c>
      <c r="AC106">
        <f>ROUND((ES106),6)</f>
        <v>80685.39</v>
      </c>
      <c r="AD106">
        <f>ROUND((((ET106)-(EU106))+AE106),6)</f>
        <v>899</v>
      </c>
      <c r="AE106">
        <f t="shared" si="113"/>
        <v>39.15</v>
      </c>
      <c r="AF106">
        <f t="shared" si="113"/>
        <v>34327.82</v>
      </c>
      <c r="AG106">
        <f t="shared" si="91"/>
        <v>0</v>
      </c>
      <c r="AH106">
        <f t="shared" si="114"/>
        <v>133.4</v>
      </c>
      <c r="AI106">
        <f t="shared" si="114"/>
        <v>0</v>
      </c>
      <c r="AJ106">
        <f t="shared" si="93"/>
        <v>0</v>
      </c>
      <c r="AK106">
        <v>115912.21</v>
      </c>
      <c r="AL106">
        <v>80685.39</v>
      </c>
      <c r="AM106">
        <v>899</v>
      </c>
      <c r="AN106">
        <v>39.15</v>
      </c>
      <c r="AO106">
        <v>34327.82</v>
      </c>
      <c r="AP106">
        <v>0</v>
      </c>
      <c r="AQ106">
        <v>133.4</v>
      </c>
      <c r="AR106">
        <v>0</v>
      </c>
      <c r="AS106">
        <v>0</v>
      </c>
      <c r="AT106">
        <v>70</v>
      </c>
      <c r="AU106">
        <v>10</v>
      </c>
      <c r="AV106">
        <v>1</v>
      </c>
      <c r="AW106">
        <v>1</v>
      </c>
      <c r="AZ106">
        <v>1</v>
      </c>
      <c r="BA106">
        <v>1</v>
      </c>
      <c r="BB106">
        <v>1</v>
      </c>
      <c r="BC106">
        <v>1</v>
      </c>
      <c r="BD106" t="s">
        <v>3</v>
      </c>
      <c r="BE106" t="s">
        <v>3</v>
      </c>
      <c r="BF106" t="s">
        <v>3</v>
      </c>
      <c r="BG106" t="s">
        <v>3</v>
      </c>
      <c r="BH106">
        <v>0</v>
      </c>
      <c r="BI106">
        <v>4</v>
      </c>
      <c r="BJ106" t="s">
        <v>114</v>
      </c>
      <c r="BM106">
        <v>0</v>
      </c>
      <c r="BN106">
        <v>0</v>
      </c>
      <c r="BO106" t="s">
        <v>3</v>
      </c>
      <c r="BP106">
        <v>0</v>
      </c>
      <c r="BQ106">
        <v>1</v>
      </c>
      <c r="BR106">
        <v>0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 t="s">
        <v>3</v>
      </c>
      <c r="BZ106">
        <v>70</v>
      </c>
      <c r="CA106">
        <v>10</v>
      </c>
      <c r="CE106">
        <v>0</v>
      </c>
      <c r="CF106">
        <v>0</v>
      </c>
      <c r="CG106">
        <v>0</v>
      </c>
      <c r="CM106">
        <v>0</v>
      </c>
      <c r="CN106" t="s">
        <v>3</v>
      </c>
      <c r="CO106">
        <v>0</v>
      </c>
      <c r="CP106">
        <f t="shared" si="94"/>
        <v>0</v>
      </c>
      <c r="CQ106">
        <f t="shared" si="95"/>
        <v>80685.39</v>
      </c>
      <c r="CR106">
        <f>((((ET106)*BB106-(EU106)*BS106)+AE106*BS106)*AV106)</f>
        <v>899</v>
      </c>
      <c r="CS106">
        <f t="shared" si="96"/>
        <v>39.15</v>
      </c>
      <c r="CT106">
        <f t="shared" si="97"/>
        <v>34327.82</v>
      </c>
      <c r="CU106">
        <f t="shared" si="98"/>
        <v>0</v>
      </c>
      <c r="CV106">
        <f t="shared" si="99"/>
        <v>133.4</v>
      </c>
      <c r="CW106">
        <f t="shared" si="100"/>
        <v>0</v>
      </c>
      <c r="CX106">
        <f t="shared" si="101"/>
        <v>0</v>
      </c>
      <c r="CY106">
        <f t="shared" si="102"/>
        <v>0</v>
      </c>
      <c r="CZ106">
        <f t="shared" si="103"/>
        <v>0</v>
      </c>
      <c r="DC106" t="s">
        <v>3</v>
      </c>
      <c r="DD106" t="s">
        <v>3</v>
      </c>
      <c r="DE106" t="s">
        <v>3</v>
      </c>
      <c r="DF106" t="s">
        <v>3</v>
      </c>
      <c r="DG106" t="s">
        <v>3</v>
      </c>
      <c r="DH106" t="s">
        <v>3</v>
      </c>
      <c r="DI106" t="s">
        <v>3</v>
      </c>
      <c r="DJ106" t="s">
        <v>3</v>
      </c>
      <c r="DK106" t="s">
        <v>3</v>
      </c>
      <c r="DL106" t="s">
        <v>3</v>
      </c>
      <c r="DM106" t="s">
        <v>3</v>
      </c>
      <c r="DN106">
        <v>0</v>
      </c>
      <c r="DO106">
        <v>0</v>
      </c>
      <c r="DP106">
        <v>1</v>
      </c>
      <c r="DQ106">
        <v>1</v>
      </c>
      <c r="DU106">
        <v>1009</v>
      </c>
      <c r="DV106" t="s">
        <v>35</v>
      </c>
      <c r="DW106" t="s">
        <v>35</v>
      </c>
      <c r="DX106">
        <v>1000</v>
      </c>
      <c r="EE106">
        <v>67874524</v>
      </c>
      <c r="EF106">
        <v>1</v>
      </c>
      <c r="EG106" t="s">
        <v>20</v>
      </c>
      <c r="EH106">
        <v>0</v>
      </c>
      <c r="EI106" t="s">
        <v>3</v>
      </c>
      <c r="EJ106">
        <v>4</v>
      </c>
      <c r="EK106">
        <v>0</v>
      </c>
      <c r="EL106" t="s">
        <v>21</v>
      </c>
      <c r="EM106" t="s">
        <v>22</v>
      </c>
      <c r="EO106" t="s">
        <v>3</v>
      </c>
      <c r="EQ106">
        <v>1024</v>
      </c>
      <c r="ER106">
        <v>115912.21</v>
      </c>
      <c r="ES106">
        <v>80685.39</v>
      </c>
      <c r="ET106">
        <v>899</v>
      </c>
      <c r="EU106">
        <v>39.15</v>
      </c>
      <c r="EV106">
        <v>34327.82</v>
      </c>
      <c r="EW106">
        <v>133.4</v>
      </c>
      <c r="EX106">
        <v>0</v>
      </c>
      <c r="EY106">
        <v>0</v>
      </c>
      <c r="FQ106">
        <v>0</v>
      </c>
      <c r="FR106">
        <f t="shared" si="104"/>
        <v>0</v>
      </c>
      <c r="FS106">
        <v>0</v>
      </c>
      <c r="FX106">
        <v>70</v>
      </c>
      <c r="FY106">
        <v>10</v>
      </c>
      <c r="GA106" t="s">
        <v>3</v>
      </c>
      <c r="GD106">
        <v>0</v>
      </c>
      <c r="GF106">
        <v>-858145030</v>
      </c>
      <c r="GG106">
        <v>2</v>
      </c>
      <c r="GH106">
        <v>1</v>
      </c>
      <c r="GI106">
        <v>-2</v>
      </c>
      <c r="GJ106">
        <v>0</v>
      </c>
      <c r="GK106">
        <f>ROUND(R106*(R12)/100,2)</f>
        <v>0</v>
      </c>
      <c r="GL106">
        <f t="shared" si="105"/>
        <v>0</v>
      </c>
      <c r="GM106">
        <f t="shared" si="106"/>
        <v>0</v>
      </c>
      <c r="GN106">
        <f t="shared" si="107"/>
        <v>0</v>
      </c>
      <c r="GO106">
        <f t="shared" si="108"/>
        <v>0</v>
      </c>
      <c r="GP106">
        <f t="shared" si="109"/>
        <v>0</v>
      </c>
      <c r="GR106">
        <v>0</v>
      </c>
      <c r="GS106">
        <v>3</v>
      </c>
      <c r="GT106">
        <v>0</v>
      </c>
      <c r="GU106" t="s">
        <v>3</v>
      </c>
      <c r="GV106">
        <f t="shared" si="112"/>
        <v>0</v>
      </c>
      <c r="GW106">
        <v>1</v>
      </c>
      <c r="GX106">
        <f t="shared" si="110"/>
        <v>0</v>
      </c>
      <c r="HA106">
        <v>0</v>
      </c>
      <c r="HB106">
        <v>0</v>
      </c>
      <c r="HC106">
        <f t="shared" si="111"/>
        <v>0</v>
      </c>
      <c r="IK106">
        <v>0</v>
      </c>
    </row>
    <row r="107" spans="1:245" x14ac:dyDescent="0.2">
      <c r="A107">
        <v>17</v>
      </c>
      <c r="B107">
        <v>1</v>
      </c>
      <c r="D107">
        <f>ROW(EtalonRes!A199)</f>
        <v>199</v>
      </c>
      <c r="E107" t="s">
        <v>3</v>
      </c>
      <c r="F107" t="s">
        <v>214</v>
      </c>
      <c r="G107" t="s">
        <v>215</v>
      </c>
      <c r="H107" t="s">
        <v>35</v>
      </c>
      <c r="I107">
        <v>0</v>
      </c>
      <c r="J107">
        <v>0</v>
      </c>
      <c r="O107">
        <f t="shared" si="78"/>
        <v>0</v>
      </c>
      <c r="P107">
        <f t="shared" si="79"/>
        <v>0</v>
      </c>
      <c r="Q107">
        <f t="shared" si="80"/>
        <v>0</v>
      </c>
      <c r="R107">
        <f t="shared" si="81"/>
        <v>0</v>
      </c>
      <c r="S107">
        <f t="shared" si="82"/>
        <v>0</v>
      </c>
      <c r="T107">
        <f t="shared" si="83"/>
        <v>0</v>
      </c>
      <c r="U107">
        <f t="shared" si="84"/>
        <v>0</v>
      </c>
      <c r="V107">
        <f t="shared" si="85"/>
        <v>0</v>
      </c>
      <c r="W107">
        <f t="shared" si="86"/>
        <v>0</v>
      </c>
      <c r="X107">
        <f t="shared" si="87"/>
        <v>0</v>
      </c>
      <c r="Y107">
        <f t="shared" si="88"/>
        <v>0</v>
      </c>
      <c r="AA107">
        <v>-1</v>
      </c>
      <c r="AB107">
        <f t="shared" si="89"/>
        <v>96192.86</v>
      </c>
      <c r="AC107">
        <f>ROUND((ES107),6)</f>
        <v>80830.61</v>
      </c>
      <c r="AD107">
        <f>ROUND((((ET107)-(EU107))+AE107),6)</f>
        <v>1571.94</v>
      </c>
      <c r="AE107">
        <f t="shared" si="113"/>
        <v>17.72</v>
      </c>
      <c r="AF107">
        <f t="shared" si="113"/>
        <v>13790.31</v>
      </c>
      <c r="AG107">
        <f t="shared" si="91"/>
        <v>0</v>
      </c>
      <c r="AH107">
        <f t="shared" si="114"/>
        <v>53.59</v>
      </c>
      <c r="AI107">
        <f t="shared" si="114"/>
        <v>0</v>
      </c>
      <c r="AJ107">
        <f t="shared" si="93"/>
        <v>0</v>
      </c>
      <c r="AK107">
        <v>96192.86</v>
      </c>
      <c r="AL107">
        <v>80830.61</v>
      </c>
      <c r="AM107">
        <v>1571.94</v>
      </c>
      <c r="AN107">
        <v>17.72</v>
      </c>
      <c r="AO107">
        <v>13790.31</v>
      </c>
      <c r="AP107">
        <v>0</v>
      </c>
      <c r="AQ107">
        <v>53.59</v>
      </c>
      <c r="AR107">
        <v>0</v>
      </c>
      <c r="AS107">
        <v>0</v>
      </c>
      <c r="AT107">
        <v>70</v>
      </c>
      <c r="AU107">
        <v>10</v>
      </c>
      <c r="AV107">
        <v>1</v>
      </c>
      <c r="AW107">
        <v>1</v>
      </c>
      <c r="AZ107">
        <v>1</v>
      </c>
      <c r="BA107">
        <v>1</v>
      </c>
      <c r="BB107">
        <v>1</v>
      </c>
      <c r="BC107">
        <v>1</v>
      </c>
      <c r="BD107" t="s">
        <v>3</v>
      </c>
      <c r="BE107" t="s">
        <v>3</v>
      </c>
      <c r="BF107" t="s">
        <v>3</v>
      </c>
      <c r="BG107" t="s">
        <v>3</v>
      </c>
      <c r="BH107">
        <v>0</v>
      </c>
      <c r="BI107">
        <v>4</v>
      </c>
      <c r="BJ107" t="s">
        <v>216</v>
      </c>
      <c r="BM107">
        <v>0</v>
      </c>
      <c r="BN107">
        <v>0</v>
      </c>
      <c r="BO107" t="s">
        <v>3</v>
      </c>
      <c r="BP107">
        <v>0</v>
      </c>
      <c r="BQ107">
        <v>1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 t="s">
        <v>3</v>
      </c>
      <c r="BZ107">
        <v>70</v>
      </c>
      <c r="CA107">
        <v>10</v>
      </c>
      <c r="CE107">
        <v>0</v>
      </c>
      <c r="CF107">
        <v>0</v>
      </c>
      <c r="CG107">
        <v>0</v>
      </c>
      <c r="CM107">
        <v>0</v>
      </c>
      <c r="CN107" t="s">
        <v>3</v>
      </c>
      <c r="CO107">
        <v>0</v>
      </c>
      <c r="CP107">
        <f t="shared" si="94"/>
        <v>0</v>
      </c>
      <c r="CQ107">
        <f t="shared" si="95"/>
        <v>80830.61</v>
      </c>
      <c r="CR107">
        <f>((((ET107)*BB107-(EU107)*BS107)+AE107*BS107)*AV107)</f>
        <v>1571.94</v>
      </c>
      <c r="CS107">
        <f t="shared" si="96"/>
        <v>17.72</v>
      </c>
      <c r="CT107">
        <f t="shared" si="97"/>
        <v>13790.31</v>
      </c>
      <c r="CU107">
        <f t="shared" si="98"/>
        <v>0</v>
      </c>
      <c r="CV107">
        <f t="shared" si="99"/>
        <v>53.59</v>
      </c>
      <c r="CW107">
        <f t="shared" si="100"/>
        <v>0</v>
      </c>
      <c r="CX107">
        <f t="shared" si="101"/>
        <v>0</v>
      </c>
      <c r="CY107">
        <f t="shared" si="102"/>
        <v>0</v>
      </c>
      <c r="CZ107">
        <f t="shared" si="103"/>
        <v>0</v>
      </c>
      <c r="DC107" t="s">
        <v>3</v>
      </c>
      <c r="DD107" t="s">
        <v>3</v>
      </c>
      <c r="DE107" t="s">
        <v>3</v>
      </c>
      <c r="DF107" t="s">
        <v>3</v>
      </c>
      <c r="DG107" t="s">
        <v>3</v>
      </c>
      <c r="DH107" t="s">
        <v>3</v>
      </c>
      <c r="DI107" t="s">
        <v>3</v>
      </c>
      <c r="DJ107" t="s">
        <v>3</v>
      </c>
      <c r="DK107" t="s">
        <v>3</v>
      </c>
      <c r="DL107" t="s">
        <v>3</v>
      </c>
      <c r="DM107" t="s">
        <v>3</v>
      </c>
      <c r="DN107">
        <v>0</v>
      </c>
      <c r="DO107">
        <v>0</v>
      </c>
      <c r="DP107">
        <v>1</v>
      </c>
      <c r="DQ107">
        <v>1</v>
      </c>
      <c r="DU107">
        <v>1009</v>
      </c>
      <c r="DV107" t="s">
        <v>35</v>
      </c>
      <c r="DW107" t="s">
        <v>35</v>
      </c>
      <c r="DX107">
        <v>1000</v>
      </c>
      <c r="EE107">
        <v>67874524</v>
      </c>
      <c r="EF107">
        <v>1</v>
      </c>
      <c r="EG107" t="s">
        <v>20</v>
      </c>
      <c r="EH107">
        <v>0</v>
      </c>
      <c r="EI107" t="s">
        <v>3</v>
      </c>
      <c r="EJ107">
        <v>4</v>
      </c>
      <c r="EK107">
        <v>0</v>
      </c>
      <c r="EL107" t="s">
        <v>21</v>
      </c>
      <c r="EM107" t="s">
        <v>22</v>
      </c>
      <c r="EO107" t="s">
        <v>3</v>
      </c>
      <c r="EQ107">
        <v>1024</v>
      </c>
      <c r="ER107">
        <v>96192.86</v>
      </c>
      <c r="ES107">
        <v>80830.61</v>
      </c>
      <c r="ET107">
        <v>1571.94</v>
      </c>
      <c r="EU107">
        <v>17.72</v>
      </c>
      <c r="EV107">
        <v>13790.31</v>
      </c>
      <c r="EW107">
        <v>53.59</v>
      </c>
      <c r="EX107">
        <v>0</v>
      </c>
      <c r="EY107">
        <v>0</v>
      </c>
      <c r="FQ107">
        <v>0</v>
      </c>
      <c r="FR107">
        <f t="shared" si="104"/>
        <v>0</v>
      </c>
      <c r="FS107">
        <v>0</v>
      </c>
      <c r="FX107">
        <v>70</v>
      </c>
      <c r="FY107">
        <v>10</v>
      </c>
      <c r="GA107" t="s">
        <v>3</v>
      </c>
      <c r="GD107">
        <v>0</v>
      </c>
      <c r="GF107">
        <v>838925768</v>
      </c>
      <c r="GG107">
        <v>2</v>
      </c>
      <c r="GH107">
        <v>1</v>
      </c>
      <c r="GI107">
        <v>-2</v>
      </c>
      <c r="GJ107">
        <v>0</v>
      </c>
      <c r="GK107">
        <f>ROUND(R107*(R12)/100,2)</f>
        <v>0</v>
      </c>
      <c r="GL107">
        <f t="shared" si="105"/>
        <v>0</v>
      </c>
      <c r="GM107">
        <f t="shared" si="106"/>
        <v>0</v>
      </c>
      <c r="GN107">
        <f t="shared" si="107"/>
        <v>0</v>
      </c>
      <c r="GO107">
        <f t="shared" si="108"/>
        <v>0</v>
      </c>
      <c r="GP107">
        <f t="shared" si="109"/>
        <v>0</v>
      </c>
      <c r="GR107">
        <v>0</v>
      </c>
      <c r="GS107">
        <v>3</v>
      </c>
      <c r="GT107">
        <v>0</v>
      </c>
      <c r="GU107" t="s">
        <v>3</v>
      </c>
      <c r="GV107">
        <f t="shared" si="112"/>
        <v>0</v>
      </c>
      <c r="GW107">
        <v>1</v>
      </c>
      <c r="GX107">
        <f t="shared" si="110"/>
        <v>0</v>
      </c>
      <c r="HA107">
        <v>0</v>
      </c>
      <c r="HB107">
        <v>0</v>
      </c>
      <c r="HC107">
        <f t="shared" si="111"/>
        <v>0</v>
      </c>
      <c r="IK107">
        <v>0</v>
      </c>
    </row>
    <row r="108" spans="1:245" x14ac:dyDescent="0.2">
      <c r="A108">
        <v>17</v>
      </c>
      <c r="B108">
        <v>1</v>
      </c>
      <c r="D108">
        <f>ROW(EtalonRes!A201)</f>
        <v>201</v>
      </c>
      <c r="E108" t="s">
        <v>3</v>
      </c>
      <c r="F108" t="s">
        <v>217</v>
      </c>
      <c r="G108" t="s">
        <v>218</v>
      </c>
      <c r="H108" t="s">
        <v>28</v>
      </c>
      <c r="I108">
        <f>ROUND(0.148,9)</f>
        <v>0.14799999999999999</v>
      </c>
      <c r="J108">
        <v>0</v>
      </c>
      <c r="O108">
        <f t="shared" si="78"/>
        <v>14334.52</v>
      </c>
      <c r="P108">
        <f t="shared" si="79"/>
        <v>0</v>
      </c>
      <c r="Q108">
        <f t="shared" si="80"/>
        <v>0</v>
      </c>
      <c r="R108">
        <f t="shared" si="81"/>
        <v>0</v>
      </c>
      <c r="S108">
        <f t="shared" si="82"/>
        <v>14334.52</v>
      </c>
      <c r="T108">
        <f t="shared" si="83"/>
        <v>0</v>
      </c>
      <c r="U108">
        <f t="shared" si="84"/>
        <v>70.906800000000004</v>
      </c>
      <c r="V108">
        <f t="shared" si="85"/>
        <v>0</v>
      </c>
      <c r="W108">
        <f t="shared" si="86"/>
        <v>0</v>
      </c>
      <c r="X108">
        <f t="shared" si="87"/>
        <v>10034.16</v>
      </c>
      <c r="Y108">
        <f t="shared" si="88"/>
        <v>1433.45</v>
      </c>
      <c r="AA108">
        <v>-1</v>
      </c>
      <c r="AB108">
        <f t="shared" si="89"/>
        <v>96854.86</v>
      </c>
      <c r="AC108">
        <f>ROUND((ES108),6)</f>
        <v>0</v>
      </c>
      <c r="AD108">
        <f>ROUND((((ET108)-(EU108))+AE108),6)</f>
        <v>0</v>
      </c>
      <c r="AE108">
        <f t="shared" si="113"/>
        <v>0</v>
      </c>
      <c r="AF108">
        <f t="shared" si="113"/>
        <v>96854.86</v>
      </c>
      <c r="AG108">
        <f t="shared" si="91"/>
        <v>0</v>
      </c>
      <c r="AH108">
        <f t="shared" si="114"/>
        <v>479.1</v>
      </c>
      <c r="AI108">
        <f t="shared" si="114"/>
        <v>0</v>
      </c>
      <c r="AJ108">
        <f t="shared" si="93"/>
        <v>0</v>
      </c>
      <c r="AK108">
        <v>96854.86</v>
      </c>
      <c r="AL108">
        <v>0</v>
      </c>
      <c r="AM108">
        <v>0</v>
      </c>
      <c r="AN108">
        <v>0</v>
      </c>
      <c r="AO108">
        <v>96854.86</v>
      </c>
      <c r="AP108">
        <v>0</v>
      </c>
      <c r="AQ108">
        <v>479.1</v>
      </c>
      <c r="AR108">
        <v>0</v>
      </c>
      <c r="AS108">
        <v>0</v>
      </c>
      <c r="AT108">
        <v>70</v>
      </c>
      <c r="AU108">
        <v>10</v>
      </c>
      <c r="AV108">
        <v>1</v>
      </c>
      <c r="AW108">
        <v>1</v>
      </c>
      <c r="AZ108">
        <v>1</v>
      </c>
      <c r="BA108">
        <v>1</v>
      </c>
      <c r="BB108">
        <v>1</v>
      </c>
      <c r="BC108">
        <v>1</v>
      </c>
      <c r="BD108" t="s">
        <v>3</v>
      </c>
      <c r="BE108" t="s">
        <v>3</v>
      </c>
      <c r="BF108" t="s">
        <v>3</v>
      </c>
      <c r="BG108" t="s">
        <v>3</v>
      </c>
      <c r="BH108">
        <v>0</v>
      </c>
      <c r="BI108">
        <v>4</v>
      </c>
      <c r="BJ108" t="s">
        <v>219</v>
      </c>
      <c r="BM108">
        <v>0</v>
      </c>
      <c r="BN108">
        <v>0</v>
      </c>
      <c r="BO108" t="s">
        <v>3</v>
      </c>
      <c r="BP108">
        <v>0</v>
      </c>
      <c r="BQ108">
        <v>1</v>
      </c>
      <c r="BR108">
        <v>0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 t="s">
        <v>3</v>
      </c>
      <c r="BZ108">
        <v>70</v>
      </c>
      <c r="CA108">
        <v>10</v>
      </c>
      <c r="CE108">
        <v>0</v>
      </c>
      <c r="CF108">
        <v>0</v>
      </c>
      <c r="CG108">
        <v>0</v>
      </c>
      <c r="CM108">
        <v>0</v>
      </c>
      <c r="CN108" t="s">
        <v>3</v>
      </c>
      <c r="CO108">
        <v>0</v>
      </c>
      <c r="CP108">
        <f t="shared" si="94"/>
        <v>14334.52</v>
      </c>
      <c r="CQ108">
        <f t="shared" si="95"/>
        <v>0</v>
      </c>
      <c r="CR108">
        <f>((((ET108)*BB108-(EU108)*BS108)+AE108*BS108)*AV108)</f>
        <v>0</v>
      </c>
      <c r="CS108">
        <f t="shared" si="96"/>
        <v>0</v>
      </c>
      <c r="CT108">
        <f t="shared" si="97"/>
        <v>96854.86</v>
      </c>
      <c r="CU108">
        <f t="shared" si="98"/>
        <v>0</v>
      </c>
      <c r="CV108">
        <f t="shared" si="99"/>
        <v>479.1</v>
      </c>
      <c r="CW108">
        <f t="shared" si="100"/>
        <v>0</v>
      </c>
      <c r="CX108">
        <f t="shared" si="101"/>
        <v>0</v>
      </c>
      <c r="CY108">
        <f t="shared" si="102"/>
        <v>10034.164000000001</v>
      </c>
      <c r="CZ108">
        <f t="shared" si="103"/>
        <v>1433.4520000000002</v>
      </c>
      <c r="DC108" t="s">
        <v>3</v>
      </c>
      <c r="DD108" t="s">
        <v>3</v>
      </c>
      <c r="DE108" t="s">
        <v>3</v>
      </c>
      <c r="DF108" t="s">
        <v>3</v>
      </c>
      <c r="DG108" t="s">
        <v>3</v>
      </c>
      <c r="DH108" t="s">
        <v>3</v>
      </c>
      <c r="DI108" t="s">
        <v>3</v>
      </c>
      <c r="DJ108" t="s">
        <v>3</v>
      </c>
      <c r="DK108" t="s">
        <v>3</v>
      </c>
      <c r="DL108" t="s">
        <v>3</v>
      </c>
      <c r="DM108" t="s">
        <v>3</v>
      </c>
      <c r="DN108">
        <v>0</v>
      </c>
      <c r="DO108">
        <v>0</v>
      </c>
      <c r="DP108">
        <v>1</v>
      </c>
      <c r="DQ108">
        <v>1</v>
      </c>
      <c r="DU108">
        <v>1005</v>
      </c>
      <c r="DV108" t="s">
        <v>28</v>
      </c>
      <c r="DW108" t="s">
        <v>28</v>
      </c>
      <c r="DX108">
        <v>100</v>
      </c>
      <c r="EE108">
        <v>67874524</v>
      </c>
      <c r="EF108">
        <v>1</v>
      </c>
      <c r="EG108" t="s">
        <v>20</v>
      </c>
      <c r="EH108">
        <v>0</v>
      </c>
      <c r="EI108" t="s">
        <v>3</v>
      </c>
      <c r="EJ108">
        <v>4</v>
      </c>
      <c r="EK108">
        <v>0</v>
      </c>
      <c r="EL108" t="s">
        <v>21</v>
      </c>
      <c r="EM108" t="s">
        <v>22</v>
      </c>
      <c r="EO108" t="s">
        <v>3</v>
      </c>
      <c r="EQ108">
        <v>1024</v>
      </c>
      <c r="ER108">
        <v>96854.86</v>
      </c>
      <c r="ES108">
        <v>0</v>
      </c>
      <c r="ET108">
        <v>0</v>
      </c>
      <c r="EU108">
        <v>0</v>
      </c>
      <c r="EV108">
        <v>96854.86</v>
      </c>
      <c r="EW108">
        <v>479.1</v>
      </c>
      <c r="EX108">
        <v>0</v>
      </c>
      <c r="EY108">
        <v>0</v>
      </c>
      <c r="FQ108">
        <v>0</v>
      </c>
      <c r="FR108">
        <f t="shared" si="104"/>
        <v>0</v>
      </c>
      <c r="FS108">
        <v>0</v>
      </c>
      <c r="FX108">
        <v>70</v>
      </c>
      <c r="FY108">
        <v>10</v>
      </c>
      <c r="GA108" t="s">
        <v>3</v>
      </c>
      <c r="GD108">
        <v>0</v>
      </c>
      <c r="GF108">
        <v>528923416</v>
      </c>
      <c r="GG108">
        <v>2</v>
      </c>
      <c r="GH108">
        <v>1</v>
      </c>
      <c r="GI108">
        <v>-2</v>
      </c>
      <c r="GJ108">
        <v>0</v>
      </c>
      <c r="GK108">
        <f>ROUND(R108*(R12)/100,2)</f>
        <v>0</v>
      </c>
      <c r="GL108">
        <f t="shared" si="105"/>
        <v>0</v>
      </c>
      <c r="GM108">
        <f t="shared" si="106"/>
        <v>25802.13</v>
      </c>
      <c r="GN108">
        <f t="shared" si="107"/>
        <v>0</v>
      </c>
      <c r="GO108">
        <f t="shared" si="108"/>
        <v>0</v>
      </c>
      <c r="GP108">
        <f t="shared" si="109"/>
        <v>25802.13</v>
      </c>
      <c r="GR108">
        <v>0</v>
      </c>
      <c r="GS108">
        <v>3</v>
      </c>
      <c r="GT108">
        <v>0</v>
      </c>
      <c r="GU108" t="s">
        <v>3</v>
      </c>
      <c r="GV108">
        <f t="shared" si="112"/>
        <v>0</v>
      </c>
      <c r="GW108">
        <v>1</v>
      </c>
      <c r="GX108">
        <f t="shared" si="110"/>
        <v>0</v>
      </c>
      <c r="HA108">
        <v>0</v>
      </c>
      <c r="HB108">
        <v>0</v>
      </c>
      <c r="HC108">
        <f t="shared" si="111"/>
        <v>0</v>
      </c>
      <c r="IK108">
        <v>0</v>
      </c>
    </row>
    <row r="109" spans="1:245" x14ac:dyDescent="0.2">
      <c r="A109">
        <v>17</v>
      </c>
      <c r="B109">
        <v>1</v>
      </c>
      <c r="D109">
        <f>ROW(EtalonRes!A206)</f>
        <v>206</v>
      </c>
      <c r="E109" t="s">
        <v>3</v>
      </c>
      <c r="F109" t="s">
        <v>220</v>
      </c>
      <c r="G109" t="s">
        <v>221</v>
      </c>
      <c r="H109" t="s">
        <v>222</v>
      </c>
      <c r="I109">
        <f>ROUND(5/100,9)</f>
        <v>0.05</v>
      </c>
      <c r="J109">
        <v>0</v>
      </c>
      <c r="O109">
        <f t="shared" si="78"/>
        <v>417.74</v>
      </c>
      <c r="P109">
        <f t="shared" si="79"/>
        <v>0</v>
      </c>
      <c r="Q109">
        <f t="shared" si="80"/>
        <v>0</v>
      </c>
      <c r="R109">
        <f t="shared" si="81"/>
        <v>0</v>
      </c>
      <c r="S109">
        <f t="shared" si="82"/>
        <v>417.74</v>
      </c>
      <c r="T109">
        <f t="shared" si="83"/>
        <v>0</v>
      </c>
      <c r="U109">
        <f t="shared" si="84"/>
        <v>1.8630000000000004</v>
      </c>
      <c r="V109">
        <f t="shared" si="85"/>
        <v>0</v>
      </c>
      <c r="W109">
        <f t="shared" si="86"/>
        <v>0</v>
      </c>
      <c r="X109">
        <f t="shared" si="87"/>
        <v>292.42</v>
      </c>
      <c r="Y109">
        <f t="shared" si="88"/>
        <v>41.77</v>
      </c>
      <c r="AA109">
        <v>-1</v>
      </c>
      <c r="AB109">
        <f t="shared" si="89"/>
        <v>8354.81</v>
      </c>
      <c r="AC109">
        <f>ROUND(((ES109*0)),6)</f>
        <v>0</v>
      </c>
      <c r="AD109">
        <f>ROUND(((((ET109*0.2))-((EU109*0.2)))+AE109),6)</f>
        <v>0</v>
      </c>
      <c r="AE109">
        <f>ROUND(((EU109*0.2)),6)</f>
        <v>0</v>
      </c>
      <c r="AF109">
        <f>ROUND(((EV109*0.2)),6)</f>
        <v>8354.81</v>
      </c>
      <c r="AG109">
        <f t="shared" si="91"/>
        <v>0</v>
      </c>
      <c r="AH109">
        <f>((EW109*0.2))</f>
        <v>37.260000000000005</v>
      </c>
      <c r="AI109">
        <f>((EX109*0.2))</f>
        <v>0</v>
      </c>
      <c r="AJ109">
        <f t="shared" si="93"/>
        <v>0</v>
      </c>
      <c r="AK109">
        <v>592104.76</v>
      </c>
      <c r="AL109">
        <v>550330.71</v>
      </c>
      <c r="AM109">
        <v>0</v>
      </c>
      <c r="AN109">
        <v>0</v>
      </c>
      <c r="AO109">
        <v>41774.050000000003</v>
      </c>
      <c r="AP109">
        <v>0</v>
      </c>
      <c r="AQ109">
        <v>186.3</v>
      </c>
      <c r="AR109">
        <v>0</v>
      </c>
      <c r="AS109">
        <v>0</v>
      </c>
      <c r="AT109">
        <v>70</v>
      </c>
      <c r="AU109">
        <v>10</v>
      </c>
      <c r="AV109">
        <v>1</v>
      </c>
      <c r="AW109">
        <v>1</v>
      </c>
      <c r="AZ109">
        <v>1</v>
      </c>
      <c r="BA109">
        <v>1</v>
      </c>
      <c r="BB109">
        <v>1</v>
      </c>
      <c r="BC109">
        <v>1</v>
      </c>
      <c r="BD109" t="s">
        <v>3</v>
      </c>
      <c r="BE109" t="s">
        <v>3</v>
      </c>
      <c r="BF109" t="s">
        <v>3</v>
      </c>
      <c r="BG109" t="s">
        <v>3</v>
      </c>
      <c r="BH109">
        <v>0</v>
      </c>
      <c r="BI109">
        <v>4</v>
      </c>
      <c r="BJ109" t="s">
        <v>223</v>
      </c>
      <c r="BM109">
        <v>0</v>
      </c>
      <c r="BN109">
        <v>0</v>
      </c>
      <c r="BO109" t="s">
        <v>3</v>
      </c>
      <c r="BP109">
        <v>0</v>
      </c>
      <c r="BQ109">
        <v>1</v>
      </c>
      <c r="BR109">
        <v>0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 t="s">
        <v>3</v>
      </c>
      <c r="BZ109">
        <v>70</v>
      </c>
      <c r="CA109">
        <v>10</v>
      </c>
      <c r="CE109">
        <v>0</v>
      </c>
      <c r="CF109">
        <v>0</v>
      </c>
      <c r="CG109">
        <v>0</v>
      </c>
      <c r="CM109">
        <v>0</v>
      </c>
      <c r="CN109" t="s">
        <v>3</v>
      </c>
      <c r="CO109">
        <v>0</v>
      </c>
      <c r="CP109">
        <f t="shared" si="94"/>
        <v>417.74</v>
      </c>
      <c r="CQ109">
        <f t="shared" si="95"/>
        <v>0</v>
      </c>
      <c r="CR109">
        <f>(((((ET109*0.2))*BB109-((EU109*0.2))*BS109)+AE109*BS109)*AV109)</f>
        <v>0</v>
      </c>
      <c r="CS109">
        <f t="shared" si="96"/>
        <v>0</v>
      </c>
      <c r="CT109">
        <f t="shared" si="97"/>
        <v>8354.81</v>
      </c>
      <c r="CU109">
        <f t="shared" si="98"/>
        <v>0</v>
      </c>
      <c r="CV109">
        <f t="shared" si="99"/>
        <v>37.260000000000005</v>
      </c>
      <c r="CW109">
        <f t="shared" si="100"/>
        <v>0</v>
      </c>
      <c r="CX109">
        <f t="shared" si="101"/>
        <v>0</v>
      </c>
      <c r="CY109">
        <f t="shared" si="102"/>
        <v>292.41800000000001</v>
      </c>
      <c r="CZ109">
        <f t="shared" si="103"/>
        <v>41.773999999999994</v>
      </c>
      <c r="DC109" t="s">
        <v>3</v>
      </c>
      <c r="DD109" t="s">
        <v>52</v>
      </c>
      <c r="DE109" t="s">
        <v>53</v>
      </c>
      <c r="DF109" t="s">
        <v>53</v>
      </c>
      <c r="DG109" t="s">
        <v>53</v>
      </c>
      <c r="DH109" t="s">
        <v>3</v>
      </c>
      <c r="DI109" t="s">
        <v>53</v>
      </c>
      <c r="DJ109" t="s">
        <v>53</v>
      </c>
      <c r="DK109" t="s">
        <v>3</v>
      </c>
      <c r="DL109" t="s">
        <v>3</v>
      </c>
      <c r="DM109" t="s">
        <v>3</v>
      </c>
      <c r="DN109">
        <v>0</v>
      </c>
      <c r="DO109">
        <v>0</v>
      </c>
      <c r="DP109">
        <v>1</v>
      </c>
      <c r="DQ109">
        <v>1</v>
      </c>
      <c r="DU109">
        <v>1010</v>
      </c>
      <c r="DV109" t="s">
        <v>222</v>
      </c>
      <c r="DW109" t="s">
        <v>222</v>
      </c>
      <c r="DX109">
        <v>100</v>
      </c>
      <c r="EE109">
        <v>67874524</v>
      </c>
      <c r="EF109">
        <v>1</v>
      </c>
      <c r="EG109" t="s">
        <v>20</v>
      </c>
      <c r="EH109">
        <v>0</v>
      </c>
      <c r="EI109" t="s">
        <v>3</v>
      </c>
      <c r="EJ109">
        <v>4</v>
      </c>
      <c r="EK109">
        <v>0</v>
      </c>
      <c r="EL109" t="s">
        <v>21</v>
      </c>
      <c r="EM109" t="s">
        <v>22</v>
      </c>
      <c r="EO109" t="s">
        <v>3</v>
      </c>
      <c r="EQ109">
        <v>1024</v>
      </c>
      <c r="ER109">
        <v>592104.76</v>
      </c>
      <c r="ES109">
        <v>550330.71</v>
      </c>
      <c r="ET109">
        <v>0</v>
      </c>
      <c r="EU109">
        <v>0</v>
      </c>
      <c r="EV109">
        <v>41774.050000000003</v>
      </c>
      <c r="EW109">
        <v>186.3</v>
      </c>
      <c r="EX109">
        <v>0</v>
      </c>
      <c r="EY109">
        <v>0</v>
      </c>
      <c r="FQ109">
        <v>0</v>
      </c>
      <c r="FR109">
        <f t="shared" si="104"/>
        <v>0</v>
      </c>
      <c r="FS109">
        <v>0</v>
      </c>
      <c r="FX109">
        <v>70</v>
      </c>
      <c r="FY109">
        <v>10</v>
      </c>
      <c r="GA109" t="s">
        <v>3</v>
      </c>
      <c r="GD109">
        <v>0</v>
      </c>
      <c r="GF109">
        <v>1220791641</v>
      </c>
      <c r="GG109">
        <v>2</v>
      </c>
      <c r="GH109">
        <v>1</v>
      </c>
      <c r="GI109">
        <v>-2</v>
      </c>
      <c r="GJ109">
        <v>0</v>
      </c>
      <c r="GK109">
        <f>ROUND(R109*(R12)/100,2)</f>
        <v>0</v>
      </c>
      <c r="GL109">
        <f t="shared" si="105"/>
        <v>0</v>
      </c>
      <c r="GM109">
        <f t="shared" si="106"/>
        <v>751.93</v>
      </c>
      <c r="GN109">
        <f t="shared" si="107"/>
        <v>0</v>
      </c>
      <c r="GO109">
        <f t="shared" si="108"/>
        <v>0</v>
      </c>
      <c r="GP109">
        <f t="shared" si="109"/>
        <v>751.93</v>
      </c>
      <c r="GR109">
        <v>0</v>
      </c>
      <c r="GS109">
        <v>3</v>
      </c>
      <c r="GT109">
        <v>0</v>
      </c>
      <c r="GU109" t="s">
        <v>3</v>
      </c>
      <c r="GV109">
        <f t="shared" si="112"/>
        <v>0</v>
      </c>
      <c r="GW109">
        <v>1</v>
      </c>
      <c r="GX109">
        <f t="shared" si="110"/>
        <v>0</v>
      </c>
      <c r="HA109">
        <v>0</v>
      </c>
      <c r="HB109">
        <v>0</v>
      </c>
      <c r="HC109">
        <f t="shared" si="111"/>
        <v>0</v>
      </c>
      <c r="IK109">
        <v>0</v>
      </c>
    </row>
    <row r="110" spans="1:245" x14ac:dyDescent="0.2">
      <c r="A110">
        <v>17</v>
      </c>
      <c r="B110">
        <v>1</v>
      </c>
      <c r="D110">
        <f>ROW(EtalonRes!A215)</f>
        <v>215</v>
      </c>
      <c r="E110" t="s">
        <v>3</v>
      </c>
      <c r="F110" t="s">
        <v>224</v>
      </c>
      <c r="G110" t="s">
        <v>225</v>
      </c>
      <c r="H110" t="s">
        <v>222</v>
      </c>
      <c r="I110">
        <f>ROUND((14+1)/100,9)</f>
        <v>0.15</v>
      </c>
      <c r="J110">
        <v>0</v>
      </c>
      <c r="O110">
        <f t="shared" si="78"/>
        <v>3218.6</v>
      </c>
      <c r="P110">
        <f t="shared" si="79"/>
        <v>0</v>
      </c>
      <c r="Q110">
        <f t="shared" si="80"/>
        <v>162.91</v>
      </c>
      <c r="R110">
        <f t="shared" si="81"/>
        <v>80.33</v>
      </c>
      <c r="S110">
        <f t="shared" si="82"/>
        <v>3055.69</v>
      </c>
      <c r="T110">
        <f t="shared" si="83"/>
        <v>0</v>
      </c>
      <c r="U110">
        <f t="shared" si="84"/>
        <v>13.627500000000001</v>
      </c>
      <c r="V110">
        <f t="shared" si="85"/>
        <v>0</v>
      </c>
      <c r="W110">
        <f t="shared" si="86"/>
        <v>0</v>
      </c>
      <c r="X110">
        <f t="shared" si="87"/>
        <v>2138.98</v>
      </c>
      <c r="Y110">
        <f t="shared" si="88"/>
        <v>305.57</v>
      </c>
      <c r="AA110">
        <v>-1</v>
      </c>
      <c r="AB110">
        <f t="shared" si="89"/>
        <v>21457.392</v>
      </c>
      <c r="AC110">
        <f>ROUND(((ES110*0)),6)</f>
        <v>0</v>
      </c>
      <c r="AD110">
        <f>ROUND(((((ET110*0.2))-((EU110*0.2)))+AE110),6)</f>
        <v>1086.096</v>
      </c>
      <c r="AE110">
        <f>ROUND(((EU110*0.2)),6)</f>
        <v>535.50599999999997</v>
      </c>
      <c r="AF110">
        <f>ROUND(((EV110*0.2)),6)</f>
        <v>20371.295999999998</v>
      </c>
      <c r="AG110">
        <f t="shared" si="91"/>
        <v>0</v>
      </c>
      <c r="AH110">
        <f>((EW110*0.2))</f>
        <v>90.850000000000009</v>
      </c>
      <c r="AI110">
        <f>((EX110*0.2))</f>
        <v>0</v>
      </c>
      <c r="AJ110">
        <f t="shared" si="93"/>
        <v>0</v>
      </c>
      <c r="AK110">
        <v>119239.39</v>
      </c>
      <c r="AL110">
        <v>11952.43</v>
      </c>
      <c r="AM110">
        <v>5430.48</v>
      </c>
      <c r="AN110">
        <v>2677.53</v>
      </c>
      <c r="AO110">
        <v>101856.48</v>
      </c>
      <c r="AP110">
        <v>0</v>
      </c>
      <c r="AQ110">
        <v>454.25</v>
      </c>
      <c r="AR110">
        <v>0</v>
      </c>
      <c r="AS110">
        <v>0</v>
      </c>
      <c r="AT110">
        <v>70</v>
      </c>
      <c r="AU110">
        <v>10</v>
      </c>
      <c r="AV110">
        <v>1</v>
      </c>
      <c r="AW110">
        <v>1</v>
      </c>
      <c r="AZ110">
        <v>1</v>
      </c>
      <c r="BA110">
        <v>1</v>
      </c>
      <c r="BB110">
        <v>1</v>
      </c>
      <c r="BC110">
        <v>1</v>
      </c>
      <c r="BD110" t="s">
        <v>3</v>
      </c>
      <c r="BE110" t="s">
        <v>3</v>
      </c>
      <c r="BF110" t="s">
        <v>3</v>
      </c>
      <c r="BG110" t="s">
        <v>3</v>
      </c>
      <c r="BH110">
        <v>0</v>
      </c>
      <c r="BI110">
        <v>4</v>
      </c>
      <c r="BJ110" t="s">
        <v>226</v>
      </c>
      <c r="BM110">
        <v>0</v>
      </c>
      <c r="BN110">
        <v>0</v>
      </c>
      <c r="BO110" t="s">
        <v>3</v>
      </c>
      <c r="BP110">
        <v>0</v>
      </c>
      <c r="BQ110">
        <v>1</v>
      </c>
      <c r="BR110">
        <v>0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 t="s">
        <v>3</v>
      </c>
      <c r="BZ110">
        <v>70</v>
      </c>
      <c r="CA110">
        <v>10</v>
      </c>
      <c r="CE110">
        <v>0</v>
      </c>
      <c r="CF110">
        <v>0</v>
      </c>
      <c r="CG110">
        <v>0</v>
      </c>
      <c r="CM110">
        <v>0</v>
      </c>
      <c r="CN110" t="s">
        <v>3</v>
      </c>
      <c r="CO110">
        <v>0</v>
      </c>
      <c r="CP110">
        <f t="shared" si="94"/>
        <v>3218.6</v>
      </c>
      <c r="CQ110">
        <f t="shared" si="95"/>
        <v>0</v>
      </c>
      <c r="CR110">
        <f>(((((ET110*0.2))*BB110-((EU110*0.2))*BS110)+AE110*BS110)*AV110)</f>
        <v>1086.096</v>
      </c>
      <c r="CS110">
        <f t="shared" si="96"/>
        <v>535.50599999999997</v>
      </c>
      <c r="CT110">
        <f t="shared" si="97"/>
        <v>20371.295999999998</v>
      </c>
      <c r="CU110">
        <f t="shared" si="98"/>
        <v>0</v>
      </c>
      <c r="CV110">
        <f t="shared" si="99"/>
        <v>90.850000000000009</v>
      </c>
      <c r="CW110">
        <f t="shared" si="100"/>
        <v>0</v>
      </c>
      <c r="CX110">
        <f t="shared" si="101"/>
        <v>0</v>
      </c>
      <c r="CY110">
        <f t="shared" si="102"/>
        <v>2138.9830000000002</v>
      </c>
      <c r="CZ110">
        <f t="shared" si="103"/>
        <v>305.56900000000002</v>
      </c>
      <c r="DC110" t="s">
        <v>3</v>
      </c>
      <c r="DD110" t="s">
        <v>52</v>
      </c>
      <c r="DE110" t="s">
        <v>53</v>
      </c>
      <c r="DF110" t="s">
        <v>53</v>
      </c>
      <c r="DG110" t="s">
        <v>53</v>
      </c>
      <c r="DH110" t="s">
        <v>3</v>
      </c>
      <c r="DI110" t="s">
        <v>53</v>
      </c>
      <c r="DJ110" t="s">
        <v>53</v>
      </c>
      <c r="DK110" t="s">
        <v>3</v>
      </c>
      <c r="DL110" t="s">
        <v>3</v>
      </c>
      <c r="DM110" t="s">
        <v>3</v>
      </c>
      <c r="DN110">
        <v>0</v>
      </c>
      <c r="DO110">
        <v>0</v>
      </c>
      <c r="DP110">
        <v>1</v>
      </c>
      <c r="DQ110">
        <v>1</v>
      </c>
      <c r="DU110">
        <v>1010</v>
      </c>
      <c r="DV110" t="s">
        <v>222</v>
      </c>
      <c r="DW110" t="s">
        <v>222</v>
      </c>
      <c r="DX110">
        <v>100</v>
      </c>
      <c r="EE110">
        <v>67874524</v>
      </c>
      <c r="EF110">
        <v>1</v>
      </c>
      <c r="EG110" t="s">
        <v>20</v>
      </c>
      <c r="EH110">
        <v>0</v>
      </c>
      <c r="EI110" t="s">
        <v>3</v>
      </c>
      <c r="EJ110">
        <v>4</v>
      </c>
      <c r="EK110">
        <v>0</v>
      </c>
      <c r="EL110" t="s">
        <v>21</v>
      </c>
      <c r="EM110" t="s">
        <v>22</v>
      </c>
      <c r="EO110" t="s">
        <v>3</v>
      </c>
      <c r="EQ110">
        <v>1024</v>
      </c>
      <c r="ER110">
        <v>119239.39</v>
      </c>
      <c r="ES110">
        <v>11952.43</v>
      </c>
      <c r="ET110">
        <v>5430.48</v>
      </c>
      <c r="EU110">
        <v>2677.53</v>
      </c>
      <c r="EV110">
        <v>101856.48</v>
      </c>
      <c r="EW110">
        <v>454.25</v>
      </c>
      <c r="EX110">
        <v>0</v>
      </c>
      <c r="EY110">
        <v>0</v>
      </c>
      <c r="FQ110">
        <v>0</v>
      </c>
      <c r="FR110">
        <f t="shared" si="104"/>
        <v>0</v>
      </c>
      <c r="FS110">
        <v>0</v>
      </c>
      <c r="FX110">
        <v>70</v>
      </c>
      <c r="FY110">
        <v>10</v>
      </c>
      <c r="GA110" t="s">
        <v>3</v>
      </c>
      <c r="GD110">
        <v>0</v>
      </c>
      <c r="GF110">
        <v>725003205</v>
      </c>
      <c r="GG110">
        <v>2</v>
      </c>
      <c r="GH110">
        <v>1</v>
      </c>
      <c r="GI110">
        <v>-2</v>
      </c>
      <c r="GJ110">
        <v>0</v>
      </c>
      <c r="GK110">
        <f>ROUND(R110*(R12)/100,2)</f>
        <v>86.76</v>
      </c>
      <c r="GL110">
        <f t="shared" si="105"/>
        <v>0</v>
      </c>
      <c r="GM110">
        <f t="shared" si="106"/>
        <v>5749.91</v>
      </c>
      <c r="GN110">
        <f t="shared" si="107"/>
        <v>0</v>
      </c>
      <c r="GO110">
        <f t="shared" si="108"/>
        <v>0</v>
      </c>
      <c r="GP110">
        <f t="shared" si="109"/>
        <v>5749.91</v>
      </c>
      <c r="GR110">
        <v>0</v>
      </c>
      <c r="GS110">
        <v>3</v>
      </c>
      <c r="GT110">
        <v>0</v>
      </c>
      <c r="GU110" t="s">
        <v>3</v>
      </c>
      <c r="GV110">
        <f t="shared" si="112"/>
        <v>0</v>
      </c>
      <c r="GW110">
        <v>1</v>
      </c>
      <c r="GX110">
        <f t="shared" si="110"/>
        <v>0</v>
      </c>
      <c r="HA110">
        <v>0</v>
      </c>
      <c r="HB110">
        <v>0</v>
      </c>
      <c r="HC110">
        <f t="shared" si="111"/>
        <v>0</v>
      </c>
      <c r="IK110">
        <v>0</v>
      </c>
    </row>
    <row r="111" spans="1:245" x14ac:dyDescent="0.2">
      <c r="A111">
        <v>17</v>
      </c>
      <c r="B111">
        <v>1</v>
      </c>
      <c r="D111">
        <f>ROW(EtalonRes!A216)</f>
        <v>216</v>
      </c>
      <c r="E111" t="s">
        <v>3</v>
      </c>
      <c r="F111" t="s">
        <v>227</v>
      </c>
      <c r="G111" t="s">
        <v>228</v>
      </c>
      <c r="H111" t="s">
        <v>72</v>
      </c>
      <c r="I111">
        <f>ROUND((2.7+0.4+14+0.2),9)</f>
        <v>17.3</v>
      </c>
      <c r="J111">
        <v>0</v>
      </c>
      <c r="O111">
        <f t="shared" si="78"/>
        <v>85931.87</v>
      </c>
      <c r="P111">
        <f t="shared" si="79"/>
        <v>0</v>
      </c>
      <c r="Q111">
        <f t="shared" si="80"/>
        <v>0</v>
      </c>
      <c r="R111">
        <f t="shared" si="81"/>
        <v>0</v>
      </c>
      <c r="S111">
        <f t="shared" si="82"/>
        <v>85931.87</v>
      </c>
      <c r="T111">
        <f t="shared" si="83"/>
        <v>0</v>
      </c>
      <c r="U111">
        <f t="shared" si="84"/>
        <v>368.49</v>
      </c>
      <c r="V111">
        <f t="shared" si="85"/>
        <v>0</v>
      </c>
      <c r="W111">
        <f t="shared" si="86"/>
        <v>0</v>
      </c>
      <c r="X111">
        <f t="shared" si="87"/>
        <v>60152.31</v>
      </c>
      <c r="Y111">
        <f t="shared" si="88"/>
        <v>8593.19</v>
      </c>
      <c r="AA111">
        <v>-1</v>
      </c>
      <c r="AB111">
        <f t="shared" si="89"/>
        <v>4967.16</v>
      </c>
      <c r="AC111">
        <f>ROUND((ES111),6)</f>
        <v>0</v>
      </c>
      <c r="AD111">
        <f>ROUND((((ET111)-(EU111))+AE111),6)</f>
        <v>0</v>
      </c>
      <c r="AE111">
        <f>ROUND((EU111),6)</f>
        <v>0</v>
      </c>
      <c r="AF111">
        <f>ROUND((EV111),6)</f>
        <v>4967.16</v>
      </c>
      <c r="AG111">
        <f t="shared" si="91"/>
        <v>0</v>
      </c>
      <c r="AH111">
        <f>(EW111)</f>
        <v>21.3</v>
      </c>
      <c r="AI111">
        <f>(EX111)</f>
        <v>0</v>
      </c>
      <c r="AJ111">
        <f t="shared" si="93"/>
        <v>0</v>
      </c>
      <c r="AK111">
        <v>4967.16</v>
      </c>
      <c r="AL111">
        <v>0</v>
      </c>
      <c r="AM111">
        <v>0</v>
      </c>
      <c r="AN111">
        <v>0</v>
      </c>
      <c r="AO111">
        <v>4967.16</v>
      </c>
      <c r="AP111">
        <v>0</v>
      </c>
      <c r="AQ111">
        <v>21.3</v>
      </c>
      <c r="AR111">
        <v>0</v>
      </c>
      <c r="AS111">
        <v>0</v>
      </c>
      <c r="AT111">
        <v>70</v>
      </c>
      <c r="AU111">
        <v>10</v>
      </c>
      <c r="AV111">
        <v>1</v>
      </c>
      <c r="AW111">
        <v>1</v>
      </c>
      <c r="AZ111">
        <v>1</v>
      </c>
      <c r="BA111">
        <v>1</v>
      </c>
      <c r="BB111">
        <v>1</v>
      </c>
      <c r="BC111">
        <v>1</v>
      </c>
      <c r="BD111" t="s">
        <v>3</v>
      </c>
      <c r="BE111" t="s">
        <v>3</v>
      </c>
      <c r="BF111" t="s">
        <v>3</v>
      </c>
      <c r="BG111" t="s">
        <v>3</v>
      </c>
      <c r="BH111">
        <v>0</v>
      </c>
      <c r="BI111">
        <v>4</v>
      </c>
      <c r="BJ111" t="s">
        <v>229</v>
      </c>
      <c r="BM111">
        <v>0</v>
      </c>
      <c r="BN111">
        <v>0</v>
      </c>
      <c r="BO111" t="s">
        <v>3</v>
      </c>
      <c r="BP111">
        <v>0</v>
      </c>
      <c r="BQ111">
        <v>1</v>
      </c>
      <c r="BR111">
        <v>0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 t="s">
        <v>3</v>
      </c>
      <c r="BZ111">
        <v>70</v>
      </c>
      <c r="CA111">
        <v>10</v>
      </c>
      <c r="CE111">
        <v>0</v>
      </c>
      <c r="CF111">
        <v>0</v>
      </c>
      <c r="CG111">
        <v>0</v>
      </c>
      <c r="CM111">
        <v>0</v>
      </c>
      <c r="CN111" t="s">
        <v>3</v>
      </c>
      <c r="CO111">
        <v>0</v>
      </c>
      <c r="CP111">
        <f t="shared" si="94"/>
        <v>85931.87</v>
      </c>
      <c r="CQ111">
        <f t="shared" si="95"/>
        <v>0</v>
      </c>
      <c r="CR111">
        <f>((((ET111)*BB111-(EU111)*BS111)+AE111*BS111)*AV111)</f>
        <v>0</v>
      </c>
      <c r="CS111">
        <f t="shared" si="96"/>
        <v>0</v>
      </c>
      <c r="CT111">
        <f t="shared" si="97"/>
        <v>4967.16</v>
      </c>
      <c r="CU111">
        <f t="shared" si="98"/>
        <v>0</v>
      </c>
      <c r="CV111">
        <f t="shared" si="99"/>
        <v>21.3</v>
      </c>
      <c r="CW111">
        <f t="shared" si="100"/>
        <v>0</v>
      </c>
      <c r="CX111">
        <f t="shared" si="101"/>
        <v>0</v>
      </c>
      <c r="CY111">
        <f t="shared" si="102"/>
        <v>60152.308999999994</v>
      </c>
      <c r="CZ111">
        <f t="shared" si="103"/>
        <v>8593.1869999999999</v>
      </c>
      <c r="DC111" t="s">
        <v>3</v>
      </c>
      <c r="DD111" t="s">
        <v>3</v>
      </c>
      <c r="DE111" t="s">
        <v>3</v>
      </c>
      <c r="DF111" t="s">
        <v>3</v>
      </c>
      <c r="DG111" t="s">
        <v>3</v>
      </c>
      <c r="DH111" t="s">
        <v>3</v>
      </c>
      <c r="DI111" t="s">
        <v>3</v>
      </c>
      <c r="DJ111" t="s">
        <v>3</v>
      </c>
      <c r="DK111" t="s">
        <v>3</v>
      </c>
      <c r="DL111" t="s">
        <v>3</v>
      </c>
      <c r="DM111" t="s">
        <v>3</v>
      </c>
      <c r="DN111">
        <v>0</v>
      </c>
      <c r="DO111">
        <v>0</v>
      </c>
      <c r="DP111">
        <v>1</v>
      </c>
      <c r="DQ111">
        <v>1</v>
      </c>
      <c r="DU111">
        <v>1003</v>
      </c>
      <c r="DV111" t="s">
        <v>72</v>
      </c>
      <c r="DW111" t="s">
        <v>72</v>
      </c>
      <c r="DX111">
        <v>100</v>
      </c>
      <c r="EE111">
        <v>67874524</v>
      </c>
      <c r="EF111">
        <v>1</v>
      </c>
      <c r="EG111" t="s">
        <v>20</v>
      </c>
      <c r="EH111">
        <v>0</v>
      </c>
      <c r="EI111" t="s">
        <v>3</v>
      </c>
      <c r="EJ111">
        <v>4</v>
      </c>
      <c r="EK111">
        <v>0</v>
      </c>
      <c r="EL111" t="s">
        <v>21</v>
      </c>
      <c r="EM111" t="s">
        <v>22</v>
      </c>
      <c r="EO111" t="s">
        <v>3</v>
      </c>
      <c r="EQ111">
        <v>1024</v>
      </c>
      <c r="ER111">
        <v>4967.16</v>
      </c>
      <c r="ES111">
        <v>0</v>
      </c>
      <c r="ET111">
        <v>0</v>
      </c>
      <c r="EU111">
        <v>0</v>
      </c>
      <c r="EV111">
        <v>4967.16</v>
      </c>
      <c r="EW111">
        <v>21.3</v>
      </c>
      <c r="EX111">
        <v>0</v>
      </c>
      <c r="EY111">
        <v>0</v>
      </c>
      <c r="FQ111">
        <v>0</v>
      </c>
      <c r="FR111">
        <f t="shared" si="104"/>
        <v>0</v>
      </c>
      <c r="FS111">
        <v>0</v>
      </c>
      <c r="FX111">
        <v>70</v>
      </c>
      <c r="FY111">
        <v>10</v>
      </c>
      <c r="GA111" t="s">
        <v>3</v>
      </c>
      <c r="GD111">
        <v>0</v>
      </c>
      <c r="GF111">
        <v>847830369</v>
      </c>
      <c r="GG111">
        <v>2</v>
      </c>
      <c r="GH111">
        <v>1</v>
      </c>
      <c r="GI111">
        <v>-2</v>
      </c>
      <c r="GJ111">
        <v>0</v>
      </c>
      <c r="GK111">
        <f>ROUND(R111*(R12)/100,2)</f>
        <v>0</v>
      </c>
      <c r="GL111">
        <f t="shared" si="105"/>
        <v>0</v>
      </c>
      <c r="GM111">
        <f t="shared" si="106"/>
        <v>154677.37</v>
      </c>
      <c r="GN111">
        <f t="shared" si="107"/>
        <v>0</v>
      </c>
      <c r="GO111">
        <f t="shared" si="108"/>
        <v>0</v>
      </c>
      <c r="GP111">
        <f t="shared" si="109"/>
        <v>154677.37</v>
      </c>
      <c r="GR111">
        <v>0</v>
      </c>
      <c r="GS111">
        <v>3</v>
      </c>
      <c r="GT111">
        <v>0</v>
      </c>
      <c r="GU111" t="s">
        <v>3</v>
      </c>
      <c r="GV111">
        <f t="shared" si="112"/>
        <v>0</v>
      </c>
      <c r="GW111">
        <v>1</v>
      </c>
      <c r="GX111">
        <f t="shared" si="110"/>
        <v>0</v>
      </c>
      <c r="HA111">
        <v>0</v>
      </c>
      <c r="HB111">
        <v>0</v>
      </c>
      <c r="HC111">
        <f t="shared" si="111"/>
        <v>0</v>
      </c>
      <c r="IK111">
        <v>0</v>
      </c>
    </row>
    <row r="112" spans="1:245" x14ac:dyDescent="0.2">
      <c r="A112">
        <v>17</v>
      </c>
      <c r="B112">
        <v>1</v>
      </c>
      <c r="C112">
        <f>ROW(SmtRes!A30)</f>
        <v>30</v>
      </c>
      <c r="D112">
        <f>ROW(EtalonRes!A221)</f>
        <v>221</v>
      </c>
      <c r="E112" t="s">
        <v>3</v>
      </c>
      <c r="F112" t="s">
        <v>230</v>
      </c>
      <c r="G112" t="s">
        <v>231</v>
      </c>
      <c r="H112" t="s">
        <v>232</v>
      </c>
      <c r="I112">
        <f>ROUND(4,9)</f>
        <v>4</v>
      </c>
      <c r="J112">
        <v>0</v>
      </c>
      <c r="O112">
        <f t="shared" si="78"/>
        <v>342.98</v>
      </c>
      <c r="P112">
        <f t="shared" si="79"/>
        <v>0</v>
      </c>
      <c r="Q112">
        <f t="shared" si="80"/>
        <v>0.9</v>
      </c>
      <c r="R112">
        <f t="shared" si="81"/>
        <v>0.12</v>
      </c>
      <c r="S112">
        <f t="shared" si="82"/>
        <v>342.08</v>
      </c>
      <c r="T112">
        <f t="shared" si="83"/>
        <v>0</v>
      </c>
      <c r="U112">
        <f t="shared" si="84"/>
        <v>1.6559999999999999</v>
      </c>
      <c r="V112">
        <f t="shared" si="85"/>
        <v>0</v>
      </c>
      <c r="W112">
        <f t="shared" si="86"/>
        <v>0</v>
      </c>
      <c r="X112">
        <f t="shared" si="87"/>
        <v>239.46</v>
      </c>
      <c r="Y112">
        <f t="shared" si="88"/>
        <v>34.21</v>
      </c>
      <c r="AA112">
        <v>-1</v>
      </c>
      <c r="AB112">
        <f t="shared" si="89"/>
        <v>85.744</v>
      </c>
      <c r="AC112">
        <f>ROUND(((ES112*0)),6)</f>
        <v>0</v>
      </c>
      <c r="AD112">
        <f>ROUND(((((ET112*0.2))-((EU112*0.2)))+AE112),6)</f>
        <v>0.224</v>
      </c>
      <c r="AE112">
        <f>ROUND(((EU112*0.2)),6)</f>
        <v>0.03</v>
      </c>
      <c r="AF112">
        <f>ROUND(((EV112*0.2)),6)</f>
        <v>85.52</v>
      </c>
      <c r="AG112">
        <f t="shared" si="91"/>
        <v>0</v>
      </c>
      <c r="AH112">
        <f>((EW112*0.2))</f>
        <v>0.41399999999999998</v>
      </c>
      <c r="AI112">
        <f>((EX112*0.2))</f>
        <v>0</v>
      </c>
      <c r="AJ112">
        <f t="shared" si="93"/>
        <v>0</v>
      </c>
      <c r="AK112">
        <v>432.83</v>
      </c>
      <c r="AL112">
        <v>4.1100000000000003</v>
      </c>
      <c r="AM112">
        <v>1.1200000000000001</v>
      </c>
      <c r="AN112">
        <v>0.15</v>
      </c>
      <c r="AO112">
        <v>427.6</v>
      </c>
      <c r="AP112">
        <v>0</v>
      </c>
      <c r="AQ112">
        <v>2.0699999999999998</v>
      </c>
      <c r="AR112">
        <v>0</v>
      </c>
      <c r="AS112">
        <v>0</v>
      </c>
      <c r="AT112">
        <v>70</v>
      </c>
      <c r="AU112">
        <v>10</v>
      </c>
      <c r="AV112">
        <v>1</v>
      </c>
      <c r="AW112">
        <v>1</v>
      </c>
      <c r="AZ112">
        <v>1</v>
      </c>
      <c r="BA112">
        <v>1</v>
      </c>
      <c r="BB112">
        <v>1</v>
      </c>
      <c r="BC112">
        <v>1</v>
      </c>
      <c r="BD112" t="s">
        <v>3</v>
      </c>
      <c r="BE112" t="s">
        <v>3</v>
      </c>
      <c r="BF112" t="s">
        <v>3</v>
      </c>
      <c r="BG112" t="s">
        <v>3</v>
      </c>
      <c r="BH112">
        <v>0</v>
      </c>
      <c r="BI112">
        <v>4</v>
      </c>
      <c r="BJ112" t="s">
        <v>233</v>
      </c>
      <c r="BM112">
        <v>0</v>
      </c>
      <c r="BN112">
        <v>0</v>
      </c>
      <c r="BO112" t="s">
        <v>3</v>
      </c>
      <c r="BP112">
        <v>0</v>
      </c>
      <c r="BQ112">
        <v>1</v>
      </c>
      <c r="BR112">
        <v>0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 t="s">
        <v>3</v>
      </c>
      <c r="BZ112">
        <v>70</v>
      </c>
      <c r="CA112">
        <v>10</v>
      </c>
      <c r="CE112">
        <v>0</v>
      </c>
      <c r="CF112">
        <v>0</v>
      </c>
      <c r="CG112">
        <v>0</v>
      </c>
      <c r="CM112">
        <v>0</v>
      </c>
      <c r="CN112" t="s">
        <v>3</v>
      </c>
      <c r="CO112">
        <v>0</v>
      </c>
      <c r="CP112">
        <f t="shared" si="94"/>
        <v>342.97999999999996</v>
      </c>
      <c r="CQ112">
        <f t="shared" si="95"/>
        <v>0</v>
      </c>
      <c r="CR112">
        <f>(((((ET112*0.2))*BB112-((EU112*0.2))*BS112)+AE112*BS112)*AV112)</f>
        <v>0.22400000000000003</v>
      </c>
      <c r="CS112">
        <f t="shared" si="96"/>
        <v>0.03</v>
      </c>
      <c r="CT112">
        <f t="shared" si="97"/>
        <v>85.52</v>
      </c>
      <c r="CU112">
        <f t="shared" si="98"/>
        <v>0</v>
      </c>
      <c r="CV112">
        <f t="shared" si="99"/>
        <v>0.41399999999999998</v>
      </c>
      <c r="CW112">
        <f t="shared" si="100"/>
        <v>0</v>
      </c>
      <c r="CX112">
        <f t="shared" si="101"/>
        <v>0</v>
      </c>
      <c r="CY112">
        <f t="shared" si="102"/>
        <v>239.45599999999999</v>
      </c>
      <c r="CZ112">
        <f t="shared" si="103"/>
        <v>34.207999999999998</v>
      </c>
      <c r="DC112" t="s">
        <v>3</v>
      </c>
      <c r="DD112" t="s">
        <v>52</v>
      </c>
      <c r="DE112" t="s">
        <v>53</v>
      </c>
      <c r="DF112" t="s">
        <v>53</v>
      </c>
      <c r="DG112" t="s">
        <v>53</v>
      </c>
      <c r="DH112" t="s">
        <v>3</v>
      </c>
      <c r="DI112" t="s">
        <v>53</v>
      </c>
      <c r="DJ112" t="s">
        <v>53</v>
      </c>
      <c r="DK112" t="s">
        <v>3</v>
      </c>
      <c r="DL112" t="s">
        <v>3</v>
      </c>
      <c r="DM112" t="s">
        <v>3</v>
      </c>
      <c r="DN112">
        <v>0</v>
      </c>
      <c r="DO112">
        <v>0</v>
      </c>
      <c r="DP112">
        <v>1</v>
      </c>
      <c r="DQ112">
        <v>1</v>
      </c>
      <c r="DU112">
        <v>1010</v>
      </c>
      <c r="DV112" t="s">
        <v>232</v>
      </c>
      <c r="DW112" t="s">
        <v>232</v>
      </c>
      <c r="DX112">
        <v>1</v>
      </c>
      <c r="EE112">
        <v>67874524</v>
      </c>
      <c r="EF112">
        <v>1</v>
      </c>
      <c r="EG112" t="s">
        <v>20</v>
      </c>
      <c r="EH112">
        <v>0</v>
      </c>
      <c r="EI112" t="s">
        <v>3</v>
      </c>
      <c r="EJ112">
        <v>4</v>
      </c>
      <c r="EK112">
        <v>0</v>
      </c>
      <c r="EL112" t="s">
        <v>21</v>
      </c>
      <c r="EM112" t="s">
        <v>22</v>
      </c>
      <c r="EO112" t="s">
        <v>3</v>
      </c>
      <c r="EQ112">
        <v>1024</v>
      </c>
      <c r="ER112">
        <v>432.83</v>
      </c>
      <c r="ES112">
        <v>4.1100000000000003</v>
      </c>
      <c r="ET112">
        <v>1.1200000000000001</v>
      </c>
      <c r="EU112">
        <v>0.15</v>
      </c>
      <c r="EV112">
        <v>427.6</v>
      </c>
      <c r="EW112">
        <v>2.0699999999999998</v>
      </c>
      <c r="EX112">
        <v>0</v>
      </c>
      <c r="EY112">
        <v>0</v>
      </c>
      <c r="FQ112">
        <v>0</v>
      </c>
      <c r="FR112">
        <f t="shared" si="104"/>
        <v>0</v>
      </c>
      <c r="FS112">
        <v>0</v>
      </c>
      <c r="FX112">
        <v>70</v>
      </c>
      <c r="FY112">
        <v>10</v>
      </c>
      <c r="GA112" t="s">
        <v>3</v>
      </c>
      <c r="GD112">
        <v>0</v>
      </c>
      <c r="GF112">
        <v>998640140</v>
      </c>
      <c r="GG112">
        <v>2</v>
      </c>
      <c r="GH112">
        <v>1</v>
      </c>
      <c r="GI112">
        <v>-2</v>
      </c>
      <c r="GJ112">
        <v>0</v>
      </c>
      <c r="GK112">
        <f>ROUND(R112*(R12)/100,2)</f>
        <v>0.13</v>
      </c>
      <c r="GL112">
        <f t="shared" si="105"/>
        <v>0</v>
      </c>
      <c r="GM112">
        <f t="shared" si="106"/>
        <v>616.78</v>
      </c>
      <c r="GN112">
        <f t="shared" si="107"/>
        <v>0</v>
      </c>
      <c r="GO112">
        <f t="shared" si="108"/>
        <v>0</v>
      </c>
      <c r="GP112">
        <f t="shared" si="109"/>
        <v>616.78</v>
      </c>
      <c r="GR112">
        <v>0</v>
      </c>
      <c r="GS112">
        <v>3</v>
      </c>
      <c r="GT112">
        <v>0</v>
      </c>
      <c r="GU112" t="s">
        <v>3</v>
      </c>
      <c r="GV112">
        <f t="shared" si="112"/>
        <v>0</v>
      </c>
      <c r="GW112">
        <v>1</v>
      </c>
      <c r="GX112">
        <f t="shared" si="110"/>
        <v>0</v>
      </c>
      <c r="HA112">
        <v>0</v>
      </c>
      <c r="HB112">
        <v>0</v>
      </c>
      <c r="HC112">
        <f t="shared" si="111"/>
        <v>0</v>
      </c>
      <c r="IK112">
        <v>0</v>
      </c>
    </row>
    <row r="113" spans="1:245" x14ac:dyDescent="0.2">
      <c r="A113">
        <v>17</v>
      </c>
      <c r="B113">
        <v>1</v>
      </c>
      <c r="D113">
        <f>ROW(EtalonRes!A222)</f>
        <v>222</v>
      </c>
      <c r="E113" t="s">
        <v>3</v>
      </c>
      <c r="F113" t="s">
        <v>66</v>
      </c>
      <c r="G113" t="s">
        <v>67</v>
      </c>
      <c r="H113" t="s">
        <v>68</v>
      </c>
      <c r="I113">
        <f>ROUND((11*1+1*1+1*1+2*1+1*5)/10,9)</f>
        <v>2</v>
      </c>
      <c r="J113">
        <v>0</v>
      </c>
      <c r="O113">
        <f t="shared" si="78"/>
        <v>4524.08</v>
      </c>
      <c r="P113">
        <f t="shared" si="79"/>
        <v>0</v>
      </c>
      <c r="Q113">
        <f t="shared" si="80"/>
        <v>0</v>
      </c>
      <c r="R113">
        <f t="shared" si="81"/>
        <v>0</v>
      </c>
      <c r="S113">
        <f t="shared" si="82"/>
        <v>4524.08</v>
      </c>
      <c r="T113">
        <f t="shared" si="83"/>
        <v>0</v>
      </c>
      <c r="U113">
        <f t="shared" si="84"/>
        <v>19.399999999999999</v>
      </c>
      <c r="V113">
        <f t="shared" si="85"/>
        <v>0</v>
      </c>
      <c r="W113">
        <f t="shared" si="86"/>
        <v>0</v>
      </c>
      <c r="X113">
        <f t="shared" si="87"/>
        <v>3166.86</v>
      </c>
      <c r="Y113">
        <f t="shared" si="88"/>
        <v>452.41</v>
      </c>
      <c r="AA113">
        <v>-1</v>
      </c>
      <c r="AB113">
        <f t="shared" si="89"/>
        <v>2262.04</v>
      </c>
      <c r="AC113">
        <f>ROUND((ES113),6)</f>
        <v>0</v>
      </c>
      <c r="AD113">
        <f>ROUND((((ET113)-(EU113))+AE113),6)</f>
        <v>0</v>
      </c>
      <c r="AE113">
        <f>ROUND((EU113),6)</f>
        <v>0</v>
      </c>
      <c r="AF113">
        <f>ROUND((EV113),6)</f>
        <v>2262.04</v>
      </c>
      <c r="AG113">
        <f t="shared" si="91"/>
        <v>0</v>
      </c>
      <c r="AH113">
        <f>(EW113)</f>
        <v>9.6999999999999993</v>
      </c>
      <c r="AI113">
        <f>(EX113)</f>
        <v>0</v>
      </c>
      <c r="AJ113">
        <f t="shared" si="93"/>
        <v>0</v>
      </c>
      <c r="AK113">
        <v>2262.04</v>
      </c>
      <c r="AL113">
        <v>0</v>
      </c>
      <c r="AM113">
        <v>0</v>
      </c>
      <c r="AN113">
        <v>0</v>
      </c>
      <c r="AO113">
        <v>2262.04</v>
      </c>
      <c r="AP113">
        <v>0</v>
      </c>
      <c r="AQ113">
        <v>9.6999999999999993</v>
      </c>
      <c r="AR113">
        <v>0</v>
      </c>
      <c r="AS113">
        <v>0</v>
      </c>
      <c r="AT113">
        <v>70</v>
      </c>
      <c r="AU113">
        <v>10</v>
      </c>
      <c r="AV113">
        <v>1</v>
      </c>
      <c r="AW113">
        <v>1</v>
      </c>
      <c r="AZ113">
        <v>1</v>
      </c>
      <c r="BA113">
        <v>1</v>
      </c>
      <c r="BB113">
        <v>1</v>
      </c>
      <c r="BC113">
        <v>1</v>
      </c>
      <c r="BD113" t="s">
        <v>3</v>
      </c>
      <c r="BE113" t="s">
        <v>3</v>
      </c>
      <c r="BF113" t="s">
        <v>3</v>
      </c>
      <c r="BG113" t="s">
        <v>3</v>
      </c>
      <c r="BH113">
        <v>0</v>
      </c>
      <c r="BI113">
        <v>4</v>
      </c>
      <c r="BJ113" t="s">
        <v>69</v>
      </c>
      <c r="BM113">
        <v>0</v>
      </c>
      <c r="BN113">
        <v>0</v>
      </c>
      <c r="BO113" t="s">
        <v>3</v>
      </c>
      <c r="BP113">
        <v>0</v>
      </c>
      <c r="BQ113">
        <v>1</v>
      </c>
      <c r="BR113">
        <v>0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 t="s">
        <v>3</v>
      </c>
      <c r="BZ113">
        <v>70</v>
      </c>
      <c r="CA113">
        <v>10</v>
      </c>
      <c r="CE113">
        <v>0</v>
      </c>
      <c r="CF113">
        <v>0</v>
      </c>
      <c r="CG113">
        <v>0</v>
      </c>
      <c r="CM113">
        <v>0</v>
      </c>
      <c r="CN113" t="s">
        <v>3</v>
      </c>
      <c r="CO113">
        <v>0</v>
      </c>
      <c r="CP113">
        <f t="shared" si="94"/>
        <v>4524.08</v>
      </c>
      <c r="CQ113">
        <f t="shared" si="95"/>
        <v>0</v>
      </c>
      <c r="CR113">
        <f>((((ET113)*BB113-(EU113)*BS113)+AE113*BS113)*AV113)</f>
        <v>0</v>
      </c>
      <c r="CS113">
        <f t="shared" si="96"/>
        <v>0</v>
      </c>
      <c r="CT113">
        <f t="shared" si="97"/>
        <v>2262.04</v>
      </c>
      <c r="CU113">
        <f t="shared" si="98"/>
        <v>0</v>
      </c>
      <c r="CV113">
        <f t="shared" si="99"/>
        <v>9.6999999999999993</v>
      </c>
      <c r="CW113">
        <f t="shared" si="100"/>
        <v>0</v>
      </c>
      <c r="CX113">
        <f t="shared" si="101"/>
        <v>0</v>
      </c>
      <c r="CY113">
        <f t="shared" si="102"/>
        <v>3166.8559999999998</v>
      </c>
      <c r="CZ113">
        <f t="shared" si="103"/>
        <v>452.40800000000002</v>
      </c>
      <c r="DC113" t="s">
        <v>3</v>
      </c>
      <c r="DD113" t="s">
        <v>3</v>
      </c>
      <c r="DE113" t="s">
        <v>3</v>
      </c>
      <c r="DF113" t="s">
        <v>3</v>
      </c>
      <c r="DG113" t="s">
        <v>3</v>
      </c>
      <c r="DH113" t="s">
        <v>3</v>
      </c>
      <c r="DI113" t="s">
        <v>3</v>
      </c>
      <c r="DJ113" t="s">
        <v>3</v>
      </c>
      <c r="DK113" t="s">
        <v>3</v>
      </c>
      <c r="DL113" t="s">
        <v>3</v>
      </c>
      <c r="DM113" t="s">
        <v>3</v>
      </c>
      <c r="DN113">
        <v>0</v>
      </c>
      <c r="DO113">
        <v>0</v>
      </c>
      <c r="DP113">
        <v>1</v>
      </c>
      <c r="DQ113">
        <v>1</v>
      </c>
      <c r="DU113">
        <v>1005</v>
      </c>
      <c r="DV113" t="s">
        <v>68</v>
      </c>
      <c r="DW113" t="s">
        <v>68</v>
      </c>
      <c r="DX113">
        <v>10</v>
      </c>
      <c r="EE113">
        <v>67874524</v>
      </c>
      <c r="EF113">
        <v>1</v>
      </c>
      <c r="EG113" t="s">
        <v>20</v>
      </c>
      <c r="EH113">
        <v>0</v>
      </c>
      <c r="EI113" t="s">
        <v>3</v>
      </c>
      <c r="EJ113">
        <v>4</v>
      </c>
      <c r="EK113">
        <v>0</v>
      </c>
      <c r="EL113" t="s">
        <v>21</v>
      </c>
      <c r="EM113" t="s">
        <v>22</v>
      </c>
      <c r="EO113" t="s">
        <v>3</v>
      </c>
      <c r="EQ113">
        <v>1024</v>
      </c>
      <c r="ER113">
        <v>2262.04</v>
      </c>
      <c r="ES113">
        <v>0</v>
      </c>
      <c r="ET113">
        <v>0</v>
      </c>
      <c r="EU113">
        <v>0</v>
      </c>
      <c r="EV113">
        <v>2262.04</v>
      </c>
      <c r="EW113">
        <v>9.6999999999999993</v>
      </c>
      <c r="EX113">
        <v>0</v>
      </c>
      <c r="EY113">
        <v>0</v>
      </c>
      <c r="FQ113">
        <v>0</v>
      </c>
      <c r="FR113">
        <f t="shared" si="104"/>
        <v>0</v>
      </c>
      <c r="FS113">
        <v>0</v>
      </c>
      <c r="FX113">
        <v>70</v>
      </c>
      <c r="FY113">
        <v>10</v>
      </c>
      <c r="GA113" t="s">
        <v>3</v>
      </c>
      <c r="GD113">
        <v>0</v>
      </c>
      <c r="GF113">
        <v>912389088</v>
      </c>
      <c r="GG113">
        <v>2</v>
      </c>
      <c r="GH113">
        <v>1</v>
      </c>
      <c r="GI113">
        <v>-2</v>
      </c>
      <c r="GJ113">
        <v>0</v>
      </c>
      <c r="GK113">
        <f>ROUND(R113*(R12)/100,2)</f>
        <v>0</v>
      </c>
      <c r="GL113">
        <f t="shared" si="105"/>
        <v>0</v>
      </c>
      <c r="GM113">
        <f t="shared" si="106"/>
        <v>8143.35</v>
      </c>
      <c r="GN113">
        <f t="shared" si="107"/>
        <v>0</v>
      </c>
      <c r="GO113">
        <f t="shared" si="108"/>
        <v>0</v>
      </c>
      <c r="GP113">
        <f t="shared" si="109"/>
        <v>8143.35</v>
      </c>
      <c r="GR113">
        <v>0</v>
      </c>
      <c r="GS113">
        <v>3</v>
      </c>
      <c r="GT113">
        <v>0</v>
      </c>
      <c r="GU113" t="s">
        <v>3</v>
      </c>
      <c r="GV113">
        <f t="shared" si="112"/>
        <v>0</v>
      </c>
      <c r="GW113">
        <v>1</v>
      </c>
      <c r="GX113">
        <f t="shared" si="110"/>
        <v>0</v>
      </c>
      <c r="HA113">
        <v>0</v>
      </c>
      <c r="HB113">
        <v>0</v>
      </c>
      <c r="HC113">
        <f t="shared" si="111"/>
        <v>0</v>
      </c>
      <c r="IK113">
        <v>0</v>
      </c>
    </row>
    <row r="114" spans="1:245" x14ac:dyDescent="0.2">
      <c r="A114">
        <v>17</v>
      </c>
      <c r="B114">
        <v>1</v>
      </c>
      <c r="D114">
        <f>ROW(EtalonRes!A229)</f>
        <v>229</v>
      </c>
      <c r="E114" t="s">
        <v>3</v>
      </c>
      <c r="F114" t="s">
        <v>234</v>
      </c>
      <c r="G114" t="s">
        <v>235</v>
      </c>
      <c r="H114" t="s">
        <v>236</v>
      </c>
      <c r="I114">
        <f>ROUND((2.7+0.4+14+0.2),9)</f>
        <v>17.3</v>
      </c>
      <c r="J114">
        <v>0</v>
      </c>
      <c r="O114">
        <f t="shared" si="78"/>
        <v>14872.88</v>
      </c>
      <c r="P114">
        <f t="shared" si="79"/>
        <v>0</v>
      </c>
      <c r="Q114">
        <f t="shared" si="80"/>
        <v>0</v>
      </c>
      <c r="R114">
        <f t="shared" si="81"/>
        <v>0</v>
      </c>
      <c r="S114">
        <f t="shared" si="82"/>
        <v>14872.88</v>
      </c>
      <c r="T114">
        <f t="shared" si="83"/>
        <v>0</v>
      </c>
      <c r="U114">
        <f t="shared" si="84"/>
        <v>49.685600000000001</v>
      </c>
      <c r="V114">
        <f t="shared" si="85"/>
        <v>0</v>
      </c>
      <c r="W114">
        <f t="shared" si="86"/>
        <v>0</v>
      </c>
      <c r="X114">
        <f t="shared" si="87"/>
        <v>10411.02</v>
      </c>
      <c r="Y114">
        <f t="shared" si="88"/>
        <v>1487.29</v>
      </c>
      <c r="AA114">
        <v>-1</v>
      </c>
      <c r="AB114">
        <f t="shared" si="89"/>
        <v>859.70399999999995</v>
      </c>
      <c r="AC114">
        <f>ROUND(((ES114*0)),6)</f>
        <v>0</v>
      </c>
      <c r="AD114">
        <f>ROUND(((((ET114*0.8))-((EU114*0.8)))+AE114),6)</f>
        <v>0</v>
      </c>
      <c r="AE114">
        <f>ROUND(((EU114*0.8)),6)</f>
        <v>0</v>
      </c>
      <c r="AF114">
        <f>ROUND(((EV114*0.8)),6)</f>
        <v>859.70399999999995</v>
      </c>
      <c r="AG114">
        <f t="shared" si="91"/>
        <v>0</v>
      </c>
      <c r="AH114">
        <f>((EW114*0.8))</f>
        <v>2.8719999999999999</v>
      </c>
      <c r="AI114">
        <f>((EX114*0.8))</f>
        <v>0</v>
      </c>
      <c r="AJ114">
        <f t="shared" si="93"/>
        <v>0</v>
      </c>
      <c r="AK114">
        <v>6672.54</v>
      </c>
      <c r="AL114">
        <v>5597.91</v>
      </c>
      <c r="AM114">
        <v>0</v>
      </c>
      <c r="AN114">
        <v>0</v>
      </c>
      <c r="AO114">
        <v>1074.6300000000001</v>
      </c>
      <c r="AP114">
        <v>0</v>
      </c>
      <c r="AQ114">
        <v>3.59</v>
      </c>
      <c r="AR114">
        <v>0</v>
      </c>
      <c r="AS114">
        <v>0</v>
      </c>
      <c r="AT114">
        <v>70</v>
      </c>
      <c r="AU114">
        <v>10</v>
      </c>
      <c r="AV114">
        <v>1</v>
      </c>
      <c r="AW114">
        <v>1</v>
      </c>
      <c r="AZ114">
        <v>1</v>
      </c>
      <c r="BA114">
        <v>1</v>
      </c>
      <c r="BB114">
        <v>1</v>
      </c>
      <c r="BC114">
        <v>1</v>
      </c>
      <c r="BD114" t="s">
        <v>3</v>
      </c>
      <c r="BE114" t="s">
        <v>3</v>
      </c>
      <c r="BF114" t="s">
        <v>3</v>
      </c>
      <c r="BG114" t="s">
        <v>3</v>
      </c>
      <c r="BH114">
        <v>0</v>
      </c>
      <c r="BI114">
        <v>4</v>
      </c>
      <c r="BJ114" t="s">
        <v>237</v>
      </c>
      <c r="BM114">
        <v>0</v>
      </c>
      <c r="BN114">
        <v>0</v>
      </c>
      <c r="BO114" t="s">
        <v>3</v>
      </c>
      <c r="BP114">
        <v>0</v>
      </c>
      <c r="BQ114">
        <v>1</v>
      </c>
      <c r="BR114">
        <v>0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 t="s">
        <v>3</v>
      </c>
      <c r="BZ114">
        <v>70</v>
      </c>
      <c r="CA114">
        <v>10</v>
      </c>
      <c r="CE114">
        <v>0</v>
      </c>
      <c r="CF114">
        <v>0</v>
      </c>
      <c r="CG114">
        <v>0</v>
      </c>
      <c r="CM114">
        <v>0</v>
      </c>
      <c r="CN114" t="s">
        <v>3</v>
      </c>
      <c r="CO114">
        <v>0</v>
      </c>
      <c r="CP114">
        <f t="shared" si="94"/>
        <v>14872.88</v>
      </c>
      <c r="CQ114">
        <f t="shared" si="95"/>
        <v>0</v>
      </c>
      <c r="CR114">
        <f>(((((ET114*0.8))*BB114-((EU114*0.8))*BS114)+AE114*BS114)*AV114)</f>
        <v>0</v>
      </c>
      <c r="CS114">
        <f t="shared" si="96"/>
        <v>0</v>
      </c>
      <c r="CT114">
        <f t="shared" si="97"/>
        <v>859.70399999999995</v>
      </c>
      <c r="CU114">
        <f t="shared" si="98"/>
        <v>0</v>
      </c>
      <c r="CV114">
        <f t="shared" si="99"/>
        <v>2.8719999999999999</v>
      </c>
      <c r="CW114">
        <f t="shared" si="100"/>
        <v>0</v>
      </c>
      <c r="CX114">
        <f t="shared" si="101"/>
        <v>0</v>
      </c>
      <c r="CY114">
        <f t="shared" si="102"/>
        <v>10411.016</v>
      </c>
      <c r="CZ114">
        <f t="shared" si="103"/>
        <v>1487.2879999999998</v>
      </c>
      <c r="DC114" t="s">
        <v>3</v>
      </c>
      <c r="DD114" t="s">
        <v>52</v>
      </c>
      <c r="DE114" t="s">
        <v>238</v>
      </c>
      <c r="DF114" t="s">
        <v>238</v>
      </c>
      <c r="DG114" t="s">
        <v>238</v>
      </c>
      <c r="DH114" t="s">
        <v>3</v>
      </c>
      <c r="DI114" t="s">
        <v>238</v>
      </c>
      <c r="DJ114" t="s">
        <v>238</v>
      </c>
      <c r="DK114" t="s">
        <v>3</v>
      </c>
      <c r="DL114" t="s">
        <v>3</v>
      </c>
      <c r="DM114" t="s">
        <v>3</v>
      </c>
      <c r="DN114">
        <v>0</v>
      </c>
      <c r="DO114">
        <v>0</v>
      </c>
      <c r="DP114">
        <v>1</v>
      </c>
      <c r="DQ114">
        <v>1</v>
      </c>
      <c r="DU114">
        <v>1007</v>
      </c>
      <c r="DV114" t="s">
        <v>236</v>
      </c>
      <c r="DW114" t="s">
        <v>236</v>
      </c>
      <c r="DX114">
        <v>1</v>
      </c>
      <c r="EE114">
        <v>67874524</v>
      </c>
      <c r="EF114">
        <v>1</v>
      </c>
      <c r="EG114" t="s">
        <v>20</v>
      </c>
      <c r="EH114">
        <v>0</v>
      </c>
      <c r="EI114" t="s">
        <v>3</v>
      </c>
      <c r="EJ114">
        <v>4</v>
      </c>
      <c r="EK114">
        <v>0</v>
      </c>
      <c r="EL114" t="s">
        <v>21</v>
      </c>
      <c r="EM114" t="s">
        <v>22</v>
      </c>
      <c r="EO114" t="s">
        <v>3</v>
      </c>
      <c r="EQ114">
        <v>1024</v>
      </c>
      <c r="ER114">
        <v>6672.54</v>
      </c>
      <c r="ES114">
        <v>5597.91</v>
      </c>
      <c r="ET114">
        <v>0</v>
      </c>
      <c r="EU114">
        <v>0</v>
      </c>
      <c r="EV114">
        <v>1074.6300000000001</v>
      </c>
      <c r="EW114">
        <v>3.59</v>
      </c>
      <c r="EX114">
        <v>0</v>
      </c>
      <c r="EY114">
        <v>0</v>
      </c>
      <c r="FQ114">
        <v>0</v>
      </c>
      <c r="FR114">
        <f t="shared" si="104"/>
        <v>0</v>
      </c>
      <c r="FS114">
        <v>0</v>
      </c>
      <c r="FX114">
        <v>70</v>
      </c>
      <c r="FY114">
        <v>10</v>
      </c>
      <c r="GA114" t="s">
        <v>3</v>
      </c>
      <c r="GD114">
        <v>0</v>
      </c>
      <c r="GF114">
        <v>1398702144</v>
      </c>
      <c r="GG114">
        <v>2</v>
      </c>
      <c r="GH114">
        <v>1</v>
      </c>
      <c r="GI114">
        <v>-2</v>
      </c>
      <c r="GJ114">
        <v>0</v>
      </c>
      <c r="GK114">
        <f>ROUND(R114*(R12)/100,2)</f>
        <v>0</v>
      </c>
      <c r="GL114">
        <f t="shared" si="105"/>
        <v>0</v>
      </c>
      <c r="GM114">
        <f t="shared" si="106"/>
        <v>26771.19</v>
      </c>
      <c r="GN114">
        <f t="shared" si="107"/>
        <v>0</v>
      </c>
      <c r="GO114">
        <f t="shared" si="108"/>
        <v>0</v>
      </c>
      <c r="GP114">
        <f t="shared" si="109"/>
        <v>26771.19</v>
      </c>
      <c r="GR114">
        <v>0</v>
      </c>
      <c r="GS114">
        <v>3</v>
      </c>
      <c r="GT114">
        <v>0</v>
      </c>
      <c r="GU114" t="s">
        <v>3</v>
      </c>
      <c r="GV114">
        <f t="shared" si="112"/>
        <v>0</v>
      </c>
      <c r="GW114">
        <v>1</v>
      </c>
      <c r="GX114">
        <f t="shared" si="110"/>
        <v>0</v>
      </c>
      <c r="HA114">
        <v>0</v>
      </c>
      <c r="HB114">
        <v>0</v>
      </c>
      <c r="HC114">
        <f t="shared" si="111"/>
        <v>0</v>
      </c>
      <c r="IK114">
        <v>0</v>
      </c>
    </row>
    <row r="115" spans="1:245" x14ac:dyDescent="0.2">
      <c r="A115">
        <v>17</v>
      </c>
      <c r="B115">
        <v>1</v>
      </c>
      <c r="D115">
        <f>ROW(EtalonRes!A232)</f>
        <v>232</v>
      </c>
      <c r="E115" t="s">
        <v>239</v>
      </c>
      <c r="F115" t="s">
        <v>102</v>
      </c>
      <c r="G115" t="s">
        <v>240</v>
      </c>
      <c r="H115" t="s">
        <v>47</v>
      </c>
      <c r="I115">
        <f>ROUND((2.4)/100,9)</f>
        <v>2.4E-2</v>
      </c>
      <c r="J115">
        <v>0</v>
      </c>
      <c r="O115">
        <f t="shared" si="78"/>
        <v>640.41</v>
      </c>
      <c r="P115">
        <f t="shared" si="79"/>
        <v>0</v>
      </c>
      <c r="Q115">
        <f t="shared" si="80"/>
        <v>347.81</v>
      </c>
      <c r="R115">
        <f t="shared" si="81"/>
        <v>115.53</v>
      </c>
      <c r="S115">
        <f t="shared" si="82"/>
        <v>292.60000000000002</v>
      </c>
      <c r="T115">
        <f t="shared" si="83"/>
        <v>0</v>
      </c>
      <c r="U115">
        <f t="shared" si="84"/>
        <v>1.1879999999999999</v>
      </c>
      <c r="V115">
        <f t="shared" si="85"/>
        <v>0</v>
      </c>
      <c r="W115">
        <f t="shared" si="86"/>
        <v>0</v>
      </c>
      <c r="X115">
        <f t="shared" si="87"/>
        <v>204.82</v>
      </c>
      <c r="Y115">
        <f t="shared" si="88"/>
        <v>29.26</v>
      </c>
      <c r="AA115">
        <v>71209905</v>
      </c>
      <c r="AB115">
        <f t="shared" si="89"/>
        <v>26684.06</v>
      </c>
      <c r="AC115">
        <f>ROUND((ES115),6)</f>
        <v>0</v>
      </c>
      <c r="AD115">
        <f>ROUND((((ET115)-(EU115))+AE115),6)</f>
        <v>14492.21</v>
      </c>
      <c r="AE115">
        <f t="shared" ref="AE115:AF119" si="115">ROUND((EU115),6)</f>
        <v>4813.8999999999996</v>
      </c>
      <c r="AF115">
        <f t="shared" si="115"/>
        <v>12191.85</v>
      </c>
      <c r="AG115">
        <f t="shared" si="91"/>
        <v>0</v>
      </c>
      <c r="AH115">
        <f t="shared" ref="AH115:AI119" si="116">(EW115)</f>
        <v>49.5</v>
      </c>
      <c r="AI115">
        <f t="shared" si="116"/>
        <v>0</v>
      </c>
      <c r="AJ115">
        <f t="shared" si="93"/>
        <v>0</v>
      </c>
      <c r="AK115">
        <v>26684.06</v>
      </c>
      <c r="AL115">
        <v>0</v>
      </c>
      <c r="AM115">
        <v>14492.21</v>
      </c>
      <c r="AN115">
        <v>4813.8999999999996</v>
      </c>
      <c r="AO115">
        <v>12191.85</v>
      </c>
      <c r="AP115">
        <v>0</v>
      </c>
      <c r="AQ115">
        <v>49.5</v>
      </c>
      <c r="AR115">
        <v>0</v>
      </c>
      <c r="AS115">
        <v>0</v>
      </c>
      <c r="AT115">
        <v>70</v>
      </c>
      <c r="AU115">
        <v>10</v>
      </c>
      <c r="AV115">
        <v>1</v>
      </c>
      <c r="AW115">
        <v>1</v>
      </c>
      <c r="AZ115">
        <v>1</v>
      </c>
      <c r="BA115">
        <v>1</v>
      </c>
      <c r="BB115">
        <v>1</v>
      </c>
      <c r="BC115">
        <v>1</v>
      </c>
      <c r="BD115" t="s">
        <v>3</v>
      </c>
      <c r="BE115" t="s">
        <v>3</v>
      </c>
      <c r="BF115" t="s">
        <v>3</v>
      </c>
      <c r="BG115" t="s">
        <v>3</v>
      </c>
      <c r="BH115">
        <v>0</v>
      </c>
      <c r="BI115">
        <v>4</v>
      </c>
      <c r="BJ115" t="s">
        <v>104</v>
      </c>
      <c r="BM115">
        <v>0</v>
      </c>
      <c r="BN115">
        <v>0</v>
      </c>
      <c r="BO115" t="s">
        <v>3</v>
      </c>
      <c r="BP115">
        <v>0</v>
      </c>
      <c r="BQ115">
        <v>1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 t="s">
        <v>3</v>
      </c>
      <c r="BZ115">
        <v>70</v>
      </c>
      <c r="CA115">
        <v>10</v>
      </c>
      <c r="CE115">
        <v>0</v>
      </c>
      <c r="CF115">
        <v>0</v>
      </c>
      <c r="CG115">
        <v>0</v>
      </c>
      <c r="CM115">
        <v>0</v>
      </c>
      <c r="CN115" t="s">
        <v>3</v>
      </c>
      <c r="CO115">
        <v>0</v>
      </c>
      <c r="CP115">
        <f t="shared" si="94"/>
        <v>640.41000000000008</v>
      </c>
      <c r="CQ115">
        <f t="shared" si="95"/>
        <v>0</v>
      </c>
      <c r="CR115">
        <f>((((ET115)*BB115-(EU115)*BS115)+AE115*BS115)*AV115)</f>
        <v>14492.21</v>
      </c>
      <c r="CS115">
        <f t="shared" si="96"/>
        <v>4813.8999999999996</v>
      </c>
      <c r="CT115">
        <f t="shared" si="97"/>
        <v>12191.85</v>
      </c>
      <c r="CU115">
        <f t="shared" si="98"/>
        <v>0</v>
      </c>
      <c r="CV115">
        <f t="shared" si="99"/>
        <v>49.5</v>
      </c>
      <c r="CW115">
        <f t="shared" si="100"/>
        <v>0</v>
      </c>
      <c r="CX115">
        <f t="shared" si="101"/>
        <v>0</v>
      </c>
      <c r="CY115">
        <f t="shared" si="102"/>
        <v>204.82</v>
      </c>
      <c r="CZ115">
        <f t="shared" si="103"/>
        <v>29.26</v>
      </c>
      <c r="DC115" t="s">
        <v>3</v>
      </c>
      <c r="DD115" t="s">
        <v>3</v>
      </c>
      <c r="DE115" t="s">
        <v>3</v>
      </c>
      <c r="DF115" t="s">
        <v>3</v>
      </c>
      <c r="DG115" t="s">
        <v>3</v>
      </c>
      <c r="DH115" t="s">
        <v>3</v>
      </c>
      <c r="DI115" t="s">
        <v>3</v>
      </c>
      <c r="DJ115" t="s">
        <v>3</v>
      </c>
      <c r="DK115" t="s">
        <v>3</v>
      </c>
      <c r="DL115" t="s">
        <v>3</v>
      </c>
      <c r="DM115" t="s">
        <v>3</v>
      </c>
      <c r="DN115">
        <v>0</v>
      </c>
      <c r="DO115">
        <v>0</v>
      </c>
      <c r="DP115">
        <v>1</v>
      </c>
      <c r="DQ115">
        <v>1</v>
      </c>
      <c r="DU115">
        <v>1007</v>
      </c>
      <c r="DV115" t="s">
        <v>47</v>
      </c>
      <c r="DW115" t="s">
        <v>47</v>
      </c>
      <c r="DX115">
        <v>100</v>
      </c>
      <c r="EE115">
        <v>67874524</v>
      </c>
      <c r="EF115">
        <v>1</v>
      </c>
      <c r="EG115" t="s">
        <v>20</v>
      </c>
      <c r="EH115">
        <v>0</v>
      </c>
      <c r="EI115" t="s">
        <v>3</v>
      </c>
      <c r="EJ115">
        <v>4</v>
      </c>
      <c r="EK115">
        <v>0</v>
      </c>
      <c r="EL115" t="s">
        <v>21</v>
      </c>
      <c r="EM115" t="s">
        <v>22</v>
      </c>
      <c r="EO115" t="s">
        <v>3</v>
      </c>
      <c r="EQ115">
        <v>0</v>
      </c>
      <c r="ER115">
        <v>26684.06</v>
      </c>
      <c r="ES115">
        <v>0</v>
      </c>
      <c r="ET115">
        <v>14492.21</v>
      </c>
      <c r="EU115">
        <v>4813.8999999999996</v>
      </c>
      <c r="EV115">
        <v>12191.85</v>
      </c>
      <c r="EW115">
        <v>49.5</v>
      </c>
      <c r="EX115">
        <v>0</v>
      </c>
      <c r="EY115">
        <v>0</v>
      </c>
      <c r="FQ115">
        <v>0</v>
      </c>
      <c r="FR115">
        <f t="shared" si="104"/>
        <v>0</v>
      </c>
      <c r="FS115">
        <v>0</v>
      </c>
      <c r="FX115">
        <v>70</v>
      </c>
      <c r="FY115">
        <v>10</v>
      </c>
      <c r="GA115" t="s">
        <v>3</v>
      </c>
      <c r="GD115">
        <v>0</v>
      </c>
      <c r="GF115">
        <v>983101040</v>
      </c>
      <c r="GG115">
        <v>2</v>
      </c>
      <c r="GH115">
        <v>1</v>
      </c>
      <c r="GI115">
        <v>-2</v>
      </c>
      <c r="GJ115">
        <v>0</v>
      </c>
      <c r="GK115">
        <f>ROUND(R115*(R12)/100,2)</f>
        <v>124.77</v>
      </c>
      <c r="GL115">
        <f t="shared" si="105"/>
        <v>0</v>
      </c>
      <c r="GM115">
        <f t="shared" si="106"/>
        <v>999.26</v>
      </c>
      <c r="GN115">
        <f t="shared" si="107"/>
        <v>0</v>
      </c>
      <c r="GO115">
        <f t="shared" si="108"/>
        <v>0</v>
      </c>
      <c r="GP115">
        <f t="shared" si="109"/>
        <v>999.26</v>
      </c>
      <c r="GR115">
        <v>0</v>
      </c>
      <c r="GS115">
        <v>3</v>
      </c>
      <c r="GT115">
        <v>0</v>
      </c>
      <c r="GU115" t="s">
        <v>3</v>
      </c>
      <c r="GV115">
        <f t="shared" si="112"/>
        <v>0</v>
      </c>
      <c r="GW115">
        <v>1</v>
      </c>
      <c r="GX115">
        <f t="shared" si="110"/>
        <v>0</v>
      </c>
      <c r="HA115">
        <v>0</v>
      </c>
      <c r="HB115">
        <v>0</v>
      </c>
      <c r="HC115">
        <f t="shared" si="111"/>
        <v>0</v>
      </c>
      <c r="IK115">
        <v>0</v>
      </c>
    </row>
    <row r="116" spans="1:245" x14ac:dyDescent="0.2">
      <c r="A116">
        <v>17</v>
      </c>
      <c r="B116">
        <v>1</v>
      </c>
      <c r="D116">
        <f>ROW(EtalonRes!A233)</f>
        <v>233</v>
      </c>
      <c r="E116" t="s">
        <v>241</v>
      </c>
      <c r="F116" t="s">
        <v>120</v>
      </c>
      <c r="G116" t="s">
        <v>121</v>
      </c>
      <c r="H116" t="s">
        <v>35</v>
      </c>
      <c r="I116">
        <f>ROUND(I120*0.9,9)</f>
        <v>5.9238</v>
      </c>
      <c r="J116">
        <v>0</v>
      </c>
      <c r="O116">
        <f t="shared" si="78"/>
        <v>475.38</v>
      </c>
      <c r="P116">
        <f t="shared" si="79"/>
        <v>0</v>
      </c>
      <c r="Q116">
        <f t="shared" si="80"/>
        <v>475.38</v>
      </c>
      <c r="R116">
        <f t="shared" si="81"/>
        <v>153.07</v>
      </c>
      <c r="S116">
        <f t="shared" si="82"/>
        <v>0</v>
      </c>
      <c r="T116">
        <f t="shared" si="83"/>
        <v>0</v>
      </c>
      <c r="U116">
        <f t="shared" si="84"/>
        <v>0</v>
      </c>
      <c r="V116">
        <f t="shared" si="85"/>
        <v>0</v>
      </c>
      <c r="W116">
        <f t="shared" si="86"/>
        <v>0</v>
      </c>
      <c r="X116">
        <f t="shared" si="87"/>
        <v>0</v>
      </c>
      <c r="Y116">
        <f t="shared" si="88"/>
        <v>0</v>
      </c>
      <c r="AA116">
        <v>71209905</v>
      </c>
      <c r="AB116">
        <f t="shared" si="89"/>
        <v>80.25</v>
      </c>
      <c r="AC116">
        <f>ROUND((ES116),6)</f>
        <v>0</v>
      </c>
      <c r="AD116">
        <f>ROUND((((ET116)-(EU116))+AE116),6)</f>
        <v>80.25</v>
      </c>
      <c r="AE116">
        <f t="shared" si="115"/>
        <v>25.84</v>
      </c>
      <c r="AF116">
        <f t="shared" si="115"/>
        <v>0</v>
      </c>
      <c r="AG116">
        <f t="shared" si="91"/>
        <v>0</v>
      </c>
      <c r="AH116">
        <f t="shared" si="116"/>
        <v>0</v>
      </c>
      <c r="AI116">
        <f t="shared" si="116"/>
        <v>0</v>
      </c>
      <c r="AJ116">
        <f t="shared" si="93"/>
        <v>0</v>
      </c>
      <c r="AK116">
        <v>80.25</v>
      </c>
      <c r="AL116">
        <v>0</v>
      </c>
      <c r="AM116">
        <v>80.25</v>
      </c>
      <c r="AN116">
        <v>25.84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70</v>
      </c>
      <c r="AU116">
        <v>10</v>
      </c>
      <c r="AV116">
        <v>1</v>
      </c>
      <c r="AW116">
        <v>1</v>
      </c>
      <c r="AZ116">
        <v>1</v>
      </c>
      <c r="BA116">
        <v>1</v>
      </c>
      <c r="BB116">
        <v>1</v>
      </c>
      <c r="BC116">
        <v>1</v>
      </c>
      <c r="BD116" t="s">
        <v>3</v>
      </c>
      <c r="BE116" t="s">
        <v>3</v>
      </c>
      <c r="BF116" t="s">
        <v>3</v>
      </c>
      <c r="BG116" t="s">
        <v>3</v>
      </c>
      <c r="BH116">
        <v>0</v>
      </c>
      <c r="BI116">
        <v>4</v>
      </c>
      <c r="BJ116" t="s">
        <v>122</v>
      </c>
      <c r="BM116">
        <v>0</v>
      </c>
      <c r="BN116">
        <v>0</v>
      </c>
      <c r="BO116" t="s">
        <v>3</v>
      </c>
      <c r="BP116">
        <v>0</v>
      </c>
      <c r="BQ116">
        <v>1</v>
      </c>
      <c r="BR116">
        <v>0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 t="s">
        <v>3</v>
      </c>
      <c r="BZ116">
        <v>70</v>
      </c>
      <c r="CA116">
        <v>10</v>
      </c>
      <c r="CE116">
        <v>0</v>
      </c>
      <c r="CF116">
        <v>0</v>
      </c>
      <c r="CG116">
        <v>0</v>
      </c>
      <c r="CM116">
        <v>0</v>
      </c>
      <c r="CN116" t="s">
        <v>3</v>
      </c>
      <c r="CO116">
        <v>0</v>
      </c>
      <c r="CP116">
        <f t="shared" si="94"/>
        <v>475.38</v>
      </c>
      <c r="CQ116">
        <f t="shared" si="95"/>
        <v>0</v>
      </c>
      <c r="CR116">
        <f>((((ET116)*BB116-(EU116)*BS116)+AE116*BS116)*AV116)</f>
        <v>80.25</v>
      </c>
      <c r="CS116">
        <f t="shared" si="96"/>
        <v>25.84</v>
      </c>
      <c r="CT116">
        <f t="shared" si="97"/>
        <v>0</v>
      </c>
      <c r="CU116">
        <f t="shared" si="98"/>
        <v>0</v>
      </c>
      <c r="CV116">
        <f t="shared" si="99"/>
        <v>0</v>
      </c>
      <c r="CW116">
        <f t="shared" si="100"/>
        <v>0</v>
      </c>
      <c r="CX116">
        <f t="shared" si="101"/>
        <v>0</v>
      </c>
      <c r="CY116">
        <f t="shared" si="102"/>
        <v>0</v>
      </c>
      <c r="CZ116">
        <f t="shared" si="103"/>
        <v>0</v>
      </c>
      <c r="DC116" t="s">
        <v>3</v>
      </c>
      <c r="DD116" t="s">
        <v>3</v>
      </c>
      <c r="DE116" t="s">
        <v>3</v>
      </c>
      <c r="DF116" t="s">
        <v>3</v>
      </c>
      <c r="DG116" t="s">
        <v>3</v>
      </c>
      <c r="DH116" t="s">
        <v>3</v>
      </c>
      <c r="DI116" t="s">
        <v>3</v>
      </c>
      <c r="DJ116" t="s">
        <v>3</v>
      </c>
      <c r="DK116" t="s">
        <v>3</v>
      </c>
      <c r="DL116" t="s">
        <v>3</v>
      </c>
      <c r="DM116" t="s">
        <v>3</v>
      </c>
      <c r="DN116">
        <v>0</v>
      </c>
      <c r="DO116">
        <v>0</v>
      </c>
      <c r="DP116">
        <v>1</v>
      </c>
      <c r="DQ116">
        <v>1</v>
      </c>
      <c r="DU116">
        <v>1009</v>
      </c>
      <c r="DV116" t="s">
        <v>35</v>
      </c>
      <c r="DW116" t="s">
        <v>35</v>
      </c>
      <c r="DX116">
        <v>1000</v>
      </c>
      <c r="EE116">
        <v>67874524</v>
      </c>
      <c r="EF116">
        <v>1</v>
      </c>
      <c r="EG116" t="s">
        <v>20</v>
      </c>
      <c r="EH116">
        <v>0</v>
      </c>
      <c r="EI116" t="s">
        <v>3</v>
      </c>
      <c r="EJ116">
        <v>4</v>
      </c>
      <c r="EK116">
        <v>0</v>
      </c>
      <c r="EL116" t="s">
        <v>21</v>
      </c>
      <c r="EM116" t="s">
        <v>22</v>
      </c>
      <c r="EO116" t="s">
        <v>3</v>
      </c>
      <c r="EQ116">
        <v>0</v>
      </c>
      <c r="ER116">
        <v>80.25</v>
      </c>
      <c r="ES116">
        <v>0</v>
      </c>
      <c r="ET116">
        <v>80.25</v>
      </c>
      <c r="EU116">
        <v>25.84</v>
      </c>
      <c r="EV116">
        <v>0</v>
      </c>
      <c r="EW116">
        <v>0</v>
      </c>
      <c r="EX116">
        <v>0</v>
      </c>
      <c r="EY116">
        <v>0</v>
      </c>
      <c r="FQ116">
        <v>0</v>
      </c>
      <c r="FR116">
        <f t="shared" si="104"/>
        <v>0</v>
      </c>
      <c r="FS116">
        <v>0</v>
      </c>
      <c r="FX116">
        <v>70</v>
      </c>
      <c r="FY116">
        <v>10</v>
      </c>
      <c r="GA116" t="s">
        <v>3</v>
      </c>
      <c r="GD116">
        <v>0</v>
      </c>
      <c r="GF116">
        <v>-706956719</v>
      </c>
      <c r="GG116">
        <v>2</v>
      </c>
      <c r="GH116">
        <v>1</v>
      </c>
      <c r="GI116">
        <v>-2</v>
      </c>
      <c r="GJ116">
        <v>0</v>
      </c>
      <c r="GK116">
        <f>ROUND(R116*(R12)/100,2)</f>
        <v>165.32</v>
      </c>
      <c r="GL116">
        <f t="shared" si="105"/>
        <v>0</v>
      </c>
      <c r="GM116">
        <f t="shared" si="106"/>
        <v>640.70000000000005</v>
      </c>
      <c r="GN116">
        <f t="shared" si="107"/>
        <v>0</v>
      </c>
      <c r="GO116">
        <f t="shared" si="108"/>
        <v>0</v>
      </c>
      <c r="GP116">
        <f t="shared" si="109"/>
        <v>640.70000000000005</v>
      </c>
      <c r="GR116">
        <v>0</v>
      </c>
      <c r="GS116">
        <v>3</v>
      </c>
      <c r="GT116">
        <v>0</v>
      </c>
      <c r="GU116" t="s">
        <v>3</v>
      </c>
      <c r="GV116">
        <f t="shared" si="112"/>
        <v>0</v>
      </c>
      <c r="GW116">
        <v>1</v>
      </c>
      <c r="GX116">
        <f t="shared" si="110"/>
        <v>0</v>
      </c>
      <c r="HA116">
        <v>0</v>
      </c>
      <c r="HB116">
        <v>0</v>
      </c>
      <c r="HC116">
        <f t="shared" si="111"/>
        <v>0</v>
      </c>
      <c r="IK116">
        <v>0</v>
      </c>
    </row>
    <row r="117" spans="1:245" x14ac:dyDescent="0.2">
      <c r="A117">
        <v>17</v>
      </c>
      <c r="B117">
        <v>1</v>
      </c>
      <c r="D117">
        <f>ROW(EtalonRes!A234)</f>
        <v>234</v>
      </c>
      <c r="E117" t="s">
        <v>242</v>
      </c>
      <c r="F117" t="s">
        <v>124</v>
      </c>
      <c r="G117" t="s">
        <v>125</v>
      </c>
      <c r="H117" t="s">
        <v>35</v>
      </c>
      <c r="I117">
        <f>ROUND(I120*0.1,9)</f>
        <v>0.65820000000000001</v>
      </c>
      <c r="J117">
        <v>0</v>
      </c>
      <c r="O117">
        <f t="shared" si="78"/>
        <v>82.21</v>
      </c>
      <c r="P117">
        <f t="shared" si="79"/>
        <v>0</v>
      </c>
      <c r="Q117">
        <f t="shared" si="80"/>
        <v>0</v>
      </c>
      <c r="R117">
        <f t="shared" si="81"/>
        <v>0</v>
      </c>
      <c r="S117">
        <f t="shared" si="82"/>
        <v>82.21</v>
      </c>
      <c r="T117">
        <f t="shared" si="83"/>
        <v>0</v>
      </c>
      <c r="U117">
        <f t="shared" si="84"/>
        <v>0.67136400000000007</v>
      </c>
      <c r="V117">
        <f t="shared" si="85"/>
        <v>0</v>
      </c>
      <c r="W117">
        <f t="shared" si="86"/>
        <v>0</v>
      </c>
      <c r="X117">
        <f t="shared" si="87"/>
        <v>57.55</v>
      </c>
      <c r="Y117">
        <f t="shared" si="88"/>
        <v>8.2200000000000006</v>
      </c>
      <c r="AA117">
        <v>71209905</v>
      </c>
      <c r="AB117">
        <f t="shared" si="89"/>
        <v>124.9</v>
      </c>
      <c r="AC117">
        <f>ROUND((ES117),6)</f>
        <v>0</v>
      </c>
      <c r="AD117">
        <f>ROUND((((ET117)-(EU117))+AE117),6)</f>
        <v>0</v>
      </c>
      <c r="AE117">
        <f t="shared" si="115"/>
        <v>0</v>
      </c>
      <c r="AF117">
        <f t="shared" si="115"/>
        <v>124.9</v>
      </c>
      <c r="AG117">
        <f t="shared" si="91"/>
        <v>0</v>
      </c>
      <c r="AH117">
        <f t="shared" si="116"/>
        <v>1.02</v>
      </c>
      <c r="AI117">
        <f t="shared" si="116"/>
        <v>0</v>
      </c>
      <c r="AJ117">
        <f t="shared" si="93"/>
        <v>0</v>
      </c>
      <c r="AK117">
        <v>124.9</v>
      </c>
      <c r="AL117">
        <v>0</v>
      </c>
      <c r="AM117">
        <v>0</v>
      </c>
      <c r="AN117">
        <v>0</v>
      </c>
      <c r="AO117">
        <v>124.9</v>
      </c>
      <c r="AP117">
        <v>0</v>
      </c>
      <c r="AQ117">
        <v>1.02</v>
      </c>
      <c r="AR117">
        <v>0</v>
      </c>
      <c r="AS117">
        <v>0</v>
      </c>
      <c r="AT117">
        <v>70</v>
      </c>
      <c r="AU117">
        <v>10</v>
      </c>
      <c r="AV117">
        <v>1</v>
      </c>
      <c r="AW117">
        <v>1</v>
      </c>
      <c r="AZ117">
        <v>1</v>
      </c>
      <c r="BA117">
        <v>1</v>
      </c>
      <c r="BB117">
        <v>1</v>
      </c>
      <c r="BC117">
        <v>1</v>
      </c>
      <c r="BD117" t="s">
        <v>3</v>
      </c>
      <c r="BE117" t="s">
        <v>3</v>
      </c>
      <c r="BF117" t="s">
        <v>3</v>
      </c>
      <c r="BG117" t="s">
        <v>3</v>
      </c>
      <c r="BH117">
        <v>0</v>
      </c>
      <c r="BI117">
        <v>4</v>
      </c>
      <c r="BJ117" t="s">
        <v>126</v>
      </c>
      <c r="BM117">
        <v>0</v>
      </c>
      <c r="BN117">
        <v>0</v>
      </c>
      <c r="BO117" t="s">
        <v>3</v>
      </c>
      <c r="BP117">
        <v>0</v>
      </c>
      <c r="BQ117">
        <v>1</v>
      </c>
      <c r="BR117">
        <v>0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 t="s">
        <v>3</v>
      </c>
      <c r="BZ117">
        <v>70</v>
      </c>
      <c r="CA117">
        <v>10</v>
      </c>
      <c r="CE117">
        <v>0</v>
      </c>
      <c r="CF117">
        <v>0</v>
      </c>
      <c r="CG117">
        <v>0</v>
      </c>
      <c r="CM117">
        <v>0</v>
      </c>
      <c r="CN117" t="s">
        <v>3</v>
      </c>
      <c r="CO117">
        <v>0</v>
      </c>
      <c r="CP117">
        <f t="shared" si="94"/>
        <v>82.21</v>
      </c>
      <c r="CQ117">
        <f t="shared" si="95"/>
        <v>0</v>
      </c>
      <c r="CR117">
        <f>((((ET117)*BB117-(EU117)*BS117)+AE117*BS117)*AV117)</f>
        <v>0</v>
      </c>
      <c r="CS117">
        <f t="shared" si="96"/>
        <v>0</v>
      </c>
      <c r="CT117">
        <f t="shared" si="97"/>
        <v>124.9</v>
      </c>
      <c r="CU117">
        <f t="shared" si="98"/>
        <v>0</v>
      </c>
      <c r="CV117">
        <f t="shared" si="99"/>
        <v>1.02</v>
      </c>
      <c r="CW117">
        <f t="shared" si="100"/>
        <v>0</v>
      </c>
      <c r="CX117">
        <f t="shared" si="101"/>
        <v>0</v>
      </c>
      <c r="CY117">
        <f t="shared" si="102"/>
        <v>57.546999999999997</v>
      </c>
      <c r="CZ117">
        <f t="shared" si="103"/>
        <v>8.2209999999999983</v>
      </c>
      <c r="DC117" t="s">
        <v>3</v>
      </c>
      <c r="DD117" t="s">
        <v>3</v>
      </c>
      <c r="DE117" t="s">
        <v>3</v>
      </c>
      <c r="DF117" t="s">
        <v>3</v>
      </c>
      <c r="DG117" t="s">
        <v>3</v>
      </c>
      <c r="DH117" t="s">
        <v>3</v>
      </c>
      <c r="DI117" t="s">
        <v>3</v>
      </c>
      <c r="DJ117" t="s">
        <v>3</v>
      </c>
      <c r="DK117" t="s">
        <v>3</v>
      </c>
      <c r="DL117" t="s">
        <v>3</v>
      </c>
      <c r="DM117" t="s">
        <v>3</v>
      </c>
      <c r="DN117">
        <v>0</v>
      </c>
      <c r="DO117">
        <v>0</v>
      </c>
      <c r="DP117">
        <v>1</v>
      </c>
      <c r="DQ117">
        <v>1</v>
      </c>
      <c r="DU117">
        <v>1009</v>
      </c>
      <c r="DV117" t="s">
        <v>35</v>
      </c>
      <c r="DW117" t="s">
        <v>35</v>
      </c>
      <c r="DX117">
        <v>1000</v>
      </c>
      <c r="EE117">
        <v>67874524</v>
      </c>
      <c r="EF117">
        <v>1</v>
      </c>
      <c r="EG117" t="s">
        <v>20</v>
      </c>
      <c r="EH117">
        <v>0</v>
      </c>
      <c r="EI117" t="s">
        <v>3</v>
      </c>
      <c r="EJ117">
        <v>4</v>
      </c>
      <c r="EK117">
        <v>0</v>
      </c>
      <c r="EL117" t="s">
        <v>21</v>
      </c>
      <c r="EM117" t="s">
        <v>22</v>
      </c>
      <c r="EO117" t="s">
        <v>3</v>
      </c>
      <c r="EQ117">
        <v>0</v>
      </c>
      <c r="ER117">
        <v>124.9</v>
      </c>
      <c r="ES117">
        <v>0</v>
      </c>
      <c r="ET117">
        <v>0</v>
      </c>
      <c r="EU117">
        <v>0</v>
      </c>
      <c r="EV117">
        <v>124.9</v>
      </c>
      <c r="EW117">
        <v>1.02</v>
      </c>
      <c r="EX117">
        <v>0</v>
      </c>
      <c r="EY117">
        <v>0</v>
      </c>
      <c r="FQ117">
        <v>0</v>
      </c>
      <c r="FR117">
        <f t="shared" si="104"/>
        <v>0</v>
      </c>
      <c r="FS117">
        <v>0</v>
      </c>
      <c r="FX117">
        <v>70</v>
      </c>
      <c r="FY117">
        <v>10</v>
      </c>
      <c r="GA117" t="s">
        <v>3</v>
      </c>
      <c r="GD117">
        <v>0</v>
      </c>
      <c r="GF117">
        <v>44828971</v>
      </c>
      <c r="GG117">
        <v>2</v>
      </c>
      <c r="GH117">
        <v>1</v>
      </c>
      <c r="GI117">
        <v>-2</v>
      </c>
      <c r="GJ117">
        <v>0</v>
      </c>
      <c r="GK117">
        <f>ROUND(R117*(R12)/100,2)</f>
        <v>0</v>
      </c>
      <c r="GL117">
        <f t="shared" si="105"/>
        <v>0</v>
      </c>
      <c r="GM117">
        <f t="shared" si="106"/>
        <v>147.97999999999999</v>
      </c>
      <c r="GN117">
        <f t="shared" si="107"/>
        <v>0</v>
      </c>
      <c r="GO117">
        <f t="shared" si="108"/>
        <v>0</v>
      </c>
      <c r="GP117">
        <f t="shared" si="109"/>
        <v>147.97999999999999</v>
      </c>
      <c r="GR117">
        <v>0</v>
      </c>
      <c r="GS117">
        <v>3</v>
      </c>
      <c r="GT117">
        <v>0</v>
      </c>
      <c r="GU117" t="s">
        <v>3</v>
      </c>
      <c r="GV117">
        <f t="shared" si="112"/>
        <v>0</v>
      </c>
      <c r="GW117">
        <v>1</v>
      </c>
      <c r="GX117">
        <f t="shared" si="110"/>
        <v>0</v>
      </c>
      <c r="HA117">
        <v>0</v>
      </c>
      <c r="HB117">
        <v>0</v>
      </c>
      <c r="HC117">
        <f t="shared" si="111"/>
        <v>0</v>
      </c>
      <c r="IK117">
        <v>0</v>
      </c>
    </row>
    <row r="118" spans="1:245" x14ac:dyDescent="0.2">
      <c r="A118">
        <v>17</v>
      </c>
      <c r="B118">
        <v>1</v>
      </c>
      <c r="D118">
        <f>ROW(EtalonRes!A236)</f>
        <v>236</v>
      </c>
      <c r="E118" t="s">
        <v>243</v>
      </c>
      <c r="F118" t="s">
        <v>128</v>
      </c>
      <c r="G118" t="s">
        <v>129</v>
      </c>
      <c r="H118" t="s">
        <v>35</v>
      </c>
      <c r="I118">
        <f>ROUND(I116,9)</f>
        <v>5.9238</v>
      </c>
      <c r="J118">
        <v>0</v>
      </c>
      <c r="O118">
        <f t="shared" si="78"/>
        <v>342.57</v>
      </c>
      <c r="P118">
        <f t="shared" si="79"/>
        <v>0</v>
      </c>
      <c r="Q118">
        <f t="shared" si="80"/>
        <v>342.57</v>
      </c>
      <c r="R118">
        <f t="shared" si="81"/>
        <v>186.24</v>
      </c>
      <c r="S118">
        <f t="shared" si="82"/>
        <v>0</v>
      </c>
      <c r="T118">
        <f t="shared" si="83"/>
        <v>0</v>
      </c>
      <c r="U118">
        <f t="shared" si="84"/>
        <v>0</v>
      </c>
      <c r="V118">
        <f t="shared" si="85"/>
        <v>0</v>
      </c>
      <c r="W118">
        <f t="shared" si="86"/>
        <v>0</v>
      </c>
      <c r="X118">
        <f t="shared" si="87"/>
        <v>0</v>
      </c>
      <c r="Y118">
        <f t="shared" si="88"/>
        <v>0</v>
      </c>
      <c r="AA118">
        <v>71209905</v>
      </c>
      <c r="AB118">
        <f t="shared" si="89"/>
        <v>57.83</v>
      </c>
      <c r="AC118">
        <f>ROUND((ES118),6)</f>
        <v>0</v>
      </c>
      <c r="AD118">
        <f>ROUND((((ET118)-(EU118))+AE118),6)</f>
        <v>57.83</v>
      </c>
      <c r="AE118">
        <f t="shared" si="115"/>
        <v>31.44</v>
      </c>
      <c r="AF118">
        <f t="shared" si="115"/>
        <v>0</v>
      </c>
      <c r="AG118">
        <f t="shared" si="91"/>
        <v>0</v>
      </c>
      <c r="AH118">
        <f t="shared" si="116"/>
        <v>0</v>
      </c>
      <c r="AI118">
        <f t="shared" si="116"/>
        <v>0</v>
      </c>
      <c r="AJ118">
        <f t="shared" si="93"/>
        <v>0</v>
      </c>
      <c r="AK118">
        <v>57.83</v>
      </c>
      <c r="AL118">
        <v>0</v>
      </c>
      <c r="AM118">
        <v>57.83</v>
      </c>
      <c r="AN118">
        <v>31.44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Z118">
        <v>1</v>
      </c>
      <c r="BA118">
        <v>1</v>
      </c>
      <c r="BB118">
        <v>1</v>
      </c>
      <c r="BC118">
        <v>1</v>
      </c>
      <c r="BD118" t="s">
        <v>3</v>
      </c>
      <c r="BE118" t="s">
        <v>3</v>
      </c>
      <c r="BF118" t="s">
        <v>3</v>
      </c>
      <c r="BG118" t="s">
        <v>3</v>
      </c>
      <c r="BH118">
        <v>0</v>
      </c>
      <c r="BI118">
        <v>4</v>
      </c>
      <c r="BJ118" t="s">
        <v>130</v>
      </c>
      <c r="BM118">
        <v>1</v>
      </c>
      <c r="BN118">
        <v>0</v>
      </c>
      <c r="BO118" t="s">
        <v>3</v>
      </c>
      <c r="BP118">
        <v>0</v>
      </c>
      <c r="BQ118">
        <v>1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 t="s">
        <v>3</v>
      </c>
      <c r="BZ118">
        <v>0</v>
      </c>
      <c r="CA118">
        <v>0</v>
      </c>
      <c r="CE118">
        <v>0</v>
      </c>
      <c r="CF118">
        <v>0</v>
      </c>
      <c r="CG118">
        <v>0</v>
      </c>
      <c r="CM118">
        <v>0</v>
      </c>
      <c r="CN118" t="s">
        <v>3</v>
      </c>
      <c r="CO118">
        <v>0</v>
      </c>
      <c r="CP118">
        <f t="shared" si="94"/>
        <v>342.57</v>
      </c>
      <c r="CQ118">
        <f t="shared" si="95"/>
        <v>0</v>
      </c>
      <c r="CR118">
        <f>((((ET118)*BB118-(EU118)*BS118)+AE118*BS118)*AV118)</f>
        <v>57.83</v>
      </c>
      <c r="CS118">
        <f t="shared" si="96"/>
        <v>31.44</v>
      </c>
      <c r="CT118">
        <f t="shared" si="97"/>
        <v>0</v>
      </c>
      <c r="CU118">
        <f t="shared" si="98"/>
        <v>0</v>
      </c>
      <c r="CV118">
        <f t="shared" si="99"/>
        <v>0</v>
      </c>
      <c r="CW118">
        <f t="shared" si="100"/>
        <v>0</v>
      </c>
      <c r="CX118">
        <f t="shared" si="101"/>
        <v>0</v>
      </c>
      <c r="CY118">
        <f t="shared" si="102"/>
        <v>0</v>
      </c>
      <c r="CZ118">
        <f t="shared" si="103"/>
        <v>0</v>
      </c>
      <c r="DC118" t="s">
        <v>3</v>
      </c>
      <c r="DD118" t="s">
        <v>3</v>
      </c>
      <c r="DE118" t="s">
        <v>3</v>
      </c>
      <c r="DF118" t="s">
        <v>3</v>
      </c>
      <c r="DG118" t="s">
        <v>3</v>
      </c>
      <c r="DH118" t="s">
        <v>3</v>
      </c>
      <c r="DI118" t="s">
        <v>3</v>
      </c>
      <c r="DJ118" t="s">
        <v>3</v>
      </c>
      <c r="DK118" t="s">
        <v>3</v>
      </c>
      <c r="DL118" t="s">
        <v>3</v>
      </c>
      <c r="DM118" t="s">
        <v>3</v>
      </c>
      <c r="DN118">
        <v>0</v>
      </c>
      <c r="DO118">
        <v>0</v>
      </c>
      <c r="DP118">
        <v>1</v>
      </c>
      <c r="DQ118">
        <v>1</v>
      </c>
      <c r="DU118">
        <v>1009</v>
      </c>
      <c r="DV118" t="s">
        <v>35</v>
      </c>
      <c r="DW118" t="s">
        <v>35</v>
      </c>
      <c r="DX118">
        <v>1000</v>
      </c>
      <c r="EE118">
        <v>67874526</v>
      </c>
      <c r="EF118">
        <v>1</v>
      </c>
      <c r="EG118" t="s">
        <v>20</v>
      </c>
      <c r="EH118">
        <v>0</v>
      </c>
      <c r="EI118" t="s">
        <v>3</v>
      </c>
      <c r="EJ118">
        <v>4</v>
      </c>
      <c r="EK118">
        <v>1</v>
      </c>
      <c r="EL118" t="s">
        <v>37</v>
      </c>
      <c r="EM118" t="s">
        <v>22</v>
      </c>
      <c r="EO118" t="s">
        <v>3</v>
      </c>
      <c r="EQ118">
        <v>0</v>
      </c>
      <c r="ER118">
        <v>57.83</v>
      </c>
      <c r="ES118">
        <v>0</v>
      </c>
      <c r="ET118">
        <v>57.83</v>
      </c>
      <c r="EU118">
        <v>31.44</v>
      </c>
      <c r="EV118">
        <v>0</v>
      </c>
      <c r="EW118">
        <v>0</v>
      </c>
      <c r="EX118">
        <v>0</v>
      </c>
      <c r="EY118">
        <v>0</v>
      </c>
      <c r="FQ118">
        <v>0</v>
      </c>
      <c r="FR118">
        <f t="shared" si="104"/>
        <v>0</v>
      </c>
      <c r="FS118">
        <v>0</v>
      </c>
      <c r="FX118">
        <v>0</v>
      </c>
      <c r="FY118">
        <v>0</v>
      </c>
      <c r="GA118" t="s">
        <v>3</v>
      </c>
      <c r="GD118">
        <v>1</v>
      </c>
      <c r="GF118">
        <v>-1870736679</v>
      </c>
      <c r="GG118">
        <v>2</v>
      </c>
      <c r="GH118">
        <v>1</v>
      </c>
      <c r="GI118">
        <v>-2</v>
      </c>
      <c r="GJ118">
        <v>0</v>
      </c>
      <c r="GK118">
        <v>0</v>
      </c>
      <c r="GL118">
        <f t="shared" si="105"/>
        <v>0</v>
      </c>
      <c r="GM118">
        <f>ROUND(O118+X118+Y118,2)+GX118</f>
        <v>342.57</v>
      </c>
      <c r="GN118">
        <f>IF(OR(BI118=0,BI118=1),ROUND(O118+X118+Y118,2),0)</f>
        <v>0</v>
      </c>
      <c r="GO118">
        <f>IF(BI118=2,ROUND(O118+X118+Y118,2),0)</f>
        <v>0</v>
      </c>
      <c r="GP118">
        <f>IF(BI118=4,ROUND(O118+X118+Y118,2)+GX118,0)</f>
        <v>342.57</v>
      </c>
      <c r="GR118">
        <v>0</v>
      </c>
      <c r="GS118">
        <v>3</v>
      </c>
      <c r="GT118">
        <v>0</v>
      </c>
      <c r="GU118" t="s">
        <v>3</v>
      </c>
      <c r="GV118">
        <f t="shared" si="112"/>
        <v>0</v>
      </c>
      <c r="GW118">
        <v>1</v>
      </c>
      <c r="GX118">
        <f t="shared" si="110"/>
        <v>0</v>
      </c>
      <c r="HA118">
        <v>0</v>
      </c>
      <c r="HB118">
        <v>0</v>
      </c>
      <c r="HC118">
        <f t="shared" si="111"/>
        <v>0</v>
      </c>
      <c r="IK118">
        <v>0</v>
      </c>
    </row>
    <row r="119" spans="1:245" x14ac:dyDescent="0.2">
      <c r="A119">
        <v>17</v>
      </c>
      <c r="B119">
        <v>1</v>
      </c>
      <c r="D119">
        <f>ROW(EtalonRes!A238)</f>
        <v>238</v>
      </c>
      <c r="E119" t="s">
        <v>244</v>
      </c>
      <c r="F119" t="s">
        <v>132</v>
      </c>
      <c r="G119" t="s">
        <v>133</v>
      </c>
      <c r="H119" t="s">
        <v>35</v>
      </c>
      <c r="I119">
        <f>ROUND(I117,9)</f>
        <v>0.65820000000000001</v>
      </c>
      <c r="J119">
        <v>0</v>
      </c>
      <c r="O119">
        <f t="shared" si="78"/>
        <v>109.2</v>
      </c>
      <c r="P119">
        <f t="shared" si="79"/>
        <v>0</v>
      </c>
      <c r="Q119">
        <f t="shared" si="80"/>
        <v>109.2</v>
      </c>
      <c r="R119">
        <f t="shared" si="81"/>
        <v>59.36</v>
      </c>
      <c r="S119">
        <f t="shared" si="82"/>
        <v>0</v>
      </c>
      <c r="T119">
        <f t="shared" si="83"/>
        <v>0</v>
      </c>
      <c r="U119">
        <f t="shared" si="84"/>
        <v>0</v>
      </c>
      <c r="V119">
        <f t="shared" si="85"/>
        <v>0</v>
      </c>
      <c r="W119">
        <f t="shared" si="86"/>
        <v>0</v>
      </c>
      <c r="X119">
        <f t="shared" si="87"/>
        <v>0</v>
      </c>
      <c r="Y119">
        <f t="shared" si="88"/>
        <v>0</v>
      </c>
      <c r="AA119">
        <v>71209905</v>
      </c>
      <c r="AB119">
        <f t="shared" si="89"/>
        <v>165.91</v>
      </c>
      <c r="AC119">
        <f>ROUND((ES119),6)</f>
        <v>0</v>
      </c>
      <c r="AD119">
        <f>ROUND((((ET119)-(EU119))+AE119),6)</f>
        <v>165.91</v>
      </c>
      <c r="AE119">
        <f t="shared" si="115"/>
        <v>90.18</v>
      </c>
      <c r="AF119">
        <f t="shared" si="115"/>
        <v>0</v>
      </c>
      <c r="AG119">
        <f t="shared" si="91"/>
        <v>0</v>
      </c>
      <c r="AH119">
        <f t="shared" si="116"/>
        <v>0</v>
      </c>
      <c r="AI119">
        <f t="shared" si="116"/>
        <v>0</v>
      </c>
      <c r="AJ119">
        <f t="shared" si="93"/>
        <v>0</v>
      </c>
      <c r="AK119">
        <v>165.91</v>
      </c>
      <c r="AL119">
        <v>0</v>
      </c>
      <c r="AM119">
        <v>165.91</v>
      </c>
      <c r="AN119">
        <v>90.18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Z119">
        <v>1</v>
      </c>
      <c r="BA119">
        <v>1</v>
      </c>
      <c r="BB119">
        <v>1</v>
      </c>
      <c r="BC119">
        <v>1</v>
      </c>
      <c r="BD119" t="s">
        <v>3</v>
      </c>
      <c r="BE119" t="s">
        <v>3</v>
      </c>
      <c r="BF119" t="s">
        <v>3</v>
      </c>
      <c r="BG119" t="s">
        <v>3</v>
      </c>
      <c r="BH119">
        <v>0</v>
      </c>
      <c r="BI119">
        <v>4</v>
      </c>
      <c r="BJ119" t="s">
        <v>134</v>
      </c>
      <c r="BM119">
        <v>1</v>
      </c>
      <c r="BN119">
        <v>0</v>
      </c>
      <c r="BO119" t="s">
        <v>3</v>
      </c>
      <c r="BP119">
        <v>0</v>
      </c>
      <c r="BQ119">
        <v>1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 t="s">
        <v>3</v>
      </c>
      <c r="BZ119">
        <v>0</v>
      </c>
      <c r="CA119">
        <v>0</v>
      </c>
      <c r="CE119">
        <v>0</v>
      </c>
      <c r="CF119">
        <v>0</v>
      </c>
      <c r="CG119">
        <v>0</v>
      </c>
      <c r="CM119">
        <v>0</v>
      </c>
      <c r="CN119" t="s">
        <v>3</v>
      </c>
      <c r="CO119">
        <v>0</v>
      </c>
      <c r="CP119">
        <f t="shared" si="94"/>
        <v>109.2</v>
      </c>
      <c r="CQ119">
        <f t="shared" si="95"/>
        <v>0</v>
      </c>
      <c r="CR119">
        <f>((((ET119)*BB119-(EU119)*BS119)+AE119*BS119)*AV119)</f>
        <v>165.91</v>
      </c>
      <c r="CS119">
        <f t="shared" si="96"/>
        <v>90.18</v>
      </c>
      <c r="CT119">
        <f t="shared" si="97"/>
        <v>0</v>
      </c>
      <c r="CU119">
        <f t="shared" si="98"/>
        <v>0</v>
      </c>
      <c r="CV119">
        <f t="shared" si="99"/>
        <v>0</v>
      </c>
      <c r="CW119">
        <f t="shared" si="100"/>
        <v>0</v>
      </c>
      <c r="CX119">
        <f t="shared" si="101"/>
        <v>0</v>
      </c>
      <c r="CY119">
        <f t="shared" si="102"/>
        <v>0</v>
      </c>
      <c r="CZ119">
        <f t="shared" si="103"/>
        <v>0</v>
      </c>
      <c r="DC119" t="s">
        <v>3</v>
      </c>
      <c r="DD119" t="s">
        <v>3</v>
      </c>
      <c r="DE119" t="s">
        <v>3</v>
      </c>
      <c r="DF119" t="s">
        <v>3</v>
      </c>
      <c r="DG119" t="s">
        <v>3</v>
      </c>
      <c r="DH119" t="s">
        <v>3</v>
      </c>
      <c r="DI119" t="s">
        <v>3</v>
      </c>
      <c r="DJ119" t="s">
        <v>3</v>
      </c>
      <c r="DK119" t="s">
        <v>3</v>
      </c>
      <c r="DL119" t="s">
        <v>3</v>
      </c>
      <c r="DM119" t="s">
        <v>3</v>
      </c>
      <c r="DN119">
        <v>0</v>
      </c>
      <c r="DO119">
        <v>0</v>
      </c>
      <c r="DP119">
        <v>1</v>
      </c>
      <c r="DQ119">
        <v>1</v>
      </c>
      <c r="DU119">
        <v>1009</v>
      </c>
      <c r="DV119" t="s">
        <v>35</v>
      </c>
      <c r="DW119" t="s">
        <v>35</v>
      </c>
      <c r="DX119">
        <v>1000</v>
      </c>
      <c r="EE119">
        <v>67874526</v>
      </c>
      <c r="EF119">
        <v>1</v>
      </c>
      <c r="EG119" t="s">
        <v>20</v>
      </c>
      <c r="EH119">
        <v>0</v>
      </c>
      <c r="EI119" t="s">
        <v>3</v>
      </c>
      <c r="EJ119">
        <v>4</v>
      </c>
      <c r="EK119">
        <v>1</v>
      </c>
      <c r="EL119" t="s">
        <v>37</v>
      </c>
      <c r="EM119" t="s">
        <v>22</v>
      </c>
      <c r="EO119" t="s">
        <v>3</v>
      </c>
      <c r="EQ119">
        <v>0</v>
      </c>
      <c r="ER119">
        <v>165.91</v>
      </c>
      <c r="ES119">
        <v>0</v>
      </c>
      <c r="ET119">
        <v>165.91</v>
      </c>
      <c r="EU119">
        <v>90.18</v>
      </c>
      <c r="EV119">
        <v>0</v>
      </c>
      <c r="EW119">
        <v>0</v>
      </c>
      <c r="EX119">
        <v>0</v>
      </c>
      <c r="EY119">
        <v>0</v>
      </c>
      <c r="FQ119">
        <v>0</v>
      </c>
      <c r="FR119">
        <f t="shared" si="104"/>
        <v>0</v>
      </c>
      <c r="FS119">
        <v>0</v>
      </c>
      <c r="FX119">
        <v>0</v>
      </c>
      <c r="FY119">
        <v>0</v>
      </c>
      <c r="GA119" t="s">
        <v>3</v>
      </c>
      <c r="GD119">
        <v>1</v>
      </c>
      <c r="GF119">
        <v>1912105629</v>
      </c>
      <c r="GG119">
        <v>2</v>
      </c>
      <c r="GH119">
        <v>1</v>
      </c>
      <c r="GI119">
        <v>-2</v>
      </c>
      <c r="GJ119">
        <v>0</v>
      </c>
      <c r="GK119">
        <v>0</v>
      </c>
      <c r="GL119">
        <f t="shared" si="105"/>
        <v>0</v>
      </c>
      <c r="GM119">
        <f>ROUND(O119+X119+Y119,2)+GX119</f>
        <v>109.2</v>
      </c>
      <c r="GN119">
        <f>IF(OR(BI119=0,BI119=1),ROUND(O119+X119+Y119,2),0)</f>
        <v>0</v>
      </c>
      <c r="GO119">
        <f>IF(BI119=2,ROUND(O119+X119+Y119,2),0)</f>
        <v>0</v>
      </c>
      <c r="GP119">
        <f>IF(BI119=4,ROUND(O119+X119+Y119,2)+GX119,0)</f>
        <v>109.2</v>
      </c>
      <c r="GR119">
        <v>0</v>
      </c>
      <c r="GS119">
        <v>3</v>
      </c>
      <c r="GT119">
        <v>0</v>
      </c>
      <c r="GU119" t="s">
        <v>3</v>
      </c>
      <c r="GV119">
        <f t="shared" si="112"/>
        <v>0</v>
      </c>
      <c r="GW119">
        <v>1</v>
      </c>
      <c r="GX119">
        <f t="shared" si="110"/>
        <v>0</v>
      </c>
      <c r="HA119">
        <v>0</v>
      </c>
      <c r="HB119">
        <v>0</v>
      </c>
      <c r="HC119">
        <f t="shared" si="111"/>
        <v>0</v>
      </c>
      <c r="IK119">
        <v>0</v>
      </c>
    </row>
    <row r="120" spans="1:245" x14ac:dyDescent="0.2">
      <c r="A120">
        <v>17</v>
      </c>
      <c r="B120">
        <v>1</v>
      </c>
      <c r="D120">
        <f>ROW(EtalonRes!A240)</f>
        <v>240</v>
      </c>
      <c r="E120" t="s">
        <v>245</v>
      </c>
      <c r="F120" t="s">
        <v>136</v>
      </c>
      <c r="G120" t="s">
        <v>246</v>
      </c>
      <c r="H120" t="s">
        <v>35</v>
      </c>
      <c r="I120">
        <f>ROUND(I100+I101+0.3*0.8+(50+150)/1000+I115*100*2.4,9)</f>
        <v>6.5819999999999999</v>
      </c>
      <c r="J120">
        <v>0</v>
      </c>
      <c r="O120">
        <f t="shared" si="78"/>
        <v>7571.8</v>
      </c>
      <c r="P120">
        <f t="shared" si="79"/>
        <v>0</v>
      </c>
      <c r="Q120">
        <f t="shared" si="80"/>
        <v>7571.8</v>
      </c>
      <c r="R120">
        <f t="shared" si="81"/>
        <v>4116.25</v>
      </c>
      <c r="S120">
        <f t="shared" si="82"/>
        <v>0</v>
      </c>
      <c r="T120">
        <f t="shared" si="83"/>
        <v>0</v>
      </c>
      <c r="U120">
        <f t="shared" si="84"/>
        <v>0</v>
      </c>
      <c r="V120">
        <f t="shared" si="85"/>
        <v>0</v>
      </c>
      <c r="W120">
        <f t="shared" si="86"/>
        <v>0</v>
      </c>
      <c r="X120">
        <f t="shared" si="87"/>
        <v>0</v>
      </c>
      <c r="Y120">
        <f t="shared" si="88"/>
        <v>0</v>
      </c>
      <c r="AA120">
        <v>71209905</v>
      </c>
      <c r="AB120">
        <f t="shared" si="89"/>
        <v>1150.3800000000001</v>
      </c>
      <c r="AC120">
        <f>ROUND(((ES120*42)),6)</f>
        <v>0</v>
      </c>
      <c r="AD120">
        <f>ROUND(((((ET120*42))-((EU120*42)))+AE120),6)</f>
        <v>1150.3800000000001</v>
      </c>
      <c r="AE120">
        <f>ROUND(((EU120*42)),6)</f>
        <v>625.38</v>
      </c>
      <c r="AF120">
        <f>ROUND(((EV120*42)),6)</f>
        <v>0</v>
      </c>
      <c r="AG120">
        <f t="shared" si="91"/>
        <v>0</v>
      </c>
      <c r="AH120">
        <f>((EW120*42))</f>
        <v>0</v>
      </c>
      <c r="AI120">
        <f>((EX120*42))</f>
        <v>0</v>
      </c>
      <c r="AJ120">
        <f t="shared" si="93"/>
        <v>0</v>
      </c>
      <c r="AK120">
        <v>27.39</v>
      </c>
      <c r="AL120">
        <v>0</v>
      </c>
      <c r="AM120">
        <v>27.39</v>
      </c>
      <c r="AN120">
        <v>14.89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Z120">
        <v>1</v>
      </c>
      <c r="BA120">
        <v>1</v>
      </c>
      <c r="BB120">
        <v>1</v>
      </c>
      <c r="BC120">
        <v>1</v>
      </c>
      <c r="BD120" t="s">
        <v>3</v>
      </c>
      <c r="BE120" t="s">
        <v>3</v>
      </c>
      <c r="BF120" t="s">
        <v>3</v>
      </c>
      <c r="BG120" t="s">
        <v>3</v>
      </c>
      <c r="BH120">
        <v>0</v>
      </c>
      <c r="BI120">
        <v>4</v>
      </c>
      <c r="BJ120" t="s">
        <v>137</v>
      </c>
      <c r="BM120">
        <v>1</v>
      </c>
      <c r="BN120">
        <v>0</v>
      </c>
      <c r="BO120" t="s">
        <v>3</v>
      </c>
      <c r="BP120">
        <v>0</v>
      </c>
      <c r="BQ120">
        <v>1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 t="s">
        <v>3</v>
      </c>
      <c r="BZ120">
        <v>0</v>
      </c>
      <c r="CA120">
        <v>0</v>
      </c>
      <c r="CE120">
        <v>0</v>
      </c>
      <c r="CF120">
        <v>0</v>
      </c>
      <c r="CG120">
        <v>0</v>
      </c>
      <c r="CM120">
        <v>0</v>
      </c>
      <c r="CN120" t="s">
        <v>3</v>
      </c>
      <c r="CO120">
        <v>0</v>
      </c>
      <c r="CP120">
        <f t="shared" si="94"/>
        <v>7571.8</v>
      </c>
      <c r="CQ120">
        <f t="shared" si="95"/>
        <v>0</v>
      </c>
      <c r="CR120">
        <f>(((((ET120*42))*BB120-((EU120*42))*BS120)+AE120*BS120)*AV120)</f>
        <v>1150.3800000000001</v>
      </c>
      <c r="CS120">
        <f t="shared" si="96"/>
        <v>625.38</v>
      </c>
      <c r="CT120">
        <f t="shared" si="97"/>
        <v>0</v>
      </c>
      <c r="CU120">
        <f t="shared" si="98"/>
        <v>0</v>
      </c>
      <c r="CV120">
        <f t="shared" si="99"/>
        <v>0</v>
      </c>
      <c r="CW120">
        <f t="shared" si="100"/>
        <v>0</v>
      </c>
      <c r="CX120">
        <f t="shared" si="101"/>
        <v>0</v>
      </c>
      <c r="CY120">
        <f t="shared" si="102"/>
        <v>0</v>
      </c>
      <c r="CZ120">
        <f t="shared" si="103"/>
        <v>0</v>
      </c>
      <c r="DC120" t="s">
        <v>3</v>
      </c>
      <c r="DD120" t="s">
        <v>138</v>
      </c>
      <c r="DE120" t="s">
        <v>138</v>
      </c>
      <c r="DF120" t="s">
        <v>138</v>
      </c>
      <c r="DG120" t="s">
        <v>138</v>
      </c>
      <c r="DH120" t="s">
        <v>3</v>
      </c>
      <c r="DI120" t="s">
        <v>138</v>
      </c>
      <c r="DJ120" t="s">
        <v>138</v>
      </c>
      <c r="DK120" t="s">
        <v>3</v>
      </c>
      <c r="DL120" t="s">
        <v>3</v>
      </c>
      <c r="DM120" t="s">
        <v>3</v>
      </c>
      <c r="DN120">
        <v>0</v>
      </c>
      <c r="DO120">
        <v>0</v>
      </c>
      <c r="DP120">
        <v>1</v>
      </c>
      <c r="DQ120">
        <v>1</v>
      </c>
      <c r="DU120">
        <v>1009</v>
      </c>
      <c r="DV120" t="s">
        <v>35</v>
      </c>
      <c r="DW120" t="s">
        <v>35</v>
      </c>
      <c r="DX120">
        <v>1000</v>
      </c>
      <c r="EE120">
        <v>67874526</v>
      </c>
      <c r="EF120">
        <v>1</v>
      </c>
      <c r="EG120" t="s">
        <v>20</v>
      </c>
      <c r="EH120">
        <v>0</v>
      </c>
      <c r="EI120" t="s">
        <v>3</v>
      </c>
      <c r="EJ120">
        <v>4</v>
      </c>
      <c r="EK120">
        <v>1</v>
      </c>
      <c r="EL120" t="s">
        <v>37</v>
      </c>
      <c r="EM120" t="s">
        <v>22</v>
      </c>
      <c r="EO120" t="s">
        <v>3</v>
      </c>
      <c r="EQ120">
        <v>0</v>
      </c>
      <c r="ER120">
        <v>27.39</v>
      </c>
      <c r="ES120">
        <v>0</v>
      </c>
      <c r="ET120">
        <v>27.39</v>
      </c>
      <c r="EU120">
        <v>14.89</v>
      </c>
      <c r="EV120">
        <v>0</v>
      </c>
      <c r="EW120">
        <v>0</v>
      </c>
      <c r="EX120">
        <v>0</v>
      </c>
      <c r="EY120">
        <v>0</v>
      </c>
      <c r="FQ120">
        <v>0</v>
      </c>
      <c r="FR120">
        <f t="shared" si="104"/>
        <v>0</v>
      </c>
      <c r="FS120">
        <v>0</v>
      </c>
      <c r="FX120">
        <v>0</v>
      </c>
      <c r="FY120">
        <v>0</v>
      </c>
      <c r="GA120" t="s">
        <v>3</v>
      </c>
      <c r="GD120">
        <v>1</v>
      </c>
      <c r="GF120">
        <v>-1389955807</v>
      </c>
      <c r="GG120">
        <v>2</v>
      </c>
      <c r="GH120">
        <v>1</v>
      </c>
      <c r="GI120">
        <v>-2</v>
      </c>
      <c r="GJ120">
        <v>0</v>
      </c>
      <c r="GK120">
        <v>0</v>
      </c>
      <c r="GL120">
        <f t="shared" si="105"/>
        <v>0</v>
      </c>
      <c r="GM120">
        <f>ROUND(O120+X120+Y120,2)+GX120</f>
        <v>7571.8</v>
      </c>
      <c r="GN120">
        <f>IF(OR(BI120=0,BI120=1),ROUND(O120+X120+Y120,2),0)</f>
        <v>0</v>
      </c>
      <c r="GO120">
        <f>IF(BI120=2,ROUND(O120+X120+Y120,2),0)</f>
        <v>0</v>
      </c>
      <c r="GP120">
        <f>IF(BI120=4,ROUND(O120+X120+Y120,2)+GX120,0)</f>
        <v>7571.8</v>
      </c>
      <c r="GR120">
        <v>0</v>
      </c>
      <c r="GS120">
        <v>3</v>
      </c>
      <c r="GT120">
        <v>0</v>
      </c>
      <c r="GU120" t="s">
        <v>138</v>
      </c>
      <c r="GV120">
        <f>ROUND(((GT120*42)),6)</f>
        <v>0</v>
      </c>
      <c r="GW120">
        <v>1</v>
      </c>
      <c r="GX120">
        <f t="shared" si="110"/>
        <v>0</v>
      </c>
      <c r="HA120">
        <v>0</v>
      </c>
      <c r="HB120">
        <v>0</v>
      </c>
      <c r="HC120">
        <f t="shared" si="111"/>
        <v>0</v>
      </c>
      <c r="IK120">
        <v>0</v>
      </c>
    </row>
    <row r="121" spans="1:245" x14ac:dyDescent="0.2">
      <c r="A121">
        <v>17</v>
      </c>
      <c r="B121">
        <v>1</v>
      </c>
      <c r="E121" t="s">
        <v>247</v>
      </c>
      <c r="F121" t="s">
        <v>140</v>
      </c>
      <c r="G121" t="s">
        <v>248</v>
      </c>
      <c r="H121" t="s">
        <v>35</v>
      </c>
      <c r="I121">
        <f>ROUND(0.3*0.8+(50+150)/1000+I115*100*2.4,9)</f>
        <v>6.2</v>
      </c>
      <c r="J121">
        <v>0</v>
      </c>
      <c r="O121">
        <f t="shared" si="78"/>
        <v>621.86</v>
      </c>
      <c r="P121">
        <f t="shared" si="79"/>
        <v>621.86</v>
      </c>
      <c r="Q121">
        <f t="shared" si="80"/>
        <v>0</v>
      </c>
      <c r="R121">
        <f t="shared" si="81"/>
        <v>0</v>
      </c>
      <c r="S121">
        <f t="shared" si="82"/>
        <v>0</v>
      </c>
      <c r="T121">
        <f t="shared" si="83"/>
        <v>0</v>
      </c>
      <c r="U121">
        <f t="shared" si="84"/>
        <v>0</v>
      </c>
      <c r="V121">
        <f t="shared" si="85"/>
        <v>0</v>
      </c>
      <c r="W121">
        <f t="shared" si="86"/>
        <v>0</v>
      </c>
      <c r="X121">
        <f t="shared" si="87"/>
        <v>0</v>
      </c>
      <c r="Y121">
        <f t="shared" si="88"/>
        <v>0</v>
      </c>
      <c r="AA121">
        <v>71209905</v>
      </c>
      <c r="AB121">
        <f t="shared" si="89"/>
        <v>100.3</v>
      </c>
      <c r="AC121">
        <f>ROUND((ES121),6)</f>
        <v>100.3</v>
      </c>
      <c r="AD121">
        <f>ROUND((ET121),6)</f>
        <v>0</v>
      </c>
      <c r="AE121">
        <f>ROUND((EU121),6)</f>
        <v>0</v>
      </c>
      <c r="AF121">
        <f>ROUND((EV121),6)</f>
        <v>0</v>
      </c>
      <c r="AG121">
        <f t="shared" si="91"/>
        <v>0</v>
      </c>
      <c r="AH121">
        <f t="shared" ref="AH121:AI125" si="117">(EW121)</f>
        <v>0</v>
      </c>
      <c r="AI121">
        <f t="shared" si="117"/>
        <v>0</v>
      </c>
      <c r="AJ121">
        <f t="shared" si="93"/>
        <v>0</v>
      </c>
      <c r="AK121">
        <v>100.3</v>
      </c>
      <c r="AL121">
        <v>100.3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Z121">
        <v>1</v>
      </c>
      <c r="BA121">
        <v>1</v>
      </c>
      <c r="BB121">
        <v>1</v>
      </c>
      <c r="BC121">
        <v>1</v>
      </c>
      <c r="BD121" t="s">
        <v>3</v>
      </c>
      <c r="BE121" t="s">
        <v>3</v>
      </c>
      <c r="BF121" t="s">
        <v>3</v>
      </c>
      <c r="BG121" t="s">
        <v>3</v>
      </c>
      <c r="BH121">
        <v>3</v>
      </c>
      <c r="BI121">
        <v>1</v>
      </c>
      <c r="BJ121" t="s">
        <v>3</v>
      </c>
      <c r="BM121">
        <v>6001</v>
      </c>
      <c r="BN121">
        <v>0</v>
      </c>
      <c r="BO121" t="s">
        <v>3</v>
      </c>
      <c r="BP121">
        <v>0</v>
      </c>
      <c r="BQ121">
        <v>0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 t="s">
        <v>3</v>
      </c>
      <c r="BZ121">
        <v>0</v>
      </c>
      <c r="CA121">
        <v>0</v>
      </c>
      <c r="CE121">
        <v>0</v>
      </c>
      <c r="CF121">
        <v>0</v>
      </c>
      <c r="CG121">
        <v>0</v>
      </c>
      <c r="CM121">
        <v>0</v>
      </c>
      <c r="CN121" t="s">
        <v>3</v>
      </c>
      <c r="CO121">
        <v>0</v>
      </c>
      <c r="CP121">
        <f t="shared" si="94"/>
        <v>621.86</v>
      </c>
      <c r="CQ121">
        <f>AC121*BC121</f>
        <v>100.3</v>
      </c>
      <c r="CR121">
        <f>AD121*BB121</f>
        <v>0</v>
      </c>
      <c r="CS121">
        <f>AE121*BS121</f>
        <v>0</v>
      </c>
      <c r="CT121">
        <f>AF121*BA121</f>
        <v>0</v>
      </c>
      <c r="CU121">
        <f t="shared" si="98"/>
        <v>0</v>
      </c>
      <c r="CV121">
        <f>AH121</f>
        <v>0</v>
      </c>
      <c r="CW121">
        <f t="shared" si="100"/>
        <v>0</v>
      </c>
      <c r="CX121">
        <f t="shared" si="101"/>
        <v>0</v>
      </c>
      <c r="CY121">
        <f>0</f>
        <v>0</v>
      </c>
      <c r="CZ121">
        <f>0</f>
        <v>0</v>
      </c>
      <c r="DC121" t="s">
        <v>3</v>
      </c>
      <c r="DD121" t="s">
        <v>3</v>
      </c>
      <c r="DE121" t="s">
        <v>3</v>
      </c>
      <c r="DF121" t="s">
        <v>3</v>
      </c>
      <c r="DG121" t="s">
        <v>3</v>
      </c>
      <c r="DH121" t="s">
        <v>3</v>
      </c>
      <c r="DI121" t="s">
        <v>3</v>
      </c>
      <c r="DJ121" t="s">
        <v>3</v>
      </c>
      <c r="DK121" t="s">
        <v>3</v>
      </c>
      <c r="DL121" t="s">
        <v>3</v>
      </c>
      <c r="DM121" t="s">
        <v>3</v>
      </c>
      <c r="DN121">
        <v>0</v>
      </c>
      <c r="DO121">
        <v>0</v>
      </c>
      <c r="DP121">
        <v>1</v>
      </c>
      <c r="DQ121">
        <v>1</v>
      </c>
      <c r="DU121">
        <v>1009</v>
      </c>
      <c r="DV121" t="s">
        <v>35</v>
      </c>
      <c r="DW121" t="s">
        <v>35</v>
      </c>
      <c r="DX121">
        <v>1000</v>
      </c>
      <c r="EE121">
        <v>0</v>
      </c>
      <c r="EF121">
        <v>0</v>
      </c>
      <c r="EG121" t="s">
        <v>3</v>
      </c>
      <c r="EH121">
        <v>0</v>
      </c>
      <c r="EI121" t="s">
        <v>3</v>
      </c>
      <c r="EJ121">
        <v>0</v>
      </c>
      <c r="EK121">
        <v>6001</v>
      </c>
      <c r="EL121" t="s">
        <v>3</v>
      </c>
      <c r="EM121" t="s">
        <v>3</v>
      </c>
      <c r="EO121" t="s">
        <v>3</v>
      </c>
      <c r="EQ121">
        <v>0</v>
      </c>
      <c r="ER121">
        <v>100.3</v>
      </c>
      <c r="ES121">
        <v>100.3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5</v>
      </c>
      <c r="FC121">
        <v>1</v>
      </c>
      <c r="FD121">
        <v>18</v>
      </c>
      <c r="FF121">
        <v>120.36</v>
      </c>
      <c r="FQ121">
        <v>0</v>
      </c>
      <c r="FR121">
        <f t="shared" si="104"/>
        <v>0</v>
      </c>
      <c r="FS121">
        <v>0</v>
      </c>
      <c r="FX121">
        <v>0</v>
      </c>
      <c r="FY121">
        <v>0</v>
      </c>
      <c r="GA121" t="s">
        <v>141</v>
      </c>
      <c r="GD121">
        <v>0</v>
      </c>
      <c r="GF121">
        <v>248330877</v>
      </c>
      <c r="GG121">
        <v>2</v>
      </c>
      <c r="GH121">
        <v>3</v>
      </c>
      <c r="GI121">
        <v>-2</v>
      </c>
      <c r="GJ121">
        <v>0</v>
      </c>
      <c r="GK121">
        <f>ROUND(R121*(R12)/100,2)</f>
        <v>0</v>
      </c>
      <c r="GL121">
        <f t="shared" si="105"/>
        <v>0</v>
      </c>
      <c r="GM121">
        <f>ROUND(O121+X121+Y121+GK121,2)+GX121</f>
        <v>621.86</v>
      </c>
      <c r="GN121">
        <f>IF(OR(BI121=0,BI121=1),ROUND(O121+X121+Y121+GK121,2),0)</f>
        <v>621.86</v>
      </c>
      <c r="GO121">
        <f>IF(BI121=2,ROUND(O121+X121+Y121+GK121,2),0)</f>
        <v>0</v>
      </c>
      <c r="GP121">
        <f>IF(BI121=4,ROUND(O121+X121+Y121+GK121,2)+GX121,0)</f>
        <v>0</v>
      </c>
      <c r="GR121">
        <v>1</v>
      </c>
      <c r="GS121">
        <v>1</v>
      </c>
      <c r="GT121">
        <v>0</v>
      </c>
      <c r="GU121" t="s">
        <v>3</v>
      </c>
      <c r="GV121">
        <f t="shared" ref="GV121:GV126" si="118">ROUND((GT121),6)</f>
        <v>0</v>
      </c>
      <c r="GW121">
        <v>1</v>
      </c>
      <c r="GX121">
        <f t="shared" si="110"/>
        <v>0</v>
      </c>
      <c r="HA121">
        <v>0</v>
      </c>
      <c r="HB121">
        <v>0</v>
      </c>
      <c r="HC121">
        <f t="shared" si="111"/>
        <v>0</v>
      </c>
      <c r="IK121">
        <v>0</v>
      </c>
    </row>
    <row r="122" spans="1:245" x14ac:dyDescent="0.2">
      <c r="A122">
        <v>17</v>
      </c>
      <c r="B122">
        <v>1</v>
      </c>
      <c r="D122">
        <f>ROW(EtalonRes!A241)</f>
        <v>241</v>
      </c>
      <c r="E122" t="s">
        <v>3</v>
      </c>
      <c r="F122" t="s">
        <v>120</v>
      </c>
      <c r="G122" t="s">
        <v>121</v>
      </c>
      <c r="H122" t="s">
        <v>35</v>
      </c>
      <c r="I122">
        <v>7.7761800000000001</v>
      </c>
      <c r="J122">
        <v>0</v>
      </c>
      <c r="O122">
        <f t="shared" si="78"/>
        <v>624.04</v>
      </c>
      <c r="P122">
        <f t="shared" si="79"/>
        <v>0</v>
      </c>
      <c r="Q122">
        <f t="shared" si="80"/>
        <v>624.04</v>
      </c>
      <c r="R122">
        <f t="shared" si="81"/>
        <v>200.94</v>
      </c>
      <c r="S122">
        <f t="shared" si="82"/>
        <v>0</v>
      </c>
      <c r="T122">
        <f t="shared" si="83"/>
        <v>0</v>
      </c>
      <c r="U122">
        <f t="shared" si="84"/>
        <v>0</v>
      </c>
      <c r="V122">
        <f t="shared" si="85"/>
        <v>0</v>
      </c>
      <c r="W122">
        <f t="shared" si="86"/>
        <v>0</v>
      </c>
      <c r="X122">
        <f t="shared" si="87"/>
        <v>0</v>
      </c>
      <c r="Y122">
        <f t="shared" si="88"/>
        <v>0</v>
      </c>
      <c r="AA122">
        <v>-1</v>
      </c>
      <c r="AB122">
        <f t="shared" si="89"/>
        <v>80.25</v>
      </c>
      <c r="AC122">
        <f>ROUND((ES122),6)</f>
        <v>0</v>
      </c>
      <c r="AD122">
        <f>ROUND((((ET122)-(EU122))+AE122),6)</f>
        <v>80.25</v>
      </c>
      <c r="AE122">
        <f t="shared" ref="AE122:AF125" si="119">ROUND((EU122),6)</f>
        <v>25.84</v>
      </c>
      <c r="AF122">
        <f t="shared" si="119"/>
        <v>0</v>
      </c>
      <c r="AG122">
        <f t="shared" si="91"/>
        <v>0</v>
      </c>
      <c r="AH122">
        <f t="shared" si="117"/>
        <v>0</v>
      </c>
      <c r="AI122">
        <f t="shared" si="117"/>
        <v>0</v>
      </c>
      <c r="AJ122">
        <f t="shared" si="93"/>
        <v>0</v>
      </c>
      <c r="AK122">
        <v>80.25</v>
      </c>
      <c r="AL122">
        <v>0</v>
      </c>
      <c r="AM122">
        <v>80.25</v>
      </c>
      <c r="AN122">
        <v>25.84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70</v>
      </c>
      <c r="AU122">
        <v>10</v>
      </c>
      <c r="AV122">
        <v>1</v>
      </c>
      <c r="AW122">
        <v>1</v>
      </c>
      <c r="AZ122">
        <v>1</v>
      </c>
      <c r="BA122">
        <v>1</v>
      </c>
      <c r="BB122">
        <v>1</v>
      </c>
      <c r="BC122">
        <v>1</v>
      </c>
      <c r="BD122" t="s">
        <v>3</v>
      </c>
      <c r="BE122" t="s">
        <v>3</v>
      </c>
      <c r="BF122" t="s">
        <v>3</v>
      </c>
      <c r="BG122" t="s">
        <v>3</v>
      </c>
      <c r="BH122">
        <v>0</v>
      </c>
      <c r="BI122">
        <v>4</v>
      </c>
      <c r="BJ122" t="s">
        <v>122</v>
      </c>
      <c r="BM122">
        <v>0</v>
      </c>
      <c r="BN122">
        <v>0</v>
      </c>
      <c r="BO122" t="s">
        <v>3</v>
      </c>
      <c r="BP122">
        <v>0</v>
      </c>
      <c r="BQ122">
        <v>1</v>
      </c>
      <c r="BR122">
        <v>0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 t="s">
        <v>3</v>
      </c>
      <c r="BZ122">
        <v>70</v>
      </c>
      <c r="CA122">
        <v>10</v>
      </c>
      <c r="CE122">
        <v>0</v>
      </c>
      <c r="CF122">
        <v>0</v>
      </c>
      <c r="CG122">
        <v>0</v>
      </c>
      <c r="CM122">
        <v>0</v>
      </c>
      <c r="CN122" t="s">
        <v>3</v>
      </c>
      <c r="CO122">
        <v>0</v>
      </c>
      <c r="CP122">
        <f t="shared" si="94"/>
        <v>624.04</v>
      </c>
      <c r="CQ122">
        <f>(AC122*BC122*AW122)</f>
        <v>0</v>
      </c>
      <c r="CR122">
        <f>((((ET122)*BB122-(EU122)*BS122)+AE122*BS122)*AV122)</f>
        <v>80.25</v>
      </c>
      <c r="CS122">
        <f>(AE122*BS122*AV122)</f>
        <v>25.84</v>
      </c>
      <c r="CT122">
        <f>(AF122*BA122*AV122)</f>
        <v>0</v>
      </c>
      <c r="CU122">
        <f t="shared" si="98"/>
        <v>0</v>
      </c>
      <c r="CV122">
        <f>(AH122*AV122)</f>
        <v>0</v>
      </c>
      <c r="CW122">
        <f t="shared" si="100"/>
        <v>0</v>
      </c>
      <c r="CX122">
        <f t="shared" si="101"/>
        <v>0</v>
      </c>
      <c r="CY122">
        <f>((S122*BZ122)/100)</f>
        <v>0</v>
      </c>
      <c r="CZ122">
        <f>((S122*CA122)/100)</f>
        <v>0</v>
      </c>
      <c r="DC122" t="s">
        <v>3</v>
      </c>
      <c r="DD122" t="s">
        <v>3</v>
      </c>
      <c r="DE122" t="s">
        <v>3</v>
      </c>
      <c r="DF122" t="s">
        <v>3</v>
      </c>
      <c r="DG122" t="s">
        <v>3</v>
      </c>
      <c r="DH122" t="s">
        <v>3</v>
      </c>
      <c r="DI122" t="s">
        <v>3</v>
      </c>
      <c r="DJ122" t="s">
        <v>3</v>
      </c>
      <c r="DK122" t="s">
        <v>3</v>
      </c>
      <c r="DL122" t="s">
        <v>3</v>
      </c>
      <c r="DM122" t="s">
        <v>3</v>
      </c>
      <c r="DN122">
        <v>0</v>
      </c>
      <c r="DO122">
        <v>0</v>
      </c>
      <c r="DP122">
        <v>1</v>
      </c>
      <c r="DQ122">
        <v>1</v>
      </c>
      <c r="DU122">
        <v>1009</v>
      </c>
      <c r="DV122" t="s">
        <v>35</v>
      </c>
      <c r="DW122" t="s">
        <v>35</v>
      </c>
      <c r="DX122">
        <v>1000</v>
      </c>
      <c r="EE122">
        <v>67874524</v>
      </c>
      <c r="EF122">
        <v>1</v>
      </c>
      <c r="EG122" t="s">
        <v>20</v>
      </c>
      <c r="EH122">
        <v>0</v>
      </c>
      <c r="EI122" t="s">
        <v>3</v>
      </c>
      <c r="EJ122">
        <v>4</v>
      </c>
      <c r="EK122">
        <v>0</v>
      </c>
      <c r="EL122" t="s">
        <v>21</v>
      </c>
      <c r="EM122" t="s">
        <v>22</v>
      </c>
      <c r="EO122" t="s">
        <v>3</v>
      </c>
      <c r="EQ122">
        <v>1024</v>
      </c>
      <c r="ER122">
        <v>80.25</v>
      </c>
      <c r="ES122">
        <v>0</v>
      </c>
      <c r="ET122">
        <v>80.25</v>
      </c>
      <c r="EU122">
        <v>25.84</v>
      </c>
      <c r="EV122">
        <v>0</v>
      </c>
      <c r="EW122">
        <v>0</v>
      </c>
      <c r="EX122">
        <v>0</v>
      </c>
      <c r="EY122">
        <v>0</v>
      </c>
      <c r="FQ122">
        <v>0</v>
      </c>
      <c r="FR122">
        <f t="shared" si="104"/>
        <v>0</v>
      </c>
      <c r="FS122">
        <v>0</v>
      </c>
      <c r="FX122">
        <v>70</v>
      </c>
      <c r="FY122">
        <v>10</v>
      </c>
      <c r="GA122" t="s">
        <v>3</v>
      </c>
      <c r="GD122">
        <v>0</v>
      </c>
      <c r="GF122">
        <v>-706956719</v>
      </c>
      <c r="GG122">
        <v>2</v>
      </c>
      <c r="GH122">
        <v>1</v>
      </c>
      <c r="GI122">
        <v>-2</v>
      </c>
      <c r="GJ122">
        <v>0</v>
      </c>
      <c r="GK122">
        <f>ROUND(R122*(R12)/100,2)</f>
        <v>217.02</v>
      </c>
      <c r="GL122">
        <f t="shared" si="105"/>
        <v>0</v>
      </c>
      <c r="GM122">
        <f>ROUND(O122+X122+Y122+GK122,2)+GX122</f>
        <v>841.06</v>
      </c>
      <c r="GN122">
        <f>IF(OR(BI122=0,BI122=1),ROUND(O122+X122+Y122+GK122,2),0)</f>
        <v>0</v>
      </c>
      <c r="GO122">
        <f>IF(BI122=2,ROUND(O122+X122+Y122+GK122,2),0)</f>
        <v>0</v>
      </c>
      <c r="GP122">
        <f>IF(BI122=4,ROUND(O122+X122+Y122+GK122,2)+GX122,0)</f>
        <v>841.06</v>
      </c>
      <c r="GR122">
        <v>0</v>
      </c>
      <c r="GS122">
        <v>3</v>
      </c>
      <c r="GT122">
        <v>0</v>
      </c>
      <c r="GU122" t="s">
        <v>3</v>
      </c>
      <c r="GV122">
        <f t="shared" si="118"/>
        <v>0</v>
      </c>
      <c r="GW122">
        <v>1</v>
      </c>
      <c r="GX122">
        <f t="shared" si="110"/>
        <v>0</v>
      </c>
      <c r="HA122">
        <v>0</v>
      </c>
      <c r="HB122">
        <v>0</v>
      </c>
      <c r="HC122">
        <f t="shared" si="111"/>
        <v>0</v>
      </c>
      <c r="IK122">
        <v>0</v>
      </c>
    </row>
    <row r="123" spans="1:245" x14ac:dyDescent="0.2">
      <c r="A123">
        <v>17</v>
      </c>
      <c r="B123">
        <v>1</v>
      </c>
      <c r="D123">
        <f>ROW(EtalonRes!A242)</f>
        <v>242</v>
      </c>
      <c r="E123" t="s">
        <v>3</v>
      </c>
      <c r="F123" t="s">
        <v>124</v>
      </c>
      <c r="G123" t="s">
        <v>125</v>
      </c>
      <c r="H123" t="s">
        <v>35</v>
      </c>
      <c r="I123">
        <v>0.86402000000000001</v>
      </c>
      <c r="J123">
        <v>0</v>
      </c>
      <c r="O123">
        <f t="shared" si="78"/>
        <v>107.92</v>
      </c>
      <c r="P123">
        <f t="shared" si="79"/>
        <v>0</v>
      </c>
      <c r="Q123">
        <f t="shared" si="80"/>
        <v>0</v>
      </c>
      <c r="R123">
        <f t="shared" si="81"/>
        <v>0</v>
      </c>
      <c r="S123">
        <f t="shared" si="82"/>
        <v>107.92</v>
      </c>
      <c r="T123">
        <f t="shared" si="83"/>
        <v>0</v>
      </c>
      <c r="U123">
        <f t="shared" si="84"/>
        <v>0.88130039999999998</v>
      </c>
      <c r="V123">
        <f t="shared" si="85"/>
        <v>0</v>
      </c>
      <c r="W123">
        <f t="shared" si="86"/>
        <v>0</v>
      </c>
      <c r="X123">
        <f t="shared" si="87"/>
        <v>75.540000000000006</v>
      </c>
      <c r="Y123">
        <f t="shared" si="88"/>
        <v>10.79</v>
      </c>
      <c r="AA123">
        <v>-1</v>
      </c>
      <c r="AB123">
        <f t="shared" si="89"/>
        <v>124.9</v>
      </c>
      <c r="AC123">
        <f>ROUND((ES123),6)</f>
        <v>0</v>
      </c>
      <c r="AD123">
        <f>ROUND((((ET123)-(EU123))+AE123),6)</f>
        <v>0</v>
      </c>
      <c r="AE123">
        <f t="shared" si="119"/>
        <v>0</v>
      </c>
      <c r="AF123">
        <f t="shared" si="119"/>
        <v>124.9</v>
      </c>
      <c r="AG123">
        <f t="shared" si="91"/>
        <v>0</v>
      </c>
      <c r="AH123">
        <f t="shared" si="117"/>
        <v>1.02</v>
      </c>
      <c r="AI123">
        <f t="shared" si="117"/>
        <v>0</v>
      </c>
      <c r="AJ123">
        <f t="shared" si="93"/>
        <v>0</v>
      </c>
      <c r="AK123">
        <v>124.9</v>
      </c>
      <c r="AL123">
        <v>0</v>
      </c>
      <c r="AM123">
        <v>0</v>
      </c>
      <c r="AN123">
        <v>0</v>
      </c>
      <c r="AO123">
        <v>124.9</v>
      </c>
      <c r="AP123">
        <v>0</v>
      </c>
      <c r="AQ123">
        <v>1.02</v>
      </c>
      <c r="AR123">
        <v>0</v>
      </c>
      <c r="AS123">
        <v>0</v>
      </c>
      <c r="AT123">
        <v>70</v>
      </c>
      <c r="AU123">
        <v>10</v>
      </c>
      <c r="AV123">
        <v>1</v>
      </c>
      <c r="AW123">
        <v>1</v>
      </c>
      <c r="AZ123">
        <v>1</v>
      </c>
      <c r="BA123">
        <v>1</v>
      </c>
      <c r="BB123">
        <v>1</v>
      </c>
      <c r="BC123">
        <v>1</v>
      </c>
      <c r="BD123" t="s">
        <v>3</v>
      </c>
      <c r="BE123" t="s">
        <v>3</v>
      </c>
      <c r="BF123" t="s">
        <v>3</v>
      </c>
      <c r="BG123" t="s">
        <v>3</v>
      </c>
      <c r="BH123">
        <v>0</v>
      </c>
      <c r="BI123">
        <v>4</v>
      </c>
      <c r="BJ123" t="s">
        <v>126</v>
      </c>
      <c r="BM123">
        <v>0</v>
      </c>
      <c r="BN123">
        <v>0</v>
      </c>
      <c r="BO123" t="s">
        <v>3</v>
      </c>
      <c r="BP123">
        <v>0</v>
      </c>
      <c r="BQ123">
        <v>1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 t="s">
        <v>3</v>
      </c>
      <c r="BZ123">
        <v>70</v>
      </c>
      <c r="CA123">
        <v>10</v>
      </c>
      <c r="CE123">
        <v>0</v>
      </c>
      <c r="CF123">
        <v>0</v>
      </c>
      <c r="CG123">
        <v>0</v>
      </c>
      <c r="CM123">
        <v>0</v>
      </c>
      <c r="CN123" t="s">
        <v>3</v>
      </c>
      <c r="CO123">
        <v>0</v>
      </c>
      <c r="CP123">
        <f t="shared" si="94"/>
        <v>107.92</v>
      </c>
      <c r="CQ123">
        <f>(AC123*BC123*AW123)</f>
        <v>0</v>
      </c>
      <c r="CR123">
        <f>((((ET123)*BB123-(EU123)*BS123)+AE123*BS123)*AV123)</f>
        <v>0</v>
      </c>
      <c r="CS123">
        <f>(AE123*BS123*AV123)</f>
        <v>0</v>
      </c>
      <c r="CT123">
        <f>(AF123*BA123*AV123)</f>
        <v>124.9</v>
      </c>
      <c r="CU123">
        <f t="shared" si="98"/>
        <v>0</v>
      </c>
      <c r="CV123">
        <f>(AH123*AV123)</f>
        <v>1.02</v>
      </c>
      <c r="CW123">
        <f t="shared" si="100"/>
        <v>0</v>
      </c>
      <c r="CX123">
        <f t="shared" si="101"/>
        <v>0</v>
      </c>
      <c r="CY123">
        <f>((S123*BZ123)/100)</f>
        <v>75.544000000000011</v>
      </c>
      <c r="CZ123">
        <f>((S123*CA123)/100)</f>
        <v>10.792</v>
      </c>
      <c r="DC123" t="s">
        <v>3</v>
      </c>
      <c r="DD123" t="s">
        <v>3</v>
      </c>
      <c r="DE123" t="s">
        <v>3</v>
      </c>
      <c r="DF123" t="s">
        <v>3</v>
      </c>
      <c r="DG123" t="s">
        <v>3</v>
      </c>
      <c r="DH123" t="s">
        <v>3</v>
      </c>
      <c r="DI123" t="s">
        <v>3</v>
      </c>
      <c r="DJ123" t="s">
        <v>3</v>
      </c>
      <c r="DK123" t="s">
        <v>3</v>
      </c>
      <c r="DL123" t="s">
        <v>3</v>
      </c>
      <c r="DM123" t="s">
        <v>3</v>
      </c>
      <c r="DN123">
        <v>0</v>
      </c>
      <c r="DO123">
        <v>0</v>
      </c>
      <c r="DP123">
        <v>1</v>
      </c>
      <c r="DQ123">
        <v>1</v>
      </c>
      <c r="DU123">
        <v>1009</v>
      </c>
      <c r="DV123" t="s">
        <v>35</v>
      </c>
      <c r="DW123" t="s">
        <v>35</v>
      </c>
      <c r="DX123">
        <v>1000</v>
      </c>
      <c r="EE123">
        <v>67874524</v>
      </c>
      <c r="EF123">
        <v>1</v>
      </c>
      <c r="EG123" t="s">
        <v>20</v>
      </c>
      <c r="EH123">
        <v>0</v>
      </c>
      <c r="EI123" t="s">
        <v>3</v>
      </c>
      <c r="EJ123">
        <v>4</v>
      </c>
      <c r="EK123">
        <v>0</v>
      </c>
      <c r="EL123" t="s">
        <v>21</v>
      </c>
      <c r="EM123" t="s">
        <v>22</v>
      </c>
      <c r="EO123" t="s">
        <v>3</v>
      </c>
      <c r="EQ123">
        <v>1024</v>
      </c>
      <c r="ER123">
        <v>124.9</v>
      </c>
      <c r="ES123">
        <v>0</v>
      </c>
      <c r="ET123">
        <v>0</v>
      </c>
      <c r="EU123">
        <v>0</v>
      </c>
      <c r="EV123">
        <v>124.9</v>
      </c>
      <c r="EW123">
        <v>1.02</v>
      </c>
      <c r="EX123">
        <v>0</v>
      </c>
      <c r="EY123">
        <v>0</v>
      </c>
      <c r="FQ123">
        <v>0</v>
      </c>
      <c r="FR123">
        <f t="shared" si="104"/>
        <v>0</v>
      </c>
      <c r="FS123">
        <v>0</v>
      </c>
      <c r="FX123">
        <v>70</v>
      </c>
      <c r="FY123">
        <v>10</v>
      </c>
      <c r="GA123" t="s">
        <v>3</v>
      </c>
      <c r="GD123">
        <v>0</v>
      </c>
      <c r="GF123">
        <v>44828971</v>
      </c>
      <c r="GG123">
        <v>2</v>
      </c>
      <c r="GH123">
        <v>1</v>
      </c>
      <c r="GI123">
        <v>-2</v>
      </c>
      <c r="GJ123">
        <v>0</v>
      </c>
      <c r="GK123">
        <f>ROUND(R123*(R12)/100,2)</f>
        <v>0</v>
      </c>
      <c r="GL123">
        <f t="shared" si="105"/>
        <v>0</v>
      </c>
      <c r="GM123">
        <f>ROUND(O123+X123+Y123+GK123,2)+GX123</f>
        <v>194.25</v>
      </c>
      <c r="GN123">
        <f>IF(OR(BI123=0,BI123=1),ROUND(O123+X123+Y123+GK123,2),0)</f>
        <v>0</v>
      </c>
      <c r="GO123">
        <f>IF(BI123=2,ROUND(O123+X123+Y123+GK123,2),0)</f>
        <v>0</v>
      </c>
      <c r="GP123">
        <f>IF(BI123=4,ROUND(O123+X123+Y123+GK123,2)+GX123,0)</f>
        <v>194.25</v>
      </c>
      <c r="GR123">
        <v>0</v>
      </c>
      <c r="GS123">
        <v>3</v>
      </c>
      <c r="GT123">
        <v>0</v>
      </c>
      <c r="GU123" t="s">
        <v>3</v>
      </c>
      <c r="GV123">
        <f t="shared" si="118"/>
        <v>0</v>
      </c>
      <c r="GW123">
        <v>1</v>
      </c>
      <c r="GX123">
        <f t="shared" si="110"/>
        <v>0</v>
      </c>
      <c r="HA123">
        <v>0</v>
      </c>
      <c r="HB123">
        <v>0</v>
      </c>
      <c r="HC123">
        <f t="shared" si="111"/>
        <v>0</v>
      </c>
      <c r="IK123">
        <v>0</v>
      </c>
    </row>
    <row r="124" spans="1:245" x14ac:dyDescent="0.2">
      <c r="A124">
        <v>17</v>
      </c>
      <c r="B124">
        <v>1</v>
      </c>
      <c r="D124">
        <f>ROW(EtalonRes!A244)</f>
        <v>244</v>
      </c>
      <c r="E124" t="s">
        <v>3</v>
      </c>
      <c r="F124" t="s">
        <v>128</v>
      </c>
      <c r="G124" t="s">
        <v>129</v>
      </c>
      <c r="H124" t="s">
        <v>35</v>
      </c>
      <c r="I124">
        <v>7.7761800000000001</v>
      </c>
      <c r="J124">
        <v>0</v>
      </c>
      <c r="O124">
        <f t="shared" si="78"/>
        <v>449.7</v>
      </c>
      <c r="P124">
        <f t="shared" si="79"/>
        <v>0</v>
      </c>
      <c r="Q124">
        <f t="shared" si="80"/>
        <v>449.7</v>
      </c>
      <c r="R124">
        <f t="shared" si="81"/>
        <v>244.48</v>
      </c>
      <c r="S124">
        <f t="shared" si="82"/>
        <v>0</v>
      </c>
      <c r="T124">
        <f t="shared" si="83"/>
        <v>0</v>
      </c>
      <c r="U124">
        <f t="shared" si="84"/>
        <v>0</v>
      </c>
      <c r="V124">
        <f t="shared" si="85"/>
        <v>0</v>
      </c>
      <c r="W124">
        <f t="shared" si="86"/>
        <v>0</v>
      </c>
      <c r="X124">
        <f t="shared" si="87"/>
        <v>0</v>
      </c>
      <c r="Y124">
        <f t="shared" si="88"/>
        <v>0</v>
      </c>
      <c r="AA124">
        <v>-1</v>
      </c>
      <c r="AB124">
        <f t="shared" si="89"/>
        <v>57.83</v>
      </c>
      <c r="AC124">
        <f>ROUND((ES124),6)</f>
        <v>0</v>
      </c>
      <c r="AD124">
        <f>ROUND((((ET124)-(EU124))+AE124),6)</f>
        <v>57.83</v>
      </c>
      <c r="AE124">
        <f t="shared" si="119"/>
        <v>31.44</v>
      </c>
      <c r="AF124">
        <f t="shared" si="119"/>
        <v>0</v>
      </c>
      <c r="AG124">
        <f t="shared" si="91"/>
        <v>0</v>
      </c>
      <c r="AH124">
        <f t="shared" si="117"/>
        <v>0</v>
      </c>
      <c r="AI124">
        <f t="shared" si="117"/>
        <v>0</v>
      </c>
      <c r="AJ124">
        <f t="shared" si="93"/>
        <v>0</v>
      </c>
      <c r="AK124">
        <v>57.83</v>
      </c>
      <c r="AL124">
        <v>0</v>
      </c>
      <c r="AM124">
        <v>57.83</v>
      </c>
      <c r="AN124">
        <v>31.44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Z124">
        <v>1</v>
      </c>
      <c r="BA124">
        <v>1</v>
      </c>
      <c r="BB124">
        <v>1</v>
      </c>
      <c r="BC124">
        <v>1</v>
      </c>
      <c r="BD124" t="s">
        <v>3</v>
      </c>
      <c r="BE124" t="s">
        <v>3</v>
      </c>
      <c r="BF124" t="s">
        <v>3</v>
      </c>
      <c r="BG124" t="s">
        <v>3</v>
      </c>
      <c r="BH124">
        <v>0</v>
      </c>
      <c r="BI124">
        <v>4</v>
      </c>
      <c r="BJ124" t="s">
        <v>130</v>
      </c>
      <c r="BM124">
        <v>1</v>
      </c>
      <c r="BN124">
        <v>0</v>
      </c>
      <c r="BO124" t="s">
        <v>3</v>
      </c>
      <c r="BP124">
        <v>0</v>
      </c>
      <c r="BQ124">
        <v>1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 t="s">
        <v>3</v>
      </c>
      <c r="BZ124">
        <v>0</v>
      </c>
      <c r="CA124">
        <v>0</v>
      </c>
      <c r="CE124">
        <v>0</v>
      </c>
      <c r="CF124">
        <v>0</v>
      </c>
      <c r="CG124">
        <v>0</v>
      </c>
      <c r="CM124">
        <v>0</v>
      </c>
      <c r="CN124" t="s">
        <v>3</v>
      </c>
      <c r="CO124">
        <v>0</v>
      </c>
      <c r="CP124">
        <f t="shared" si="94"/>
        <v>449.7</v>
      </c>
      <c r="CQ124">
        <f>(AC124*BC124*AW124)</f>
        <v>0</v>
      </c>
      <c r="CR124">
        <f>((((ET124)*BB124-(EU124)*BS124)+AE124*BS124)*AV124)</f>
        <v>57.83</v>
      </c>
      <c r="CS124">
        <f>(AE124*BS124*AV124)</f>
        <v>31.44</v>
      </c>
      <c r="CT124">
        <f>(AF124*BA124*AV124)</f>
        <v>0</v>
      </c>
      <c r="CU124">
        <f t="shared" si="98"/>
        <v>0</v>
      </c>
      <c r="CV124">
        <f>(AH124*AV124)</f>
        <v>0</v>
      </c>
      <c r="CW124">
        <f t="shared" si="100"/>
        <v>0</v>
      </c>
      <c r="CX124">
        <f t="shared" si="101"/>
        <v>0</v>
      </c>
      <c r="CY124">
        <f>((S124*BZ124)/100)</f>
        <v>0</v>
      </c>
      <c r="CZ124">
        <f>((S124*CA124)/100)</f>
        <v>0</v>
      </c>
      <c r="DC124" t="s">
        <v>3</v>
      </c>
      <c r="DD124" t="s">
        <v>3</v>
      </c>
      <c r="DE124" t="s">
        <v>3</v>
      </c>
      <c r="DF124" t="s">
        <v>3</v>
      </c>
      <c r="DG124" t="s">
        <v>3</v>
      </c>
      <c r="DH124" t="s">
        <v>3</v>
      </c>
      <c r="DI124" t="s">
        <v>3</v>
      </c>
      <c r="DJ124" t="s">
        <v>3</v>
      </c>
      <c r="DK124" t="s">
        <v>3</v>
      </c>
      <c r="DL124" t="s">
        <v>3</v>
      </c>
      <c r="DM124" t="s">
        <v>3</v>
      </c>
      <c r="DN124">
        <v>0</v>
      </c>
      <c r="DO124">
        <v>0</v>
      </c>
      <c r="DP124">
        <v>1</v>
      </c>
      <c r="DQ124">
        <v>1</v>
      </c>
      <c r="DU124">
        <v>1009</v>
      </c>
      <c r="DV124" t="s">
        <v>35</v>
      </c>
      <c r="DW124" t="s">
        <v>35</v>
      </c>
      <c r="DX124">
        <v>1000</v>
      </c>
      <c r="EE124">
        <v>67874526</v>
      </c>
      <c r="EF124">
        <v>1</v>
      </c>
      <c r="EG124" t="s">
        <v>20</v>
      </c>
      <c r="EH124">
        <v>0</v>
      </c>
      <c r="EI124" t="s">
        <v>3</v>
      </c>
      <c r="EJ124">
        <v>4</v>
      </c>
      <c r="EK124">
        <v>1</v>
      </c>
      <c r="EL124" t="s">
        <v>37</v>
      </c>
      <c r="EM124" t="s">
        <v>22</v>
      </c>
      <c r="EO124" t="s">
        <v>3</v>
      </c>
      <c r="EQ124">
        <v>1024</v>
      </c>
      <c r="ER124">
        <v>57.83</v>
      </c>
      <c r="ES124">
        <v>0</v>
      </c>
      <c r="ET124">
        <v>57.83</v>
      </c>
      <c r="EU124">
        <v>31.44</v>
      </c>
      <c r="EV124">
        <v>0</v>
      </c>
      <c r="EW124">
        <v>0</v>
      </c>
      <c r="EX124">
        <v>0</v>
      </c>
      <c r="EY124">
        <v>0</v>
      </c>
      <c r="FQ124">
        <v>0</v>
      </c>
      <c r="FR124">
        <f t="shared" si="104"/>
        <v>0</v>
      </c>
      <c r="FS124">
        <v>0</v>
      </c>
      <c r="FX124">
        <v>0</v>
      </c>
      <c r="FY124">
        <v>0</v>
      </c>
      <c r="GA124" t="s">
        <v>3</v>
      </c>
      <c r="GD124">
        <v>1</v>
      </c>
      <c r="GF124">
        <v>-1870736679</v>
      </c>
      <c r="GG124">
        <v>2</v>
      </c>
      <c r="GH124">
        <v>1</v>
      </c>
      <c r="GI124">
        <v>-2</v>
      </c>
      <c r="GJ124">
        <v>0</v>
      </c>
      <c r="GK124">
        <v>0</v>
      </c>
      <c r="GL124">
        <f t="shared" si="105"/>
        <v>0</v>
      </c>
      <c r="GM124">
        <f>ROUND(O124+X124+Y124,2)+GX124</f>
        <v>449.7</v>
      </c>
      <c r="GN124">
        <f>IF(OR(BI124=0,BI124=1),ROUND(O124+X124+Y124,2),0)</f>
        <v>0</v>
      </c>
      <c r="GO124">
        <f>IF(BI124=2,ROUND(O124+X124+Y124,2),0)</f>
        <v>0</v>
      </c>
      <c r="GP124">
        <f>IF(BI124=4,ROUND(O124+X124+Y124,2)+GX124,0)</f>
        <v>449.7</v>
      </c>
      <c r="GR124">
        <v>0</v>
      </c>
      <c r="GS124">
        <v>3</v>
      </c>
      <c r="GT124">
        <v>0</v>
      </c>
      <c r="GU124" t="s">
        <v>3</v>
      </c>
      <c r="GV124">
        <f t="shared" si="118"/>
        <v>0</v>
      </c>
      <c r="GW124">
        <v>1</v>
      </c>
      <c r="GX124">
        <f t="shared" si="110"/>
        <v>0</v>
      </c>
      <c r="HA124">
        <v>0</v>
      </c>
      <c r="HB124">
        <v>0</v>
      </c>
      <c r="HC124">
        <f t="shared" si="111"/>
        <v>0</v>
      </c>
      <c r="IK124">
        <v>0</v>
      </c>
    </row>
    <row r="125" spans="1:245" x14ac:dyDescent="0.2">
      <c r="A125">
        <v>17</v>
      </c>
      <c r="B125">
        <v>1</v>
      </c>
      <c r="D125">
        <f>ROW(EtalonRes!A246)</f>
        <v>246</v>
      </c>
      <c r="E125" t="s">
        <v>3</v>
      </c>
      <c r="F125" t="s">
        <v>132</v>
      </c>
      <c r="G125" t="s">
        <v>133</v>
      </c>
      <c r="H125" t="s">
        <v>35</v>
      </c>
      <c r="I125">
        <v>0.86402000000000001</v>
      </c>
      <c r="J125">
        <v>0</v>
      </c>
      <c r="O125">
        <f t="shared" si="78"/>
        <v>143.35</v>
      </c>
      <c r="P125">
        <f t="shared" si="79"/>
        <v>0</v>
      </c>
      <c r="Q125">
        <f t="shared" si="80"/>
        <v>143.35</v>
      </c>
      <c r="R125">
        <f t="shared" si="81"/>
        <v>77.92</v>
      </c>
      <c r="S125">
        <f t="shared" si="82"/>
        <v>0</v>
      </c>
      <c r="T125">
        <f t="shared" si="83"/>
        <v>0</v>
      </c>
      <c r="U125">
        <f t="shared" si="84"/>
        <v>0</v>
      </c>
      <c r="V125">
        <f t="shared" si="85"/>
        <v>0</v>
      </c>
      <c r="W125">
        <f t="shared" si="86"/>
        <v>0</v>
      </c>
      <c r="X125">
        <f t="shared" si="87"/>
        <v>0</v>
      </c>
      <c r="Y125">
        <f t="shared" si="88"/>
        <v>0</v>
      </c>
      <c r="AA125">
        <v>-1</v>
      </c>
      <c r="AB125">
        <f t="shared" si="89"/>
        <v>165.91</v>
      </c>
      <c r="AC125">
        <f>ROUND((ES125),6)</f>
        <v>0</v>
      </c>
      <c r="AD125">
        <f>ROUND((((ET125)-(EU125))+AE125),6)</f>
        <v>165.91</v>
      </c>
      <c r="AE125">
        <f t="shared" si="119"/>
        <v>90.18</v>
      </c>
      <c r="AF125">
        <f t="shared" si="119"/>
        <v>0</v>
      </c>
      <c r="AG125">
        <f t="shared" si="91"/>
        <v>0</v>
      </c>
      <c r="AH125">
        <f t="shared" si="117"/>
        <v>0</v>
      </c>
      <c r="AI125">
        <f t="shared" si="117"/>
        <v>0</v>
      </c>
      <c r="AJ125">
        <f t="shared" si="93"/>
        <v>0</v>
      </c>
      <c r="AK125">
        <v>165.91</v>
      </c>
      <c r="AL125">
        <v>0</v>
      </c>
      <c r="AM125">
        <v>165.91</v>
      </c>
      <c r="AN125">
        <v>90.18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Z125">
        <v>1</v>
      </c>
      <c r="BA125">
        <v>1</v>
      </c>
      <c r="BB125">
        <v>1</v>
      </c>
      <c r="BC125">
        <v>1</v>
      </c>
      <c r="BD125" t="s">
        <v>3</v>
      </c>
      <c r="BE125" t="s">
        <v>3</v>
      </c>
      <c r="BF125" t="s">
        <v>3</v>
      </c>
      <c r="BG125" t="s">
        <v>3</v>
      </c>
      <c r="BH125">
        <v>0</v>
      </c>
      <c r="BI125">
        <v>4</v>
      </c>
      <c r="BJ125" t="s">
        <v>134</v>
      </c>
      <c r="BM125">
        <v>1</v>
      </c>
      <c r="BN125">
        <v>0</v>
      </c>
      <c r="BO125" t="s">
        <v>3</v>
      </c>
      <c r="BP125">
        <v>0</v>
      </c>
      <c r="BQ125">
        <v>1</v>
      </c>
      <c r="BR125">
        <v>0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 t="s">
        <v>3</v>
      </c>
      <c r="BZ125">
        <v>0</v>
      </c>
      <c r="CA125">
        <v>0</v>
      </c>
      <c r="CE125">
        <v>0</v>
      </c>
      <c r="CF125">
        <v>0</v>
      </c>
      <c r="CG125">
        <v>0</v>
      </c>
      <c r="CM125">
        <v>0</v>
      </c>
      <c r="CN125" t="s">
        <v>3</v>
      </c>
      <c r="CO125">
        <v>0</v>
      </c>
      <c r="CP125">
        <f t="shared" si="94"/>
        <v>143.35</v>
      </c>
      <c r="CQ125">
        <f>(AC125*BC125*AW125)</f>
        <v>0</v>
      </c>
      <c r="CR125">
        <f>((((ET125)*BB125-(EU125)*BS125)+AE125*BS125)*AV125)</f>
        <v>165.91</v>
      </c>
      <c r="CS125">
        <f>(AE125*BS125*AV125)</f>
        <v>90.18</v>
      </c>
      <c r="CT125">
        <f>(AF125*BA125*AV125)</f>
        <v>0</v>
      </c>
      <c r="CU125">
        <f t="shared" si="98"/>
        <v>0</v>
      </c>
      <c r="CV125">
        <f>(AH125*AV125)</f>
        <v>0</v>
      </c>
      <c r="CW125">
        <f t="shared" si="100"/>
        <v>0</v>
      </c>
      <c r="CX125">
        <f t="shared" si="101"/>
        <v>0</v>
      </c>
      <c r="CY125">
        <f>((S125*BZ125)/100)</f>
        <v>0</v>
      </c>
      <c r="CZ125">
        <f>((S125*CA125)/100)</f>
        <v>0</v>
      </c>
      <c r="DC125" t="s">
        <v>3</v>
      </c>
      <c r="DD125" t="s">
        <v>3</v>
      </c>
      <c r="DE125" t="s">
        <v>3</v>
      </c>
      <c r="DF125" t="s">
        <v>3</v>
      </c>
      <c r="DG125" t="s">
        <v>3</v>
      </c>
      <c r="DH125" t="s">
        <v>3</v>
      </c>
      <c r="DI125" t="s">
        <v>3</v>
      </c>
      <c r="DJ125" t="s">
        <v>3</v>
      </c>
      <c r="DK125" t="s">
        <v>3</v>
      </c>
      <c r="DL125" t="s">
        <v>3</v>
      </c>
      <c r="DM125" t="s">
        <v>3</v>
      </c>
      <c r="DN125">
        <v>0</v>
      </c>
      <c r="DO125">
        <v>0</v>
      </c>
      <c r="DP125">
        <v>1</v>
      </c>
      <c r="DQ125">
        <v>1</v>
      </c>
      <c r="DU125">
        <v>1009</v>
      </c>
      <c r="DV125" t="s">
        <v>35</v>
      </c>
      <c r="DW125" t="s">
        <v>35</v>
      </c>
      <c r="DX125">
        <v>1000</v>
      </c>
      <c r="EE125">
        <v>67874526</v>
      </c>
      <c r="EF125">
        <v>1</v>
      </c>
      <c r="EG125" t="s">
        <v>20</v>
      </c>
      <c r="EH125">
        <v>0</v>
      </c>
      <c r="EI125" t="s">
        <v>3</v>
      </c>
      <c r="EJ125">
        <v>4</v>
      </c>
      <c r="EK125">
        <v>1</v>
      </c>
      <c r="EL125" t="s">
        <v>37</v>
      </c>
      <c r="EM125" t="s">
        <v>22</v>
      </c>
      <c r="EO125" t="s">
        <v>3</v>
      </c>
      <c r="EQ125">
        <v>1024</v>
      </c>
      <c r="ER125">
        <v>165.91</v>
      </c>
      <c r="ES125">
        <v>0</v>
      </c>
      <c r="ET125">
        <v>165.91</v>
      </c>
      <c r="EU125">
        <v>90.18</v>
      </c>
      <c r="EV125">
        <v>0</v>
      </c>
      <c r="EW125">
        <v>0</v>
      </c>
      <c r="EX125">
        <v>0</v>
      </c>
      <c r="EY125">
        <v>0</v>
      </c>
      <c r="FQ125">
        <v>0</v>
      </c>
      <c r="FR125">
        <f t="shared" si="104"/>
        <v>0</v>
      </c>
      <c r="FS125">
        <v>0</v>
      </c>
      <c r="FX125">
        <v>0</v>
      </c>
      <c r="FY125">
        <v>0</v>
      </c>
      <c r="GA125" t="s">
        <v>3</v>
      </c>
      <c r="GD125">
        <v>1</v>
      </c>
      <c r="GF125">
        <v>1912105629</v>
      </c>
      <c r="GG125">
        <v>2</v>
      </c>
      <c r="GH125">
        <v>1</v>
      </c>
      <c r="GI125">
        <v>-2</v>
      </c>
      <c r="GJ125">
        <v>0</v>
      </c>
      <c r="GK125">
        <v>0</v>
      </c>
      <c r="GL125">
        <f t="shared" si="105"/>
        <v>0</v>
      </c>
      <c r="GM125">
        <f>ROUND(O125+X125+Y125,2)+GX125</f>
        <v>143.35</v>
      </c>
      <c r="GN125">
        <f>IF(OR(BI125=0,BI125=1),ROUND(O125+X125+Y125,2),0)</f>
        <v>0</v>
      </c>
      <c r="GO125">
        <f>IF(BI125=2,ROUND(O125+X125+Y125,2),0)</f>
        <v>0</v>
      </c>
      <c r="GP125">
        <f>IF(BI125=4,ROUND(O125+X125+Y125,2)+GX125,0)</f>
        <v>143.35</v>
      </c>
      <c r="GR125">
        <v>0</v>
      </c>
      <c r="GS125">
        <v>3</v>
      </c>
      <c r="GT125">
        <v>0</v>
      </c>
      <c r="GU125" t="s">
        <v>3</v>
      </c>
      <c r="GV125">
        <f t="shared" si="118"/>
        <v>0</v>
      </c>
      <c r="GW125">
        <v>1</v>
      </c>
      <c r="GX125">
        <f t="shared" si="110"/>
        <v>0</v>
      </c>
      <c r="HA125">
        <v>0</v>
      </c>
      <c r="HB125">
        <v>0</v>
      </c>
      <c r="HC125">
        <f t="shared" si="111"/>
        <v>0</v>
      </c>
      <c r="IK125">
        <v>0</v>
      </c>
    </row>
    <row r="126" spans="1:245" x14ac:dyDescent="0.2">
      <c r="A126">
        <v>17</v>
      </c>
      <c r="B126">
        <v>1</v>
      </c>
      <c r="D126">
        <f>ROW(EtalonRes!A248)</f>
        <v>248</v>
      </c>
      <c r="E126" t="s">
        <v>3</v>
      </c>
      <c r="F126" t="s">
        <v>136</v>
      </c>
      <c r="G126" t="s">
        <v>249</v>
      </c>
      <c r="H126" t="s">
        <v>35</v>
      </c>
      <c r="I126">
        <v>8.6402000000000001</v>
      </c>
      <c r="J126">
        <v>0</v>
      </c>
      <c r="O126">
        <f t="shared" si="78"/>
        <v>7572.96</v>
      </c>
      <c r="P126">
        <f t="shared" si="79"/>
        <v>0</v>
      </c>
      <c r="Q126">
        <f t="shared" si="80"/>
        <v>7572.96</v>
      </c>
      <c r="R126">
        <f t="shared" si="81"/>
        <v>4116.88</v>
      </c>
      <c r="S126">
        <f t="shared" si="82"/>
        <v>0</v>
      </c>
      <c r="T126">
        <f t="shared" si="83"/>
        <v>0</v>
      </c>
      <c r="U126">
        <f t="shared" si="84"/>
        <v>0</v>
      </c>
      <c r="V126">
        <f t="shared" si="85"/>
        <v>0</v>
      </c>
      <c r="W126">
        <f t="shared" si="86"/>
        <v>0</v>
      </c>
      <c r="X126">
        <f t="shared" si="87"/>
        <v>0</v>
      </c>
      <c r="Y126">
        <f t="shared" si="88"/>
        <v>0</v>
      </c>
      <c r="AA126">
        <v>-1</v>
      </c>
      <c r="AB126">
        <f t="shared" si="89"/>
        <v>876.48</v>
      </c>
      <c r="AC126">
        <f>ROUND(((ES126*32)),6)</f>
        <v>0</v>
      </c>
      <c r="AD126">
        <f>ROUND(((((ET126*32))-((EU126*32)))+AE126),6)</f>
        <v>876.48</v>
      </c>
      <c r="AE126">
        <f>ROUND(((EU126*32)),6)</f>
        <v>476.48</v>
      </c>
      <c r="AF126">
        <f>ROUND(((EV126*32)),6)</f>
        <v>0</v>
      </c>
      <c r="AG126">
        <f t="shared" si="91"/>
        <v>0</v>
      </c>
      <c r="AH126">
        <f>((EW126*32))</f>
        <v>0</v>
      </c>
      <c r="AI126">
        <f>((EX126*32))</f>
        <v>0</v>
      </c>
      <c r="AJ126">
        <f t="shared" si="93"/>
        <v>0</v>
      </c>
      <c r="AK126">
        <v>27.39</v>
      </c>
      <c r="AL126">
        <v>0</v>
      </c>
      <c r="AM126">
        <v>27.39</v>
      </c>
      <c r="AN126">
        <v>14.89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Z126">
        <v>1</v>
      </c>
      <c r="BA126">
        <v>1</v>
      </c>
      <c r="BB126">
        <v>1</v>
      </c>
      <c r="BC126">
        <v>1</v>
      </c>
      <c r="BD126" t="s">
        <v>3</v>
      </c>
      <c r="BE126" t="s">
        <v>3</v>
      </c>
      <c r="BF126" t="s">
        <v>3</v>
      </c>
      <c r="BG126" t="s">
        <v>3</v>
      </c>
      <c r="BH126">
        <v>0</v>
      </c>
      <c r="BI126">
        <v>4</v>
      </c>
      <c r="BJ126" t="s">
        <v>137</v>
      </c>
      <c r="BM126">
        <v>1</v>
      </c>
      <c r="BN126">
        <v>0</v>
      </c>
      <c r="BO126" t="s">
        <v>3</v>
      </c>
      <c r="BP126">
        <v>0</v>
      </c>
      <c r="BQ126">
        <v>1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 t="s">
        <v>3</v>
      </c>
      <c r="BZ126">
        <v>0</v>
      </c>
      <c r="CA126">
        <v>0</v>
      </c>
      <c r="CE126">
        <v>0</v>
      </c>
      <c r="CF126">
        <v>0</v>
      </c>
      <c r="CG126">
        <v>0</v>
      </c>
      <c r="CM126">
        <v>0</v>
      </c>
      <c r="CN126" t="s">
        <v>3</v>
      </c>
      <c r="CO126">
        <v>0</v>
      </c>
      <c r="CP126">
        <f t="shared" si="94"/>
        <v>7572.96</v>
      </c>
      <c r="CQ126">
        <f>(AC126*BC126*AW126)</f>
        <v>0</v>
      </c>
      <c r="CR126">
        <f>(((((ET126*32))*BB126-((EU126*32))*BS126)+AE126*BS126)*AV126)</f>
        <v>876.48</v>
      </c>
      <c r="CS126">
        <f>(AE126*BS126*AV126)</f>
        <v>476.48</v>
      </c>
      <c r="CT126">
        <f>(AF126*BA126*AV126)</f>
        <v>0</v>
      </c>
      <c r="CU126">
        <f t="shared" si="98"/>
        <v>0</v>
      </c>
      <c r="CV126">
        <f>(AH126*AV126)</f>
        <v>0</v>
      </c>
      <c r="CW126">
        <f t="shared" si="100"/>
        <v>0</v>
      </c>
      <c r="CX126">
        <f t="shared" si="101"/>
        <v>0</v>
      </c>
      <c r="CY126">
        <f>((S126*BZ126)/100)</f>
        <v>0</v>
      </c>
      <c r="CZ126">
        <f>((S126*CA126)/100)</f>
        <v>0</v>
      </c>
      <c r="DC126" t="s">
        <v>3</v>
      </c>
      <c r="DD126" t="s">
        <v>41</v>
      </c>
      <c r="DE126" t="s">
        <v>41</v>
      </c>
      <c r="DF126" t="s">
        <v>41</v>
      </c>
      <c r="DG126" t="s">
        <v>41</v>
      </c>
      <c r="DH126" t="s">
        <v>3</v>
      </c>
      <c r="DI126" t="s">
        <v>41</v>
      </c>
      <c r="DJ126" t="s">
        <v>41</v>
      </c>
      <c r="DK126" t="s">
        <v>3</v>
      </c>
      <c r="DL126" t="s">
        <v>3</v>
      </c>
      <c r="DM126" t="s">
        <v>3</v>
      </c>
      <c r="DN126">
        <v>0</v>
      </c>
      <c r="DO126">
        <v>0</v>
      </c>
      <c r="DP126">
        <v>1</v>
      </c>
      <c r="DQ126">
        <v>1</v>
      </c>
      <c r="DU126">
        <v>1009</v>
      </c>
      <c r="DV126" t="s">
        <v>35</v>
      </c>
      <c r="DW126" t="s">
        <v>35</v>
      </c>
      <c r="DX126">
        <v>1000</v>
      </c>
      <c r="EE126">
        <v>67874526</v>
      </c>
      <c r="EF126">
        <v>1</v>
      </c>
      <c r="EG126" t="s">
        <v>20</v>
      </c>
      <c r="EH126">
        <v>0</v>
      </c>
      <c r="EI126" t="s">
        <v>3</v>
      </c>
      <c r="EJ126">
        <v>4</v>
      </c>
      <c r="EK126">
        <v>1</v>
      </c>
      <c r="EL126" t="s">
        <v>37</v>
      </c>
      <c r="EM126" t="s">
        <v>22</v>
      </c>
      <c r="EO126" t="s">
        <v>3</v>
      </c>
      <c r="EQ126">
        <v>1024</v>
      </c>
      <c r="ER126">
        <v>27.39</v>
      </c>
      <c r="ES126">
        <v>0</v>
      </c>
      <c r="ET126">
        <v>27.39</v>
      </c>
      <c r="EU126">
        <v>14.89</v>
      </c>
      <c r="EV126">
        <v>0</v>
      </c>
      <c r="EW126">
        <v>0</v>
      </c>
      <c r="EX126">
        <v>0</v>
      </c>
      <c r="EY126">
        <v>0</v>
      </c>
      <c r="FQ126">
        <v>0</v>
      </c>
      <c r="FR126">
        <f t="shared" si="104"/>
        <v>0</v>
      </c>
      <c r="FS126">
        <v>0</v>
      </c>
      <c r="FX126">
        <v>0</v>
      </c>
      <c r="FY126">
        <v>0</v>
      </c>
      <c r="GA126" t="s">
        <v>3</v>
      </c>
      <c r="GD126">
        <v>1</v>
      </c>
      <c r="GF126">
        <v>-1050778565</v>
      </c>
      <c r="GG126">
        <v>2</v>
      </c>
      <c r="GH126">
        <v>1</v>
      </c>
      <c r="GI126">
        <v>-2</v>
      </c>
      <c r="GJ126">
        <v>0</v>
      </c>
      <c r="GK126">
        <v>0</v>
      </c>
      <c r="GL126">
        <f t="shared" si="105"/>
        <v>0</v>
      </c>
      <c r="GM126">
        <f>ROUND(O126+X126+Y126,2)+GX126</f>
        <v>7572.96</v>
      </c>
      <c r="GN126">
        <f>IF(OR(BI126=0,BI126=1),ROUND(O126+X126+Y126,2),0)</f>
        <v>0</v>
      </c>
      <c r="GO126">
        <f>IF(BI126=2,ROUND(O126+X126+Y126,2),0)</f>
        <v>0</v>
      </c>
      <c r="GP126">
        <f>IF(BI126=4,ROUND(O126+X126+Y126,2)+GX126,0)</f>
        <v>7572.96</v>
      </c>
      <c r="GR126">
        <v>0</v>
      </c>
      <c r="GS126">
        <v>3</v>
      </c>
      <c r="GT126">
        <v>0</v>
      </c>
      <c r="GU126" t="s">
        <v>3</v>
      </c>
      <c r="GV126">
        <f t="shared" si="118"/>
        <v>0</v>
      </c>
      <c r="GW126">
        <v>1</v>
      </c>
      <c r="GX126">
        <f t="shared" si="110"/>
        <v>0</v>
      </c>
      <c r="HA126">
        <v>0</v>
      </c>
      <c r="HB126">
        <v>0</v>
      </c>
      <c r="HC126">
        <f t="shared" si="111"/>
        <v>0</v>
      </c>
      <c r="IK126">
        <v>0</v>
      </c>
    </row>
    <row r="128" spans="1:245" x14ac:dyDescent="0.2">
      <c r="A128">
        <v>51</v>
      </c>
      <c r="B128">
        <f>B95</f>
        <v>1</v>
      </c>
      <c r="C128">
        <f>A95</f>
        <v>4</v>
      </c>
      <c r="D128">
        <f>ROW(A95)</f>
        <v>95</v>
      </c>
      <c r="F128" t="str">
        <f>IF(F95&lt;&gt;"",F95,"")</f>
        <v>Новый раздел</v>
      </c>
      <c r="G128" t="str">
        <f>IF(G95&lt;&gt;"",G95,"")</f>
        <v>Демонтаж МАФ</v>
      </c>
      <c r="H128">
        <v>0</v>
      </c>
      <c r="O128">
        <f t="shared" ref="O128:T128" si="120">ROUND(AB128,2)</f>
        <v>14028.74</v>
      </c>
      <c r="P128">
        <f t="shared" si="120"/>
        <v>621.86</v>
      </c>
      <c r="Q128">
        <f t="shared" si="120"/>
        <v>8919.9599999999991</v>
      </c>
      <c r="R128">
        <f t="shared" si="120"/>
        <v>4633.29</v>
      </c>
      <c r="S128">
        <f t="shared" si="120"/>
        <v>4486.92</v>
      </c>
      <c r="T128">
        <f t="shared" si="120"/>
        <v>0</v>
      </c>
      <c r="U128">
        <f>AH128</f>
        <v>22.794724000000002</v>
      </c>
      <c r="V128">
        <f>AI128</f>
        <v>0</v>
      </c>
      <c r="W128">
        <f>ROUND(AJ128,2)</f>
        <v>0</v>
      </c>
      <c r="X128">
        <f>ROUND(AK128,2)</f>
        <v>3140.85</v>
      </c>
      <c r="Y128">
        <f>ROUND(AL128,2)</f>
        <v>448.69</v>
      </c>
      <c r="AB128">
        <f>ROUND(SUMIF(AA99:AA126,"=71209905",O99:O126),2)</f>
        <v>14028.74</v>
      </c>
      <c r="AC128">
        <f>ROUND(SUMIF(AA99:AA126,"=71209905",P99:P126),2)</f>
        <v>621.86</v>
      </c>
      <c r="AD128">
        <f>ROUND(SUMIF(AA99:AA126,"=71209905",Q99:Q126),2)</f>
        <v>8919.9599999999991</v>
      </c>
      <c r="AE128">
        <f>ROUND(SUMIF(AA99:AA126,"=71209905",R99:R126),2)</f>
        <v>4633.29</v>
      </c>
      <c r="AF128">
        <f>ROUND(SUMIF(AA99:AA126,"=71209905",S99:S126),2)</f>
        <v>4486.92</v>
      </c>
      <c r="AG128">
        <f>ROUND(SUMIF(AA99:AA126,"=71209905",T99:T126),2)</f>
        <v>0</v>
      </c>
      <c r="AH128">
        <f>SUMIF(AA99:AA126,"=71209905",U99:U126)</f>
        <v>22.794724000000002</v>
      </c>
      <c r="AI128">
        <f>SUMIF(AA99:AA126,"=71209905",V99:V126)</f>
        <v>0</v>
      </c>
      <c r="AJ128">
        <f>ROUND(SUMIF(AA99:AA126,"=71209905",W99:W126),2)</f>
        <v>0</v>
      </c>
      <c r="AK128">
        <f>ROUND(SUMIF(AA99:AA126,"=71209905",X99:X126),2)</f>
        <v>3140.85</v>
      </c>
      <c r="AL128">
        <f>ROUND(SUMIF(AA99:AA126,"=71209905",Y99:Y126),2)</f>
        <v>448.69</v>
      </c>
      <c r="AO128">
        <f t="shared" ref="AO128:BD128" si="121">ROUND(BX128,2)</f>
        <v>0</v>
      </c>
      <c r="AP128">
        <f t="shared" si="121"/>
        <v>0</v>
      </c>
      <c r="AQ128">
        <f t="shared" si="121"/>
        <v>0</v>
      </c>
      <c r="AR128">
        <f t="shared" si="121"/>
        <v>17911.439999999999</v>
      </c>
      <c r="AS128">
        <f t="shared" si="121"/>
        <v>621.86</v>
      </c>
      <c r="AT128">
        <f t="shared" si="121"/>
        <v>0</v>
      </c>
      <c r="AU128">
        <f t="shared" si="121"/>
        <v>17289.580000000002</v>
      </c>
      <c r="AV128">
        <f t="shared" si="121"/>
        <v>621.86</v>
      </c>
      <c r="AW128">
        <f t="shared" si="121"/>
        <v>621.86</v>
      </c>
      <c r="AX128">
        <f t="shared" si="121"/>
        <v>0</v>
      </c>
      <c r="AY128">
        <f t="shared" si="121"/>
        <v>621.86</v>
      </c>
      <c r="AZ128">
        <f t="shared" si="121"/>
        <v>0</v>
      </c>
      <c r="BA128">
        <f t="shared" si="121"/>
        <v>0</v>
      </c>
      <c r="BB128">
        <f t="shared" si="121"/>
        <v>0</v>
      </c>
      <c r="BC128">
        <f t="shared" si="121"/>
        <v>0</v>
      </c>
      <c r="BD128">
        <f t="shared" si="121"/>
        <v>0</v>
      </c>
      <c r="BX128">
        <f>ROUND(SUMIF(AA99:AA126,"=71209905",FQ99:FQ126),2)</f>
        <v>0</v>
      </c>
      <c r="BY128">
        <f>ROUND(SUMIF(AA99:AA126,"=71209905",FR99:FR126),2)</f>
        <v>0</v>
      </c>
      <c r="BZ128">
        <f>ROUND(SUMIF(AA99:AA126,"=71209905",GL99:GL126),2)</f>
        <v>0</v>
      </c>
      <c r="CA128">
        <f>ROUND(SUMIF(AA99:AA126,"=71209905",GM99:GM126),2)</f>
        <v>17911.439999999999</v>
      </c>
      <c r="CB128">
        <f>ROUND(SUMIF(AA99:AA126,"=71209905",GN99:GN126),2)</f>
        <v>621.86</v>
      </c>
      <c r="CC128">
        <f>ROUND(SUMIF(AA99:AA126,"=71209905",GO99:GO126),2)</f>
        <v>0</v>
      </c>
      <c r="CD128">
        <f>ROUND(SUMIF(AA99:AA126,"=71209905",GP99:GP126),2)</f>
        <v>17289.580000000002</v>
      </c>
      <c r="CE128">
        <f>AC128-BX128</f>
        <v>621.86</v>
      </c>
      <c r="CF128">
        <f>AC128-BY128</f>
        <v>621.86</v>
      </c>
      <c r="CG128">
        <f>BX128-BZ128</f>
        <v>0</v>
      </c>
      <c r="CH128">
        <f>AC128-BX128-BY128+BZ128</f>
        <v>621.86</v>
      </c>
      <c r="CI128">
        <f>BY128-BZ128</f>
        <v>0</v>
      </c>
      <c r="CJ128">
        <f>ROUND(SUMIF(AA99:AA126,"=71209905",GX99:GX126),2)</f>
        <v>0</v>
      </c>
      <c r="CK128">
        <f>ROUND(SUMIF(AA99:AA126,"=71209905",GY99:GY126),2)</f>
        <v>0</v>
      </c>
      <c r="CL128">
        <f>ROUND(SUMIF(AA99:AA126,"=71209905",GZ99:GZ126),2)</f>
        <v>0</v>
      </c>
      <c r="CM128">
        <f>ROUND(SUMIF(AA99:AA126,"=71209905",HD99:HD126),2)</f>
        <v>0</v>
      </c>
      <c r="GX128">
        <v>0</v>
      </c>
    </row>
    <row r="130" spans="1:15" x14ac:dyDescent="0.2">
      <c r="A130">
        <v>50</v>
      </c>
      <c r="B130">
        <v>0</v>
      </c>
      <c r="C130">
        <v>0</v>
      </c>
      <c r="D130">
        <v>1</v>
      </c>
      <c r="E130">
        <v>201</v>
      </c>
      <c r="F130">
        <f>ROUND(Source!O128,O130)</f>
        <v>14028.74</v>
      </c>
      <c r="G130" t="s">
        <v>142</v>
      </c>
      <c r="H130" t="s">
        <v>143</v>
      </c>
      <c r="K130">
        <v>201</v>
      </c>
      <c r="L130">
        <v>1</v>
      </c>
      <c r="M130">
        <v>3</v>
      </c>
      <c r="N130" t="s">
        <v>3</v>
      </c>
      <c r="O130">
        <v>2</v>
      </c>
    </row>
    <row r="131" spans="1:15" x14ac:dyDescent="0.2">
      <c r="A131">
        <v>50</v>
      </c>
      <c r="B131">
        <v>0</v>
      </c>
      <c r="C131">
        <v>0</v>
      </c>
      <c r="D131">
        <v>1</v>
      </c>
      <c r="E131">
        <v>202</v>
      </c>
      <c r="F131">
        <f>ROUND(Source!P128,O131)</f>
        <v>621.86</v>
      </c>
      <c r="G131" t="s">
        <v>144</v>
      </c>
      <c r="H131" t="s">
        <v>145</v>
      </c>
      <c r="K131">
        <v>202</v>
      </c>
      <c r="L131">
        <v>2</v>
      </c>
      <c r="M131">
        <v>3</v>
      </c>
      <c r="N131" t="s">
        <v>3</v>
      </c>
      <c r="O131">
        <v>2</v>
      </c>
    </row>
    <row r="132" spans="1:15" x14ac:dyDescent="0.2">
      <c r="A132">
        <v>50</v>
      </c>
      <c r="B132">
        <v>0</v>
      </c>
      <c r="C132">
        <v>0</v>
      </c>
      <c r="D132">
        <v>1</v>
      </c>
      <c r="E132">
        <v>222</v>
      </c>
      <c r="F132">
        <f>ROUND(Source!AO128,O132)</f>
        <v>0</v>
      </c>
      <c r="G132" t="s">
        <v>146</v>
      </c>
      <c r="H132" t="s">
        <v>147</v>
      </c>
      <c r="K132">
        <v>222</v>
      </c>
      <c r="L132">
        <v>3</v>
      </c>
      <c r="M132">
        <v>3</v>
      </c>
      <c r="N132" t="s">
        <v>3</v>
      </c>
      <c r="O132">
        <v>2</v>
      </c>
    </row>
    <row r="133" spans="1:15" x14ac:dyDescent="0.2">
      <c r="A133">
        <v>50</v>
      </c>
      <c r="B133">
        <v>0</v>
      </c>
      <c r="C133">
        <v>0</v>
      </c>
      <c r="D133">
        <v>1</v>
      </c>
      <c r="E133">
        <v>225</v>
      </c>
      <c r="F133">
        <f>ROUND(Source!AV128,O133)</f>
        <v>621.86</v>
      </c>
      <c r="G133" t="s">
        <v>148</v>
      </c>
      <c r="H133" t="s">
        <v>149</v>
      </c>
      <c r="K133">
        <v>225</v>
      </c>
      <c r="L133">
        <v>4</v>
      </c>
      <c r="M133">
        <v>3</v>
      </c>
      <c r="N133" t="s">
        <v>3</v>
      </c>
      <c r="O133">
        <v>2</v>
      </c>
    </row>
    <row r="134" spans="1:15" x14ac:dyDescent="0.2">
      <c r="A134">
        <v>50</v>
      </c>
      <c r="B134">
        <v>0</v>
      </c>
      <c r="C134">
        <v>0</v>
      </c>
      <c r="D134">
        <v>1</v>
      </c>
      <c r="E134">
        <v>226</v>
      </c>
      <c r="F134">
        <f>ROUND(Source!AW128,O134)</f>
        <v>621.86</v>
      </c>
      <c r="G134" t="s">
        <v>150</v>
      </c>
      <c r="H134" t="s">
        <v>151</v>
      </c>
      <c r="K134">
        <v>226</v>
      </c>
      <c r="L134">
        <v>5</v>
      </c>
      <c r="M134">
        <v>3</v>
      </c>
      <c r="N134" t="s">
        <v>3</v>
      </c>
      <c r="O134">
        <v>2</v>
      </c>
    </row>
    <row r="135" spans="1:15" x14ac:dyDescent="0.2">
      <c r="A135">
        <v>50</v>
      </c>
      <c r="B135">
        <v>0</v>
      </c>
      <c r="C135">
        <v>0</v>
      </c>
      <c r="D135">
        <v>1</v>
      </c>
      <c r="E135">
        <v>227</v>
      </c>
      <c r="F135">
        <f>ROUND(Source!AX128,O135)</f>
        <v>0</v>
      </c>
      <c r="G135" t="s">
        <v>152</v>
      </c>
      <c r="H135" t="s">
        <v>153</v>
      </c>
      <c r="K135">
        <v>227</v>
      </c>
      <c r="L135">
        <v>6</v>
      </c>
      <c r="M135">
        <v>3</v>
      </c>
      <c r="N135" t="s">
        <v>3</v>
      </c>
      <c r="O135">
        <v>2</v>
      </c>
    </row>
    <row r="136" spans="1:15" x14ac:dyDescent="0.2">
      <c r="A136">
        <v>50</v>
      </c>
      <c r="B136">
        <v>0</v>
      </c>
      <c r="C136">
        <v>0</v>
      </c>
      <c r="D136">
        <v>1</v>
      </c>
      <c r="E136">
        <v>228</v>
      </c>
      <c r="F136">
        <f>ROUND(Source!AY128,O136)</f>
        <v>621.86</v>
      </c>
      <c r="G136" t="s">
        <v>154</v>
      </c>
      <c r="H136" t="s">
        <v>155</v>
      </c>
      <c r="K136">
        <v>228</v>
      </c>
      <c r="L136">
        <v>7</v>
      </c>
      <c r="M136">
        <v>3</v>
      </c>
      <c r="N136" t="s">
        <v>3</v>
      </c>
      <c r="O136">
        <v>2</v>
      </c>
    </row>
    <row r="137" spans="1:15" x14ac:dyDescent="0.2">
      <c r="A137">
        <v>50</v>
      </c>
      <c r="B137">
        <v>0</v>
      </c>
      <c r="C137">
        <v>0</v>
      </c>
      <c r="D137">
        <v>1</v>
      </c>
      <c r="E137">
        <v>216</v>
      </c>
      <c r="F137">
        <f>ROUND(Source!AP128,O137)</f>
        <v>0</v>
      </c>
      <c r="G137" t="s">
        <v>156</v>
      </c>
      <c r="H137" t="s">
        <v>157</v>
      </c>
      <c r="K137">
        <v>216</v>
      </c>
      <c r="L137">
        <v>8</v>
      </c>
      <c r="M137">
        <v>3</v>
      </c>
      <c r="N137" t="s">
        <v>3</v>
      </c>
      <c r="O137">
        <v>2</v>
      </c>
    </row>
    <row r="138" spans="1:15" x14ac:dyDescent="0.2">
      <c r="A138">
        <v>50</v>
      </c>
      <c r="B138">
        <v>0</v>
      </c>
      <c r="C138">
        <v>0</v>
      </c>
      <c r="D138">
        <v>1</v>
      </c>
      <c r="E138">
        <v>223</v>
      </c>
      <c r="F138">
        <f>ROUND(Source!AQ128,O138)</f>
        <v>0</v>
      </c>
      <c r="G138" t="s">
        <v>158</v>
      </c>
      <c r="H138" t="s">
        <v>159</v>
      </c>
      <c r="K138">
        <v>223</v>
      </c>
      <c r="L138">
        <v>9</v>
      </c>
      <c r="M138">
        <v>3</v>
      </c>
      <c r="N138" t="s">
        <v>3</v>
      </c>
      <c r="O138">
        <v>2</v>
      </c>
    </row>
    <row r="139" spans="1:15" x14ac:dyDescent="0.2">
      <c r="A139">
        <v>50</v>
      </c>
      <c r="B139">
        <v>0</v>
      </c>
      <c r="C139">
        <v>0</v>
      </c>
      <c r="D139">
        <v>1</v>
      </c>
      <c r="E139">
        <v>229</v>
      </c>
      <c r="F139">
        <f>ROUND(Source!AZ128,O139)</f>
        <v>0</v>
      </c>
      <c r="G139" t="s">
        <v>160</v>
      </c>
      <c r="H139" t="s">
        <v>161</v>
      </c>
      <c r="K139">
        <v>229</v>
      </c>
      <c r="L139">
        <v>10</v>
      </c>
      <c r="M139">
        <v>3</v>
      </c>
      <c r="N139" t="s">
        <v>3</v>
      </c>
      <c r="O139">
        <v>2</v>
      </c>
    </row>
    <row r="140" spans="1:15" x14ac:dyDescent="0.2">
      <c r="A140">
        <v>50</v>
      </c>
      <c r="B140">
        <v>0</v>
      </c>
      <c r="C140">
        <v>0</v>
      </c>
      <c r="D140">
        <v>1</v>
      </c>
      <c r="E140">
        <v>203</v>
      </c>
      <c r="F140">
        <f>ROUND(Source!Q128,O140)</f>
        <v>8919.9599999999991</v>
      </c>
      <c r="G140" t="s">
        <v>162</v>
      </c>
      <c r="H140" t="s">
        <v>163</v>
      </c>
      <c r="K140">
        <v>203</v>
      </c>
      <c r="L140">
        <v>11</v>
      </c>
      <c r="M140">
        <v>3</v>
      </c>
      <c r="N140" t="s">
        <v>3</v>
      </c>
      <c r="O140">
        <v>2</v>
      </c>
    </row>
    <row r="141" spans="1:15" x14ac:dyDescent="0.2">
      <c r="A141">
        <v>50</v>
      </c>
      <c r="B141">
        <v>0</v>
      </c>
      <c r="C141">
        <v>0</v>
      </c>
      <c r="D141">
        <v>1</v>
      </c>
      <c r="E141">
        <v>231</v>
      </c>
      <c r="F141">
        <f>ROUND(Source!BB128,O141)</f>
        <v>0</v>
      </c>
      <c r="G141" t="s">
        <v>164</v>
      </c>
      <c r="H141" t="s">
        <v>165</v>
      </c>
      <c r="K141">
        <v>231</v>
      </c>
      <c r="L141">
        <v>12</v>
      </c>
      <c r="M141">
        <v>3</v>
      </c>
      <c r="N141" t="s">
        <v>3</v>
      </c>
      <c r="O141">
        <v>2</v>
      </c>
    </row>
    <row r="142" spans="1:15" x14ac:dyDescent="0.2">
      <c r="A142">
        <v>50</v>
      </c>
      <c r="B142">
        <v>0</v>
      </c>
      <c r="C142">
        <v>0</v>
      </c>
      <c r="D142">
        <v>1</v>
      </c>
      <c r="E142">
        <v>204</v>
      </c>
      <c r="F142">
        <f>ROUND(Source!R128,O142)</f>
        <v>4633.29</v>
      </c>
      <c r="G142" t="s">
        <v>166</v>
      </c>
      <c r="H142" t="s">
        <v>167</v>
      </c>
      <c r="K142">
        <v>204</v>
      </c>
      <c r="L142">
        <v>13</v>
      </c>
      <c r="M142">
        <v>3</v>
      </c>
      <c r="N142" t="s">
        <v>3</v>
      </c>
      <c r="O142">
        <v>2</v>
      </c>
    </row>
    <row r="143" spans="1:15" x14ac:dyDescent="0.2">
      <c r="A143">
        <v>50</v>
      </c>
      <c r="B143">
        <v>0</v>
      </c>
      <c r="C143">
        <v>0</v>
      </c>
      <c r="D143">
        <v>1</v>
      </c>
      <c r="E143">
        <v>205</v>
      </c>
      <c r="F143">
        <f>ROUND(Source!S128,O143)</f>
        <v>4486.92</v>
      </c>
      <c r="G143" t="s">
        <v>168</v>
      </c>
      <c r="H143" t="s">
        <v>169</v>
      </c>
      <c r="K143">
        <v>205</v>
      </c>
      <c r="L143">
        <v>14</v>
      </c>
      <c r="M143">
        <v>3</v>
      </c>
      <c r="N143" t="s">
        <v>3</v>
      </c>
      <c r="O143">
        <v>2</v>
      </c>
    </row>
    <row r="144" spans="1:15" x14ac:dyDescent="0.2">
      <c r="A144">
        <v>50</v>
      </c>
      <c r="B144">
        <v>0</v>
      </c>
      <c r="C144">
        <v>0</v>
      </c>
      <c r="D144">
        <v>1</v>
      </c>
      <c r="E144">
        <v>232</v>
      </c>
      <c r="F144">
        <f>ROUND(Source!BC128,O144)</f>
        <v>0</v>
      </c>
      <c r="G144" t="s">
        <v>170</v>
      </c>
      <c r="H144" t="s">
        <v>171</v>
      </c>
      <c r="K144">
        <v>232</v>
      </c>
      <c r="L144">
        <v>15</v>
      </c>
      <c r="M144">
        <v>3</v>
      </c>
      <c r="N144" t="s">
        <v>3</v>
      </c>
      <c r="O144">
        <v>2</v>
      </c>
    </row>
    <row r="145" spans="1:206" x14ac:dyDescent="0.2">
      <c r="A145">
        <v>50</v>
      </c>
      <c r="B145">
        <v>0</v>
      </c>
      <c r="C145">
        <v>0</v>
      </c>
      <c r="D145">
        <v>1</v>
      </c>
      <c r="E145">
        <v>214</v>
      </c>
      <c r="F145">
        <f>ROUND(Source!AS128,O145)</f>
        <v>621.86</v>
      </c>
      <c r="G145" t="s">
        <v>172</v>
      </c>
      <c r="H145" t="s">
        <v>173</v>
      </c>
      <c r="K145">
        <v>214</v>
      </c>
      <c r="L145">
        <v>16</v>
      </c>
      <c r="M145">
        <v>3</v>
      </c>
      <c r="N145" t="s">
        <v>3</v>
      </c>
      <c r="O145">
        <v>2</v>
      </c>
    </row>
    <row r="146" spans="1:206" x14ac:dyDescent="0.2">
      <c r="A146">
        <v>50</v>
      </c>
      <c r="B146">
        <v>0</v>
      </c>
      <c r="C146">
        <v>0</v>
      </c>
      <c r="D146">
        <v>1</v>
      </c>
      <c r="E146">
        <v>215</v>
      </c>
      <c r="F146">
        <f>ROUND(Source!AT128,O146)</f>
        <v>0</v>
      </c>
      <c r="G146" t="s">
        <v>174</v>
      </c>
      <c r="H146" t="s">
        <v>175</v>
      </c>
      <c r="K146">
        <v>215</v>
      </c>
      <c r="L146">
        <v>17</v>
      </c>
      <c r="M146">
        <v>3</v>
      </c>
      <c r="N146" t="s">
        <v>3</v>
      </c>
      <c r="O146">
        <v>2</v>
      </c>
    </row>
    <row r="147" spans="1:206" x14ac:dyDescent="0.2">
      <c r="A147">
        <v>50</v>
      </c>
      <c r="B147">
        <v>0</v>
      </c>
      <c r="C147">
        <v>0</v>
      </c>
      <c r="D147">
        <v>1</v>
      </c>
      <c r="E147">
        <v>217</v>
      </c>
      <c r="F147">
        <f>ROUND(Source!AU128,O147)</f>
        <v>17289.580000000002</v>
      </c>
      <c r="G147" t="s">
        <v>176</v>
      </c>
      <c r="H147" t="s">
        <v>177</v>
      </c>
      <c r="K147">
        <v>217</v>
      </c>
      <c r="L147">
        <v>18</v>
      </c>
      <c r="M147">
        <v>3</v>
      </c>
      <c r="N147" t="s">
        <v>3</v>
      </c>
      <c r="O147">
        <v>2</v>
      </c>
    </row>
    <row r="148" spans="1:206" x14ac:dyDescent="0.2">
      <c r="A148">
        <v>50</v>
      </c>
      <c r="B148">
        <v>0</v>
      </c>
      <c r="C148">
        <v>0</v>
      </c>
      <c r="D148">
        <v>1</v>
      </c>
      <c r="E148">
        <v>230</v>
      </c>
      <c r="F148">
        <f>ROUND(Source!BA128,O148)</f>
        <v>0</v>
      </c>
      <c r="G148" t="s">
        <v>178</v>
      </c>
      <c r="H148" t="s">
        <v>179</v>
      </c>
      <c r="K148">
        <v>230</v>
      </c>
      <c r="L148">
        <v>19</v>
      </c>
      <c r="M148">
        <v>3</v>
      </c>
      <c r="N148" t="s">
        <v>3</v>
      </c>
      <c r="O148">
        <v>2</v>
      </c>
    </row>
    <row r="149" spans="1:206" x14ac:dyDescent="0.2">
      <c r="A149">
        <v>50</v>
      </c>
      <c r="B149">
        <v>0</v>
      </c>
      <c r="C149">
        <v>0</v>
      </c>
      <c r="D149">
        <v>1</v>
      </c>
      <c r="E149">
        <v>206</v>
      </c>
      <c r="F149">
        <f>ROUND(Source!T128,O149)</f>
        <v>0</v>
      </c>
      <c r="G149" t="s">
        <v>180</v>
      </c>
      <c r="H149" t="s">
        <v>181</v>
      </c>
      <c r="K149">
        <v>206</v>
      </c>
      <c r="L149">
        <v>20</v>
      </c>
      <c r="M149">
        <v>3</v>
      </c>
      <c r="N149" t="s">
        <v>3</v>
      </c>
      <c r="O149">
        <v>2</v>
      </c>
    </row>
    <row r="150" spans="1:206" x14ac:dyDescent="0.2">
      <c r="A150">
        <v>50</v>
      </c>
      <c r="B150">
        <v>0</v>
      </c>
      <c r="C150">
        <v>0</v>
      </c>
      <c r="D150">
        <v>1</v>
      </c>
      <c r="E150">
        <v>207</v>
      </c>
      <c r="F150">
        <f>Source!U128</f>
        <v>22.794724000000002</v>
      </c>
      <c r="G150" t="s">
        <v>182</v>
      </c>
      <c r="H150" t="s">
        <v>183</v>
      </c>
      <c r="K150">
        <v>207</v>
      </c>
      <c r="L150">
        <v>21</v>
      </c>
      <c r="M150">
        <v>3</v>
      </c>
      <c r="N150" t="s">
        <v>3</v>
      </c>
      <c r="O150">
        <v>-1</v>
      </c>
    </row>
    <row r="151" spans="1:206" x14ac:dyDescent="0.2">
      <c r="A151">
        <v>50</v>
      </c>
      <c r="B151">
        <v>0</v>
      </c>
      <c r="C151">
        <v>0</v>
      </c>
      <c r="D151">
        <v>1</v>
      </c>
      <c r="E151">
        <v>208</v>
      </c>
      <c r="F151">
        <f>Source!V128</f>
        <v>0</v>
      </c>
      <c r="G151" t="s">
        <v>184</v>
      </c>
      <c r="H151" t="s">
        <v>185</v>
      </c>
      <c r="K151">
        <v>208</v>
      </c>
      <c r="L151">
        <v>22</v>
      </c>
      <c r="M151">
        <v>3</v>
      </c>
      <c r="N151" t="s">
        <v>3</v>
      </c>
      <c r="O151">
        <v>-1</v>
      </c>
    </row>
    <row r="152" spans="1:206" x14ac:dyDescent="0.2">
      <c r="A152">
        <v>50</v>
      </c>
      <c r="B152">
        <v>0</v>
      </c>
      <c r="C152">
        <v>0</v>
      </c>
      <c r="D152">
        <v>1</v>
      </c>
      <c r="E152">
        <v>209</v>
      </c>
      <c r="F152">
        <f>ROUND(Source!W128,O152)</f>
        <v>0</v>
      </c>
      <c r="G152" t="s">
        <v>186</v>
      </c>
      <c r="H152" t="s">
        <v>187</v>
      </c>
      <c r="K152">
        <v>209</v>
      </c>
      <c r="L152">
        <v>23</v>
      </c>
      <c r="M152">
        <v>3</v>
      </c>
      <c r="N152" t="s">
        <v>3</v>
      </c>
      <c r="O152">
        <v>2</v>
      </c>
    </row>
    <row r="153" spans="1:206" x14ac:dyDescent="0.2">
      <c r="A153">
        <v>50</v>
      </c>
      <c r="B153">
        <v>0</v>
      </c>
      <c r="C153">
        <v>0</v>
      </c>
      <c r="D153">
        <v>1</v>
      </c>
      <c r="E153">
        <v>233</v>
      </c>
      <c r="F153">
        <f>ROUND(Source!BD128,O153)</f>
        <v>0</v>
      </c>
      <c r="G153" t="s">
        <v>188</v>
      </c>
      <c r="H153" t="s">
        <v>189</v>
      </c>
      <c r="K153">
        <v>233</v>
      </c>
      <c r="L153">
        <v>24</v>
      </c>
      <c r="M153">
        <v>3</v>
      </c>
      <c r="N153" t="s">
        <v>3</v>
      </c>
      <c r="O153">
        <v>2</v>
      </c>
    </row>
    <row r="154" spans="1:206" x14ac:dyDescent="0.2">
      <c r="A154">
        <v>50</v>
      </c>
      <c r="B154">
        <v>0</v>
      </c>
      <c r="C154">
        <v>0</v>
      </c>
      <c r="D154">
        <v>1</v>
      </c>
      <c r="E154">
        <v>210</v>
      </c>
      <c r="F154">
        <f>ROUND(Source!X128,O154)</f>
        <v>3140.85</v>
      </c>
      <c r="G154" t="s">
        <v>190</v>
      </c>
      <c r="H154" t="s">
        <v>191</v>
      </c>
      <c r="K154">
        <v>210</v>
      </c>
      <c r="L154">
        <v>25</v>
      </c>
      <c r="M154">
        <v>3</v>
      </c>
      <c r="N154" t="s">
        <v>3</v>
      </c>
      <c r="O154">
        <v>2</v>
      </c>
    </row>
    <row r="155" spans="1:206" x14ac:dyDescent="0.2">
      <c r="A155">
        <v>50</v>
      </c>
      <c r="B155">
        <v>0</v>
      </c>
      <c r="C155">
        <v>0</v>
      </c>
      <c r="D155">
        <v>1</v>
      </c>
      <c r="E155">
        <v>211</v>
      </c>
      <c r="F155">
        <f>ROUND(Source!Y128,O155)</f>
        <v>448.69</v>
      </c>
      <c r="G155" t="s">
        <v>192</v>
      </c>
      <c r="H155" t="s">
        <v>193</v>
      </c>
      <c r="K155">
        <v>211</v>
      </c>
      <c r="L155">
        <v>26</v>
      </c>
      <c r="M155">
        <v>3</v>
      </c>
      <c r="N155" t="s">
        <v>3</v>
      </c>
      <c r="O155">
        <v>2</v>
      </c>
    </row>
    <row r="156" spans="1:206" x14ac:dyDescent="0.2">
      <c r="A156">
        <v>50</v>
      </c>
      <c r="B156">
        <v>0</v>
      </c>
      <c r="C156">
        <v>0</v>
      </c>
      <c r="D156">
        <v>1</v>
      </c>
      <c r="E156">
        <v>224</v>
      </c>
      <c r="F156">
        <f>ROUND(Source!AR128,O156)</f>
        <v>17911.439999999999</v>
      </c>
      <c r="G156" t="s">
        <v>194</v>
      </c>
      <c r="H156" t="s">
        <v>195</v>
      </c>
      <c r="K156">
        <v>224</v>
      </c>
      <c r="L156">
        <v>27</v>
      </c>
      <c r="M156">
        <v>3</v>
      </c>
      <c r="N156" t="s">
        <v>3</v>
      </c>
      <c r="O156">
        <v>2</v>
      </c>
    </row>
    <row r="158" spans="1:206" x14ac:dyDescent="0.2">
      <c r="A158">
        <v>4</v>
      </c>
      <c r="B158">
        <v>1</v>
      </c>
      <c r="D158">
        <f>ROW(A175)</f>
        <v>175</v>
      </c>
      <c r="F158" t="s">
        <v>14</v>
      </c>
      <c r="G158" t="s">
        <v>250</v>
      </c>
      <c r="H158" t="s">
        <v>3</v>
      </c>
      <c r="I158">
        <v>0</v>
      </c>
      <c r="K158">
        <v>-1</v>
      </c>
      <c r="U158" t="s">
        <v>3</v>
      </c>
      <c r="V158">
        <v>0</v>
      </c>
      <c r="AB158" t="s">
        <v>3</v>
      </c>
      <c r="AC158" t="s">
        <v>3</v>
      </c>
      <c r="AD158" t="s">
        <v>3</v>
      </c>
      <c r="AE158" t="s">
        <v>3</v>
      </c>
      <c r="AF158" t="s">
        <v>3</v>
      </c>
      <c r="AG158" t="s">
        <v>3</v>
      </c>
      <c r="AP158" t="s">
        <v>3</v>
      </c>
      <c r="AQ158" t="s">
        <v>3</v>
      </c>
      <c r="AR158" t="s">
        <v>3</v>
      </c>
      <c r="AZ158" t="s">
        <v>3</v>
      </c>
      <c r="BB158" t="s">
        <v>3</v>
      </c>
      <c r="BC158" t="s">
        <v>3</v>
      </c>
      <c r="BD158" t="s">
        <v>3</v>
      </c>
      <c r="BE158" t="s">
        <v>3</v>
      </c>
      <c r="BF158" t="s">
        <v>3</v>
      </c>
      <c r="BG158" t="s">
        <v>3</v>
      </c>
      <c r="BH158" t="s">
        <v>3</v>
      </c>
      <c r="BI158" t="s">
        <v>3</v>
      </c>
      <c r="BJ158" t="s">
        <v>3</v>
      </c>
      <c r="BK158" t="s">
        <v>3</v>
      </c>
      <c r="BL158" t="s">
        <v>3</v>
      </c>
      <c r="BM158" t="s">
        <v>3</v>
      </c>
      <c r="BN158" t="s">
        <v>3</v>
      </c>
      <c r="BO158" t="s">
        <v>3</v>
      </c>
      <c r="BP158" t="s">
        <v>3</v>
      </c>
      <c r="BX158">
        <v>0</v>
      </c>
      <c r="CJ158">
        <v>0</v>
      </c>
    </row>
    <row r="160" spans="1:206" x14ac:dyDescent="0.2">
      <c r="A160">
        <v>52</v>
      </c>
      <c r="B160">
        <f t="shared" ref="B160:G160" si="122">B175</f>
        <v>1</v>
      </c>
      <c r="C160">
        <f t="shared" si="122"/>
        <v>4</v>
      </c>
      <c r="D160">
        <f t="shared" si="122"/>
        <v>158</v>
      </c>
      <c r="E160">
        <f t="shared" si="122"/>
        <v>0</v>
      </c>
      <c r="F160" t="str">
        <f t="shared" si="122"/>
        <v>Новый раздел</v>
      </c>
      <c r="G160" t="str">
        <f t="shared" si="122"/>
        <v>Устройство покрытия из резиновой крошки  на детских площадках(ТИП I)</v>
      </c>
      <c r="O160">
        <f t="shared" ref="O160:AT160" si="123">O175</f>
        <v>804154.42</v>
      </c>
      <c r="P160">
        <f t="shared" si="123"/>
        <v>716361.21</v>
      </c>
      <c r="Q160">
        <f t="shared" si="123"/>
        <v>48249.26</v>
      </c>
      <c r="R160">
        <f t="shared" si="123"/>
        <v>27903.200000000001</v>
      </c>
      <c r="S160">
        <f t="shared" si="123"/>
        <v>39543.949999999997</v>
      </c>
      <c r="T160">
        <f t="shared" si="123"/>
        <v>0</v>
      </c>
      <c r="U160">
        <f t="shared" si="123"/>
        <v>178.44511999999997</v>
      </c>
      <c r="V160">
        <f t="shared" si="123"/>
        <v>0</v>
      </c>
      <c r="W160">
        <f t="shared" si="123"/>
        <v>0</v>
      </c>
      <c r="X160">
        <f t="shared" si="123"/>
        <v>27680.77</v>
      </c>
      <c r="Y160">
        <f t="shared" si="123"/>
        <v>3954.4</v>
      </c>
      <c r="Z160">
        <f t="shared" si="123"/>
        <v>0</v>
      </c>
      <c r="AA160">
        <f t="shared" si="123"/>
        <v>0</v>
      </c>
      <c r="AB160">
        <f t="shared" si="123"/>
        <v>804154.42</v>
      </c>
      <c r="AC160">
        <f t="shared" si="123"/>
        <v>716361.21</v>
      </c>
      <c r="AD160">
        <f t="shared" si="123"/>
        <v>48249.26</v>
      </c>
      <c r="AE160">
        <f t="shared" si="123"/>
        <v>27903.200000000001</v>
      </c>
      <c r="AF160">
        <f t="shared" si="123"/>
        <v>39543.949999999997</v>
      </c>
      <c r="AG160">
        <f t="shared" si="123"/>
        <v>0</v>
      </c>
      <c r="AH160">
        <f t="shared" si="123"/>
        <v>178.44511999999997</v>
      </c>
      <c r="AI160">
        <f t="shared" si="123"/>
        <v>0</v>
      </c>
      <c r="AJ160">
        <f t="shared" si="123"/>
        <v>0</v>
      </c>
      <c r="AK160">
        <f t="shared" si="123"/>
        <v>27680.77</v>
      </c>
      <c r="AL160">
        <f t="shared" si="123"/>
        <v>3954.4</v>
      </c>
      <c r="AM160">
        <f t="shared" si="123"/>
        <v>0</v>
      </c>
      <c r="AN160">
        <f t="shared" si="123"/>
        <v>0</v>
      </c>
      <c r="AO160">
        <f t="shared" si="123"/>
        <v>0</v>
      </c>
      <c r="AP160">
        <f t="shared" si="123"/>
        <v>0</v>
      </c>
      <c r="AQ160">
        <f t="shared" si="123"/>
        <v>0</v>
      </c>
      <c r="AR160">
        <f t="shared" si="123"/>
        <v>865925.05</v>
      </c>
      <c r="AS160">
        <f t="shared" si="123"/>
        <v>0</v>
      </c>
      <c r="AT160">
        <f t="shared" si="123"/>
        <v>0</v>
      </c>
      <c r="AU160">
        <f t="shared" ref="AU160:BZ160" si="124">AU175</f>
        <v>865925.05</v>
      </c>
      <c r="AV160">
        <f t="shared" si="124"/>
        <v>716361.21</v>
      </c>
      <c r="AW160">
        <f t="shared" si="124"/>
        <v>716361.21</v>
      </c>
      <c r="AX160">
        <f t="shared" si="124"/>
        <v>0</v>
      </c>
      <c r="AY160">
        <f t="shared" si="124"/>
        <v>716361.21</v>
      </c>
      <c r="AZ160">
        <f t="shared" si="124"/>
        <v>0</v>
      </c>
      <c r="BA160">
        <f t="shared" si="124"/>
        <v>0</v>
      </c>
      <c r="BB160">
        <f t="shared" si="124"/>
        <v>0</v>
      </c>
      <c r="BC160">
        <f t="shared" si="124"/>
        <v>0</v>
      </c>
      <c r="BD160">
        <f t="shared" si="124"/>
        <v>0</v>
      </c>
      <c r="BE160">
        <f t="shared" si="124"/>
        <v>0</v>
      </c>
      <c r="BF160">
        <f t="shared" si="124"/>
        <v>0</v>
      </c>
      <c r="BG160">
        <f t="shared" si="124"/>
        <v>0</v>
      </c>
      <c r="BH160">
        <f t="shared" si="124"/>
        <v>0</v>
      </c>
      <c r="BI160">
        <f t="shared" si="124"/>
        <v>0</v>
      </c>
      <c r="BJ160">
        <f t="shared" si="124"/>
        <v>0</v>
      </c>
      <c r="BK160">
        <f t="shared" si="124"/>
        <v>0</v>
      </c>
      <c r="BL160">
        <f t="shared" si="124"/>
        <v>0</v>
      </c>
      <c r="BM160">
        <f t="shared" si="124"/>
        <v>0</v>
      </c>
      <c r="BN160">
        <f t="shared" si="124"/>
        <v>0</v>
      </c>
      <c r="BO160">
        <f t="shared" si="124"/>
        <v>0</v>
      </c>
      <c r="BP160">
        <f t="shared" si="124"/>
        <v>0</v>
      </c>
      <c r="BQ160">
        <f t="shared" si="124"/>
        <v>0</v>
      </c>
      <c r="BR160">
        <f t="shared" si="124"/>
        <v>0</v>
      </c>
      <c r="BS160">
        <f t="shared" si="124"/>
        <v>0</v>
      </c>
      <c r="BT160">
        <f t="shared" si="124"/>
        <v>0</v>
      </c>
      <c r="BU160">
        <f t="shared" si="124"/>
        <v>0</v>
      </c>
      <c r="BV160">
        <f t="shared" si="124"/>
        <v>0</v>
      </c>
      <c r="BW160">
        <f t="shared" si="124"/>
        <v>0</v>
      </c>
      <c r="BX160">
        <f t="shared" si="124"/>
        <v>0</v>
      </c>
      <c r="BY160">
        <f t="shared" si="124"/>
        <v>0</v>
      </c>
      <c r="BZ160">
        <f t="shared" si="124"/>
        <v>0</v>
      </c>
      <c r="CA160">
        <f t="shared" ref="CA160:DF160" si="125">CA175</f>
        <v>865925.05</v>
      </c>
      <c r="CB160">
        <f t="shared" si="125"/>
        <v>0</v>
      </c>
      <c r="CC160">
        <f t="shared" si="125"/>
        <v>0</v>
      </c>
      <c r="CD160">
        <f t="shared" si="125"/>
        <v>865925.05</v>
      </c>
      <c r="CE160">
        <f t="shared" si="125"/>
        <v>716361.21</v>
      </c>
      <c r="CF160">
        <f t="shared" si="125"/>
        <v>716361.21</v>
      </c>
      <c r="CG160">
        <f t="shared" si="125"/>
        <v>0</v>
      </c>
      <c r="CH160">
        <f t="shared" si="125"/>
        <v>716361.21</v>
      </c>
      <c r="CI160">
        <f t="shared" si="125"/>
        <v>0</v>
      </c>
      <c r="CJ160">
        <f t="shared" si="125"/>
        <v>0</v>
      </c>
      <c r="CK160">
        <f t="shared" si="125"/>
        <v>0</v>
      </c>
      <c r="CL160">
        <f t="shared" si="125"/>
        <v>0</v>
      </c>
      <c r="CM160">
        <f t="shared" si="125"/>
        <v>0</v>
      </c>
      <c r="CN160">
        <f t="shared" si="125"/>
        <v>0</v>
      </c>
      <c r="CO160">
        <f t="shared" si="125"/>
        <v>0</v>
      </c>
      <c r="CP160">
        <f t="shared" si="125"/>
        <v>0</v>
      </c>
      <c r="CQ160">
        <f t="shared" si="125"/>
        <v>0</v>
      </c>
      <c r="CR160">
        <f t="shared" si="125"/>
        <v>0</v>
      </c>
      <c r="CS160">
        <f t="shared" si="125"/>
        <v>0</v>
      </c>
      <c r="CT160">
        <f t="shared" si="125"/>
        <v>0</v>
      </c>
      <c r="CU160">
        <f t="shared" si="125"/>
        <v>0</v>
      </c>
      <c r="CV160">
        <f t="shared" si="125"/>
        <v>0</v>
      </c>
      <c r="CW160">
        <f t="shared" si="125"/>
        <v>0</v>
      </c>
      <c r="CX160">
        <f t="shared" si="125"/>
        <v>0</v>
      </c>
      <c r="CY160">
        <f t="shared" si="125"/>
        <v>0</v>
      </c>
      <c r="CZ160">
        <f t="shared" si="125"/>
        <v>0</v>
      </c>
      <c r="DA160">
        <f t="shared" si="125"/>
        <v>0</v>
      </c>
      <c r="DB160">
        <f t="shared" si="125"/>
        <v>0</v>
      </c>
      <c r="DC160">
        <f t="shared" si="125"/>
        <v>0</v>
      </c>
      <c r="DD160">
        <f t="shared" si="125"/>
        <v>0</v>
      </c>
      <c r="DE160">
        <f t="shared" si="125"/>
        <v>0</v>
      </c>
      <c r="DF160">
        <f t="shared" si="125"/>
        <v>0</v>
      </c>
      <c r="DG160">
        <f t="shared" ref="DG160:EL160" si="126">DG175</f>
        <v>0</v>
      </c>
      <c r="DH160">
        <f t="shared" si="126"/>
        <v>0</v>
      </c>
      <c r="DI160">
        <f t="shared" si="126"/>
        <v>0</v>
      </c>
      <c r="DJ160">
        <f t="shared" si="126"/>
        <v>0</v>
      </c>
      <c r="DK160">
        <f t="shared" si="126"/>
        <v>0</v>
      </c>
      <c r="DL160">
        <f t="shared" si="126"/>
        <v>0</v>
      </c>
      <c r="DM160">
        <f t="shared" si="126"/>
        <v>0</v>
      </c>
      <c r="DN160">
        <f t="shared" si="126"/>
        <v>0</v>
      </c>
      <c r="DO160">
        <f t="shared" si="126"/>
        <v>0</v>
      </c>
      <c r="DP160">
        <f t="shared" si="126"/>
        <v>0</v>
      </c>
      <c r="DQ160">
        <f t="shared" si="126"/>
        <v>0</v>
      </c>
      <c r="DR160">
        <f t="shared" si="126"/>
        <v>0</v>
      </c>
      <c r="DS160">
        <f t="shared" si="126"/>
        <v>0</v>
      </c>
      <c r="DT160">
        <f t="shared" si="126"/>
        <v>0</v>
      </c>
      <c r="DU160">
        <f t="shared" si="126"/>
        <v>0</v>
      </c>
      <c r="DV160">
        <f t="shared" si="126"/>
        <v>0</v>
      </c>
      <c r="DW160">
        <f t="shared" si="126"/>
        <v>0</v>
      </c>
      <c r="DX160">
        <f t="shared" si="126"/>
        <v>0</v>
      </c>
      <c r="DY160">
        <f t="shared" si="126"/>
        <v>0</v>
      </c>
      <c r="DZ160">
        <f t="shared" si="126"/>
        <v>0</v>
      </c>
      <c r="EA160">
        <f t="shared" si="126"/>
        <v>0</v>
      </c>
      <c r="EB160">
        <f t="shared" si="126"/>
        <v>0</v>
      </c>
      <c r="EC160">
        <f t="shared" si="126"/>
        <v>0</v>
      </c>
      <c r="ED160">
        <f t="shared" si="126"/>
        <v>0</v>
      </c>
      <c r="EE160">
        <f t="shared" si="126"/>
        <v>0</v>
      </c>
      <c r="EF160">
        <f t="shared" si="126"/>
        <v>0</v>
      </c>
      <c r="EG160">
        <f t="shared" si="126"/>
        <v>0</v>
      </c>
      <c r="EH160">
        <f t="shared" si="126"/>
        <v>0</v>
      </c>
      <c r="EI160">
        <f t="shared" si="126"/>
        <v>0</v>
      </c>
      <c r="EJ160">
        <f t="shared" si="126"/>
        <v>0</v>
      </c>
      <c r="EK160">
        <f t="shared" si="126"/>
        <v>0</v>
      </c>
      <c r="EL160">
        <f t="shared" si="126"/>
        <v>0</v>
      </c>
      <c r="EM160">
        <f t="shared" ref="EM160:FR160" si="127">EM175</f>
        <v>0</v>
      </c>
      <c r="EN160">
        <f t="shared" si="127"/>
        <v>0</v>
      </c>
      <c r="EO160">
        <f t="shared" si="127"/>
        <v>0</v>
      </c>
      <c r="EP160">
        <f t="shared" si="127"/>
        <v>0</v>
      </c>
      <c r="EQ160">
        <f t="shared" si="127"/>
        <v>0</v>
      </c>
      <c r="ER160">
        <f t="shared" si="127"/>
        <v>0</v>
      </c>
      <c r="ES160">
        <f t="shared" si="127"/>
        <v>0</v>
      </c>
      <c r="ET160">
        <f t="shared" si="127"/>
        <v>0</v>
      </c>
      <c r="EU160">
        <f t="shared" si="127"/>
        <v>0</v>
      </c>
      <c r="EV160">
        <f t="shared" si="127"/>
        <v>0</v>
      </c>
      <c r="EW160">
        <f t="shared" si="127"/>
        <v>0</v>
      </c>
      <c r="EX160">
        <f t="shared" si="127"/>
        <v>0</v>
      </c>
      <c r="EY160">
        <f t="shared" si="127"/>
        <v>0</v>
      </c>
      <c r="EZ160">
        <f t="shared" si="127"/>
        <v>0</v>
      </c>
      <c r="FA160">
        <f t="shared" si="127"/>
        <v>0</v>
      </c>
      <c r="FB160">
        <f t="shared" si="127"/>
        <v>0</v>
      </c>
      <c r="FC160">
        <f t="shared" si="127"/>
        <v>0</v>
      </c>
      <c r="FD160">
        <f t="shared" si="127"/>
        <v>0</v>
      </c>
      <c r="FE160">
        <f t="shared" si="127"/>
        <v>0</v>
      </c>
      <c r="FF160">
        <f t="shared" si="127"/>
        <v>0</v>
      </c>
      <c r="FG160">
        <f t="shared" si="127"/>
        <v>0</v>
      </c>
      <c r="FH160">
        <f t="shared" si="127"/>
        <v>0</v>
      </c>
      <c r="FI160">
        <f t="shared" si="127"/>
        <v>0</v>
      </c>
      <c r="FJ160">
        <f t="shared" si="127"/>
        <v>0</v>
      </c>
      <c r="FK160">
        <f t="shared" si="127"/>
        <v>0</v>
      </c>
      <c r="FL160">
        <f t="shared" si="127"/>
        <v>0</v>
      </c>
      <c r="FM160">
        <f t="shared" si="127"/>
        <v>0</v>
      </c>
      <c r="FN160">
        <f t="shared" si="127"/>
        <v>0</v>
      </c>
      <c r="FO160">
        <f t="shared" si="127"/>
        <v>0</v>
      </c>
      <c r="FP160">
        <f t="shared" si="127"/>
        <v>0</v>
      </c>
      <c r="FQ160">
        <f t="shared" si="127"/>
        <v>0</v>
      </c>
      <c r="FR160">
        <f t="shared" si="127"/>
        <v>0</v>
      </c>
      <c r="FS160">
        <f t="shared" ref="FS160:GX160" si="128">FS175</f>
        <v>0</v>
      </c>
      <c r="FT160">
        <f t="shared" si="128"/>
        <v>0</v>
      </c>
      <c r="FU160">
        <f t="shared" si="128"/>
        <v>0</v>
      </c>
      <c r="FV160">
        <f t="shared" si="128"/>
        <v>0</v>
      </c>
      <c r="FW160">
        <f t="shared" si="128"/>
        <v>0</v>
      </c>
      <c r="FX160">
        <f t="shared" si="128"/>
        <v>0</v>
      </c>
      <c r="FY160">
        <f t="shared" si="128"/>
        <v>0</v>
      </c>
      <c r="FZ160">
        <f t="shared" si="128"/>
        <v>0</v>
      </c>
      <c r="GA160">
        <f t="shared" si="128"/>
        <v>0</v>
      </c>
      <c r="GB160">
        <f t="shared" si="128"/>
        <v>0</v>
      </c>
      <c r="GC160">
        <f t="shared" si="128"/>
        <v>0</v>
      </c>
      <c r="GD160">
        <f t="shared" si="128"/>
        <v>0</v>
      </c>
      <c r="GE160">
        <f t="shared" si="128"/>
        <v>0</v>
      </c>
      <c r="GF160">
        <f t="shared" si="128"/>
        <v>0</v>
      </c>
      <c r="GG160">
        <f t="shared" si="128"/>
        <v>0</v>
      </c>
      <c r="GH160">
        <f t="shared" si="128"/>
        <v>0</v>
      </c>
      <c r="GI160">
        <f t="shared" si="128"/>
        <v>0</v>
      </c>
      <c r="GJ160">
        <f t="shared" si="128"/>
        <v>0</v>
      </c>
      <c r="GK160">
        <f t="shared" si="128"/>
        <v>0</v>
      </c>
      <c r="GL160">
        <f t="shared" si="128"/>
        <v>0</v>
      </c>
      <c r="GM160">
        <f t="shared" si="128"/>
        <v>0</v>
      </c>
      <c r="GN160">
        <f t="shared" si="128"/>
        <v>0</v>
      </c>
      <c r="GO160">
        <f t="shared" si="128"/>
        <v>0</v>
      </c>
      <c r="GP160">
        <f t="shared" si="128"/>
        <v>0</v>
      </c>
      <c r="GQ160">
        <f t="shared" si="128"/>
        <v>0</v>
      </c>
      <c r="GR160">
        <f t="shared" si="128"/>
        <v>0</v>
      </c>
      <c r="GS160">
        <f t="shared" si="128"/>
        <v>0</v>
      </c>
      <c r="GT160">
        <f t="shared" si="128"/>
        <v>0</v>
      </c>
      <c r="GU160">
        <f t="shared" si="128"/>
        <v>0</v>
      </c>
      <c r="GV160">
        <f t="shared" si="128"/>
        <v>0</v>
      </c>
      <c r="GW160">
        <f t="shared" si="128"/>
        <v>0</v>
      </c>
      <c r="GX160">
        <f t="shared" si="128"/>
        <v>0</v>
      </c>
    </row>
    <row r="162" spans="1:245" x14ac:dyDescent="0.2">
      <c r="A162">
        <v>17</v>
      </c>
      <c r="B162">
        <v>1</v>
      </c>
      <c r="D162">
        <f>ROW(EtalonRes!A256)</f>
        <v>256</v>
      </c>
      <c r="E162" t="s">
        <v>251</v>
      </c>
      <c r="F162" t="s">
        <v>252</v>
      </c>
      <c r="G162" t="s">
        <v>253</v>
      </c>
      <c r="H162" t="s">
        <v>47</v>
      </c>
      <c r="I162">
        <f>ROUND(I164*100*0.2/100,9)</f>
        <v>0.57999999999999996</v>
      </c>
      <c r="J162">
        <v>0</v>
      </c>
      <c r="O162">
        <f t="shared" ref="O162:O173" si="129">ROUND(CP162,2)</f>
        <v>44001.01</v>
      </c>
      <c r="P162">
        <f t="shared" ref="P162:P173" si="130">ROUND(CQ162*I162,2)</f>
        <v>37793.99</v>
      </c>
      <c r="Q162">
        <f t="shared" ref="Q162:Q173" si="131">ROUND(CR162*I162,2)</f>
        <v>4409.29</v>
      </c>
      <c r="R162">
        <f t="shared" ref="R162:R173" si="132">ROUND(CS162*I162,2)</f>
        <v>1869.33</v>
      </c>
      <c r="S162">
        <f t="shared" ref="S162:S173" si="133">ROUND(CT162*I162,2)</f>
        <v>1797.73</v>
      </c>
      <c r="T162">
        <f t="shared" ref="T162:T173" si="134">ROUND(CU162*I162,2)</f>
        <v>0</v>
      </c>
      <c r="U162">
        <f t="shared" ref="U162:U173" si="135">CV162*I162</f>
        <v>9.6047999999999991</v>
      </c>
      <c r="V162">
        <f t="shared" ref="V162:V173" si="136">CW162*I162</f>
        <v>0</v>
      </c>
      <c r="W162">
        <f t="shared" ref="W162:W173" si="137">ROUND(CX162*I162,2)</f>
        <v>0</v>
      </c>
      <c r="X162">
        <f t="shared" ref="X162:X173" si="138">ROUND(CY162,2)</f>
        <v>1258.4100000000001</v>
      </c>
      <c r="Y162">
        <f t="shared" ref="Y162:Y173" si="139">ROUND(CZ162,2)</f>
        <v>179.77</v>
      </c>
      <c r="AA162">
        <v>71209905</v>
      </c>
      <c r="AB162">
        <f t="shared" ref="AB162:AB173" si="140">ROUND((AC162+AD162+AF162),6)</f>
        <v>75863.820000000007</v>
      </c>
      <c r="AC162">
        <f t="shared" ref="AC162:AC168" si="141">ROUND((ES162),6)</f>
        <v>65162.05</v>
      </c>
      <c r="AD162">
        <f t="shared" ref="AD162:AD168" si="142">ROUND((((ET162)-(EU162))+AE162),6)</f>
        <v>7602.23</v>
      </c>
      <c r="AE162">
        <f t="shared" ref="AE162:AF168" si="143">ROUND((EU162),6)</f>
        <v>3222.98</v>
      </c>
      <c r="AF162">
        <f t="shared" si="143"/>
        <v>3099.54</v>
      </c>
      <c r="AG162">
        <f t="shared" ref="AG162:AG173" si="144">ROUND((AP162),6)</f>
        <v>0</v>
      </c>
      <c r="AH162">
        <f t="shared" ref="AH162:AI168" si="145">(EW162)</f>
        <v>16.559999999999999</v>
      </c>
      <c r="AI162">
        <f t="shared" si="145"/>
        <v>0</v>
      </c>
      <c r="AJ162">
        <f t="shared" ref="AJ162:AJ173" si="146">(AS162)</f>
        <v>0</v>
      </c>
      <c r="AK162">
        <v>75863.820000000007</v>
      </c>
      <c r="AL162">
        <v>65162.05</v>
      </c>
      <c r="AM162">
        <v>7602.23</v>
      </c>
      <c r="AN162">
        <v>3222.98</v>
      </c>
      <c r="AO162">
        <v>3099.54</v>
      </c>
      <c r="AP162">
        <v>0</v>
      </c>
      <c r="AQ162">
        <v>16.559999999999999</v>
      </c>
      <c r="AR162">
        <v>0</v>
      </c>
      <c r="AS162">
        <v>0</v>
      </c>
      <c r="AT162">
        <v>70</v>
      </c>
      <c r="AU162">
        <v>10</v>
      </c>
      <c r="AV162">
        <v>1</v>
      </c>
      <c r="AW162">
        <v>1</v>
      </c>
      <c r="AZ162">
        <v>1</v>
      </c>
      <c r="BA162">
        <v>1</v>
      </c>
      <c r="BB162">
        <v>1</v>
      </c>
      <c r="BC162">
        <v>1</v>
      </c>
      <c r="BD162" t="s">
        <v>3</v>
      </c>
      <c r="BE162" t="s">
        <v>3</v>
      </c>
      <c r="BF162" t="s">
        <v>3</v>
      </c>
      <c r="BG162" t="s">
        <v>3</v>
      </c>
      <c r="BH162">
        <v>0</v>
      </c>
      <c r="BI162">
        <v>4</v>
      </c>
      <c r="BJ162" t="s">
        <v>254</v>
      </c>
      <c r="BM162">
        <v>0</v>
      </c>
      <c r="BN162">
        <v>0</v>
      </c>
      <c r="BO162" t="s">
        <v>3</v>
      </c>
      <c r="BP162">
        <v>0</v>
      </c>
      <c r="BQ162">
        <v>1</v>
      </c>
      <c r="BR162">
        <v>0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 t="s">
        <v>3</v>
      </c>
      <c r="BZ162">
        <v>70</v>
      </c>
      <c r="CA162">
        <v>10</v>
      </c>
      <c r="CE162">
        <v>0</v>
      </c>
      <c r="CF162">
        <v>0</v>
      </c>
      <c r="CG162">
        <v>0</v>
      </c>
      <c r="CM162">
        <v>0</v>
      </c>
      <c r="CN162" t="s">
        <v>3</v>
      </c>
      <c r="CO162">
        <v>0</v>
      </c>
      <c r="CP162">
        <f t="shared" ref="CP162:CP173" si="147">(P162+Q162+S162)</f>
        <v>44001.01</v>
      </c>
      <c r="CQ162">
        <f t="shared" ref="CQ162:CQ173" si="148">(AC162*BC162*AW162)</f>
        <v>65162.05</v>
      </c>
      <c r="CR162">
        <f t="shared" ref="CR162:CR168" si="149">((((ET162)*BB162-(EU162)*BS162)+AE162*BS162)*AV162)</f>
        <v>7602.23</v>
      </c>
      <c r="CS162">
        <f t="shared" ref="CS162:CS173" si="150">(AE162*BS162*AV162)</f>
        <v>3222.98</v>
      </c>
      <c r="CT162">
        <f t="shared" ref="CT162:CT173" si="151">(AF162*BA162*AV162)</f>
        <v>3099.54</v>
      </c>
      <c r="CU162">
        <f t="shared" ref="CU162:CU173" si="152">AG162</f>
        <v>0</v>
      </c>
      <c r="CV162">
        <f t="shared" ref="CV162:CV173" si="153">(AH162*AV162)</f>
        <v>16.559999999999999</v>
      </c>
      <c r="CW162">
        <f t="shared" ref="CW162:CW173" si="154">AI162</f>
        <v>0</v>
      </c>
      <c r="CX162">
        <f t="shared" ref="CX162:CX173" si="155">AJ162</f>
        <v>0</v>
      </c>
      <c r="CY162">
        <f t="shared" ref="CY162:CY173" si="156">((S162*BZ162)/100)</f>
        <v>1258.4110000000001</v>
      </c>
      <c r="CZ162">
        <f t="shared" ref="CZ162:CZ173" si="157">((S162*CA162)/100)</f>
        <v>179.773</v>
      </c>
      <c r="DC162" t="s">
        <v>3</v>
      </c>
      <c r="DD162" t="s">
        <v>3</v>
      </c>
      <c r="DE162" t="s">
        <v>3</v>
      </c>
      <c r="DF162" t="s">
        <v>3</v>
      </c>
      <c r="DG162" t="s">
        <v>3</v>
      </c>
      <c r="DH162" t="s">
        <v>3</v>
      </c>
      <c r="DI162" t="s">
        <v>3</v>
      </c>
      <c r="DJ162" t="s">
        <v>3</v>
      </c>
      <c r="DK162" t="s">
        <v>3</v>
      </c>
      <c r="DL162" t="s">
        <v>3</v>
      </c>
      <c r="DM162" t="s">
        <v>3</v>
      </c>
      <c r="DN162">
        <v>0</v>
      </c>
      <c r="DO162">
        <v>0</v>
      </c>
      <c r="DP162">
        <v>1</v>
      </c>
      <c r="DQ162">
        <v>1</v>
      </c>
      <c r="DU162">
        <v>1007</v>
      </c>
      <c r="DV162" t="s">
        <v>47</v>
      </c>
      <c r="DW162" t="s">
        <v>47</v>
      </c>
      <c r="DX162">
        <v>100</v>
      </c>
      <c r="EE162">
        <v>67874524</v>
      </c>
      <c r="EF162">
        <v>1</v>
      </c>
      <c r="EG162" t="s">
        <v>20</v>
      </c>
      <c r="EH162">
        <v>0</v>
      </c>
      <c r="EI162" t="s">
        <v>3</v>
      </c>
      <c r="EJ162">
        <v>4</v>
      </c>
      <c r="EK162">
        <v>0</v>
      </c>
      <c r="EL162" t="s">
        <v>21</v>
      </c>
      <c r="EM162" t="s">
        <v>22</v>
      </c>
      <c r="EO162" t="s">
        <v>3</v>
      </c>
      <c r="EQ162">
        <v>0</v>
      </c>
      <c r="ER162">
        <v>75863.820000000007</v>
      </c>
      <c r="ES162">
        <v>65162.05</v>
      </c>
      <c r="ET162">
        <v>7602.23</v>
      </c>
      <c r="EU162">
        <v>3222.98</v>
      </c>
      <c r="EV162">
        <v>3099.54</v>
      </c>
      <c r="EW162">
        <v>16.559999999999999</v>
      </c>
      <c r="EX162">
        <v>0</v>
      </c>
      <c r="EY162">
        <v>0</v>
      </c>
      <c r="FQ162">
        <v>0</v>
      </c>
      <c r="FR162">
        <f t="shared" ref="FR162:FR173" si="158">ROUND(IF(AND(BH162=3,BI162=3),P162,0),2)</f>
        <v>0</v>
      </c>
      <c r="FS162">
        <v>0</v>
      </c>
      <c r="FX162">
        <v>70</v>
      </c>
      <c r="FY162">
        <v>10</v>
      </c>
      <c r="GA162" t="s">
        <v>3</v>
      </c>
      <c r="GD162">
        <v>0</v>
      </c>
      <c r="GF162">
        <v>-1878939907</v>
      </c>
      <c r="GG162">
        <v>2</v>
      </c>
      <c r="GH162">
        <v>1</v>
      </c>
      <c r="GI162">
        <v>-2</v>
      </c>
      <c r="GJ162">
        <v>0</v>
      </c>
      <c r="GK162">
        <f>ROUND(R162*(R12)/100,2)</f>
        <v>2018.88</v>
      </c>
      <c r="GL162">
        <f t="shared" ref="GL162:GL173" si="159">ROUND(IF(AND(BH162=3,BI162=3,FS162&lt;&gt;0),P162,0),2)</f>
        <v>0</v>
      </c>
      <c r="GM162">
        <f t="shared" ref="GM162:GM173" si="160">ROUND(O162+X162+Y162+GK162,2)+GX162</f>
        <v>47458.07</v>
      </c>
      <c r="GN162">
        <f t="shared" ref="GN162:GN173" si="161">IF(OR(BI162=0,BI162=1),ROUND(O162+X162+Y162+GK162,2),0)</f>
        <v>0</v>
      </c>
      <c r="GO162">
        <f t="shared" ref="GO162:GO173" si="162">IF(BI162=2,ROUND(O162+X162+Y162+GK162,2),0)</f>
        <v>0</v>
      </c>
      <c r="GP162">
        <f t="shared" ref="GP162:GP173" si="163">IF(BI162=4,ROUND(O162+X162+Y162+GK162,2)+GX162,0)</f>
        <v>47458.07</v>
      </c>
      <c r="GR162">
        <v>0</v>
      </c>
      <c r="GS162">
        <v>3</v>
      </c>
      <c r="GT162">
        <v>0</v>
      </c>
      <c r="GU162" t="s">
        <v>3</v>
      </c>
      <c r="GV162">
        <f t="shared" ref="GV162:GV173" si="164">ROUND((GT162),6)</f>
        <v>0</v>
      </c>
      <c r="GW162">
        <v>1</v>
      </c>
      <c r="GX162">
        <f t="shared" ref="GX162:GX173" si="165">ROUND(HC162*I162,2)</f>
        <v>0</v>
      </c>
      <c r="HA162">
        <v>0</v>
      </c>
      <c r="HB162">
        <v>0</v>
      </c>
      <c r="HC162">
        <f t="shared" ref="HC162:HC173" si="166">GV162*GW162</f>
        <v>0</v>
      </c>
      <c r="IK162">
        <v>0</v>
      </c>
    </row>
    <row r="163" spans="1:245" x14ac:dyDescent="0.2">
      <c r="A163">
        <v>17</v>
      </c>
      <c r="B163">
        <v>1</v>
      </c>
      <c r="D163">
        <f>ROW(EtalonRes!A265)</f>
        <v>265</v>
      </c>
      <c r="E163" t="s">
        <v>255</v>
      </c>
      <c r="F163" t="s">
        <v>256</v>
      </c>
      <c r="G163" t="s">
        <v>257</v>
      </c>
      <c r="H163" t="s">
        <v>47</v>
      </c>
      <c r="I163">
        <f>ROUND(I164*100*0.12/100,9)</f>
        <v>0.34799999999999998</v>
      </c>
      <c r="J163">
        <v>0</v>
      </c>
      <c r="O163">
        <f t="shared" si="129"/>
        <v>97740.87</v>
      </c>
      <c r="P163">
        <f t="shared" si="130"/>
        <v>77422.78</v>
      </c>
      <c r="Q163">
        <f t="shared" si="131"/>
        <v>18700.13</v>
      </c>
      <c r="R163">
        <f t="shared" si="132"/>
        <v>7382.87</v>
      </c>
      <c r="S163">
        <f t="shared" si="133"/>
        <v>1617.96</v>
      </c>
      <c r="T163">
        <f t="shared" si="134"/>
        <v>0</v>
      </c>
      <c r="U163">
        <f t="shared" si="135"/>
        <v>8.6443199999999987</v>
      </c>
      <c r="V163">
        <f t="shared" si="136"/>
        <v>0</v>
      </c>
      <c r="W163">
        <f t="shared" si="137"/>
        <v>0</v>
      </c>
      <c r="X163">
        <f t="shared" si="138"/>
        <v>1132.57</v>
      </c>
      <c r="Y163">
        <f t="shared" si="139"/>
        <v>161.80000000000001</v>
      </c>
      <c r="AA163">
        <v>71209905</v>
      </c>
      <c r="AB163">
        <f t="shared" si="140"/>
        <v>280864.57</v>
      </c>
      <c r="AC163">
        <f t="shared" si="141"/>
        <v>222479.25</v>
      </c>
      <c r="AD163">
        <f t="shared" si="142"/>
        <v>53736.02</v>
      </c>
      <c r="AE163">
        <f t="shared" si="143"/>
        <v>21215.13</v>
      </c>
      <c r="AF163">
        <f t="shared" si="143"/>
        <v>4649.3</v>
      </c>
      <c r="AG163">
        <f t="shared" si="144"/>
        <v>0</v>
      </c>
      <c r="AH163">
        <f t="shared" si="145"/>
        <v>24.84</v>
      </c>
      <c r="AI163">
        <f t="shared" si="145"/>
        <v>0</v>
      </c>
      <c r="AJ163">
        <f t="shared" si="146"/>
        <v>0</v>
      </c>
      <c r="AK163">
        <v>280864.57</v>
      </c>
      <c r="AL163">
        <v>222479.25</v>
      </c>
      <c r="AM163">
        <v>53736.02</v>
      </c>
      <c r="AN163">
        <v>21215.13</v>
      </c>
      <c r="AO163">
        <v>4649.3</v>
      </c>
      <c r="AP163">
        <v>0</v>
      </c>
      <c r="AQ163">
        <v>24.84</v>
      </c>
      <c r="AR163">
        <v>0</v>
      </c>
      <c r="AS163">
        <v>0</v>
      </c>
      <c r="AT163">
        <v>70</v>
      </c>
      <c r="AU163">
        <v>10</v>
      </c>
      <c r="AV163">
        <v>1</v>
      </c>
      <c r="AW163">
        <v>1</v>
      </c>
      <c r="AZ163">
        <v>1</v>
      </c>
      <c r="BA163">
        <v>1</v>
      </c>
      <c r="BB163">
        <v>1</v>
      </c>
      <c r="BC163">
        <v>1</v>
      </c>
      <c r="BD163" t="s">
        <v>3</v>
      </c>
      <c r="BE163" t="s">
        <v>3</v>
      </c>
      <c r="BF163" t="s">
        <v>3</v>
      </c>
      <c r="BG163" t="s">
        <v>3</v>
      </c>
      <c r="BH163">
        <v>0</v>
      </c>
      <c r="BI163">
        <v>4</v>
      </c>
      <c r="BJ163" t="s">
        <v>258</v>
      </c>
      <c r="BM163">
        <v>0</v>
      </c>
      <c r="BN163">
        <v>0</v>
      </c>
      <c r="BO163" t="s">
        <v>3</v>
      </c>
      <c r="BP163">
        <v>0</v>
      </c>
      <c r="BQ163">
        <v>1</v>
      </c>
      <c r="BR163">
        <v>0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 t="s">
        <v>3</v>
      </c>
      <c r="BZ163">
        <v>70</v>
      </c>
      <c r="CA163">
        <v>10</v>
      </c>
      <c r="CE163">
        <v>0</v>
      </c>
      <c r="CF163">
        <v>0</v>
      </c>
      <c r="CG163">
        <v>0</v>
      </c>
      <c r="CM163">
        <v>0</v>
      </c>
      <c r="CN163" t="s">
        <v>3</v>
      </c>
      <c r="CO163">
        <v>0</v>
      </c>
      <c r="CP163">
        <f t="shared" si="147"/>
        <v>97740.87000000001</v>
      </c>
      <c r="CQ163">
        <f t="shared" si="148"/>
        <v>222479.25</v>
      </c>
      <c r="CR163">
        <f t="shared" si="149"/>
        <v>53736.02</v>
      </c>
      <c r="CS163">
        <f t="shared" si="150"/>
        <v>21215.13</v>
      </c>
      <c r="CT163">
        <f t="shared" si="151"/>
        <v>4649.3</v>
      </c>
      <c r="CU163">
        <f t="shared" si="152"/>
        <v>0</v>
      </c>
      <c r="CV163">
        <f t="shared" si="153"/>
        <v>24.84</v>
      </c>
      <c r="CW163">
        <f t="shared" si="154"/>
        <v>0</v>
      </c>
      <c r="CX163">
        <f t="shared" si="155"/>
        <v>0</v>
      </c>
      <c r="CY163">
        <f t="shared" si="156"/>
        <v>1132.5719999999999</v>
      </c>
      <c r="CZ163">
        <f t="shared" si="157"/>
        <v>161.79599999999999</v>
      </c>
      <c r="DC163" t="s">
        <v>3</v>
      </c>
      <c r="DD163" t="s">
        <v>3</v>
      </c>
      <c r="DE163" t="s">
        <v>3</v>
      </c>
      <c r="DF163" t="s">
        <v>3</v>
      </c>
      <c r="DG163" t="s">
        <v>3</v>
      </c>
      <c r="DH163" t="s">
        <v>3</v>
      </c>
      <c r="DI163" t="s">
        <v>3</v>
      </c>
      <c r="DJ163" t="s">
        <v>3</v>
      </c>
      <c r="DK163" t="s">
        <v>3</v>
      </c>
      <c r="DL163" t="s">
        <v>3</v>
      </c>
      <c r="DM163" t="s">
        <v>3</v>
      </c>
      <c r="DN163">
        <v>0</v>
      </c>
      <c r="DO163">
        <v>0</v>
      </c>
      <c r="DP163">
        <v>1</v>
      </c>
      <c r="DQ163">
        <v>1</v>
      </c>
      <c r="DU163">
        <v>1007</v>
      </c>
      <c r="DV163" t="s">
        <v>47</v>
      </c>
      <c r="DW163" t="s">
        <v>47</v>
      </c>
      <c r="DX163">
        <v>100</v>
      </c>
      <c r="EE163">
        <v>67874524</v>
      </c>
      <c r="EF163">
        <v>1</v>
      </c>
      <c r="EG163" t="s">
        <v>20</v>
      </c>
      <c r="EH163">
        <v>0</v>
      </c>
      <c r="EI163" t="s">
        <v>3</v>
      </c>
      <c r="EJ163">
        <v>4</v>
      </c>
      <c r="EK163">
        <v>0</v>
      </c>
      <c r="EL163" t="s">
        <v>21</v>
      </c>
      <c r="EM163" t="s">
        <v>22</v>
      </c>
      <c r="EO163" t="s">
        <v>3</v>
      </c>
      <c r="EQ163">
        <v>0</v>
      </c>
      <c r="ER163">
        <v>280864.57</v>
      </c>
      <c r="ES163">
        <v>222479.25</v>
      </c>
      <c r="ET163">
        <v>53736.02</v>
      </c>
      <c r="EU163">
        <v>21215.13</v>
      </c>
      <c r="EV163">
        <v>4649.3</v>
      </c>
      <c r="EW163">
        <v>24.84</v>
      </c>
      <c r="EX163">
        <v>0</v>
      </c>
      <c r="EY163">
        <v>0</v>
      </c>
      <c r="FQ163">
        <v>0</v>
      </c>
      <c r="FR163">
        <f t="shared" si="158"/>
        <v>0</v>
      </c>
      <c r="FS163">
        <v>0</v>
      </c>
      <c r="FX163">
        <v>70</v>
      </c>
      <c r="FY163">
        <v>10</v>
      </c>
      <c r="GA163" t="s">
        <v>3</v>
      </c>
      <c r="GD163">
        <v>0</v>
      </c>
      <c r="GF163">
        <v>942289595</v>
      </c>
      <c r="GG163">
        <v>2</v>
      </c>
      <c r="GH163">
        <v>1</v>
      </c>
      <c r="GI163">
        <v>-2</v>
      </c>
      <c r="GJ163">
        <v>0</v>
      </c>
      <c r="GK163">
        <f>ROUND(R163*(R12)/100,2)</f>
        <v>7973.5</v>
      </c>
      <c r="GL163">
        <f t="shared" si="159"/>
        <v>0</v>
      </c>
      <c r="GM163">
        <f t="shared" si="160"/>
        <v>107008.74</v>
      </c>
      <c r="GN163">
        <f t="shared" si="161"/>
        <v>0</v>
      </c>
      <c r="GO163">
        <f t="shared" si="162"/>
        <v>0</v>
      </c>
      <c r="GP163">
        <f t="shared" si="163"/>
        <v>107008.74</v>
      </c>
      <c r="GR163">
        <v>0</v>
      </c>
      <c r="GS163">
        <v>3</v>
      </c>
      <c r="GT163">
        <v>0</v>
      </c>
      <c r="GU163" t="s">
        <v>3</v>
      </c>
      <c r="GV163">
        <f t="shared" si="164"/>
        <v>0</v>
      </c>
      <c r="GW163">
        <v>1</v>
      </c>
      <c r="GX163">
        <f t="shared" si="165"/>
        <v>0</v>
      </c>
      <c r="HA163">
        <v>0</v>
      </c>
      <c r="HB163">
        <v>0</v>
      </c>
      <c r="HC163">
        <f t="shared" si="166"/>
        <v>0</v>
      </c>
      <c r="IK163">
        <v>0</v>
      </c>
    </row>
    <row r="164" spans="1:245" x14ac:dyDescent="0.2">
      <c r="A164">
        <v>17</v>
      </c>
      <c r="B164">
        <v>1</v>
      </c>
      <c r="C164">
        <f>ROW(SmtRes!A32)</f>
        <v>32</v>
      </c>
      <c r="D164">
        <f>ROW(EtalonRes!A269)</f>
        <v>269</v>
      </c>
      <c r="E164" t="s">
        <v>259</v>
      </c>
      <c r="F164" t="s">
        <v>260</v>
      </c>
      <c r="G164" t="s">
        <v>261</v>
      </c>
      <c r="H164" t="s">
        <v>28</v>
      </c>
      <c r="I164">
        <f>ROUND(290/100,9)</f>
        <v>2.9</v>
      </c>
      <c r="J164">
        <v>0</v>
      </c>
      <c r="O164">
        <f t="shared" si="129"/>
        <v>69504.009999999995</v>
      </c>
      <c r="P164">
        <f t="shared" si="130"/>
        <v>59417.67</v>
      </c>
      <c r="Q164">
        <f t="shared" si="131"/>
        <v>3256.87</v>
      </c>
      <c r="R164">
        <f t="shared" si="132"/>
        <v>1367.99</v>
      </c>
      <c r="S164">
        <f t="shared" si="133"/>
        <v>6829.47</v>
      </c>
      <c r="T164">
        <f t="shared" si="134"/>
        <v>0</v>
      </c>
      <c r="U164">
        <f t="shared" si="135"/>
        <v>29.87</v>
      </c>
      <c r="V164">
        <f t="shared" si="136"/>
        <v>0</v>
      </c>
      <c r="W164">
        <f t="shared" si="137"/>
        <v>0</v>
      </c>
      <c r="X164">
        <f t="shared" si="138"/>
        <v>4780.63</v>
      </c>
      <c r="Y164">
        <f t="shared" si="139"/>
        <v>682.95</v>
      </c>
      <c r="AA164">
        <v>71209905</v>
      </c>
      <c r="AB164">
        <f t="shared" si="140"/>
        <v>23966.9</v>
      </c>
      <c r="AC164">
        <f t="shared" si="141"/>
        <v>20488.849999999999</v>
      </c>
      <c r="AD164">
        <f t="shared" si="142"/>
        <v>1123.06</v>
      </c>
      <c r="AE164">
        <f t="shared" si="143"/>
        <v>471.72</v>
      </c>
      <c r="AF164">
        <f t="shared" si="143"/>
        <v>2354.9899999999998</v>
      </c>
      <c r="AG164">
        <f t="shared" si="144"/>
        <v>0</v>
      </c>
      <c r="AH164">
        <f t="shared" si="145"/>
        <v>10.3</v>
      </c>
      <c r="AI164">
        <f t="shared" si="145"/>
        <v>0</v>
      </c>
      <c r="AJ164">
        <f t="shared" si="146"/>
        <v>0</v>
      </c>
      <c r="AK164">
        <v>23966.9</v>
      </c>
      <c r="AL164">
        <v>20488.849999999999</v>
      </c>
      <c r="AM164">
        <v>1123.06</v>
      </c>
      <c r="AN164">
        <v>471.72</v>
      </c>
      <c r="AO164">
        <v>2354.9899999999998</v>
      </c>
      <c r="AP164">
        <v>0</v>
      </c>
      <c r="AQ164">
        <v>10.3</v>
      </c>
      <c r="AR164">
        <v>0</v>
      </c>
      <c r="AS164">
        <v>0</v>
      </c>
      <c r="AT164">
        <v>70</v>
      </c>
      <c r="AU164">
        <v>10</v>
      </c>
      <c r="AV164">
        <v>1</v>
      </c>
      <c r="AW164">
        <v>1</v>
      </c>
      <c r="AZ164">
        <v>1</v>
      </c>
      <c r="BA164">
        <v>1</v>
      </c>
      <c r="BB164">
        <v>1</v>
      </c>
      <c r="BC164">
        <v>1</v>
      </c>
      <c r="BD164" t="s">
        <v>3</v>
      </c>
      <c r="BE164" t="s">
        <v>3</v>
      </c>
      <c r="BF164" t="s">
        <v>3</v>
      </c>
      <c r="BG164" t="s">
        <v>3</v>
      </c>
      <c r="BH164">
        <v>0</v>
      </c>
      <c r="BI164">
        <v>4</v>
      </c>
      <c r="BJ164" t="s">
        <v>262</v>
      </c>
      <c r="BM164">
        <v>0</v>
      </c>
      <c r="BN164">
        <v>0</v>
      </c>
      <c r="BO164" t="s">
        <v>3</v>
      </c>
      <c r="BP164">
        <v>0</v>
      </c>
      <c r="BQ164">
        <v>1</v>
      </c>
      <c r="BR164">
        <v>0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 t="s">
        <v>3</v>
      </c>
      <c r="BZ164">
        <v>70</v>
      </c>
      <c r="CA164">
        <v>10</v>
      </c>
      <c r="CE164">
        <v>0</v>
      </c>
      <c r="CF164">
        <v>0</v>
      </c>
      <c r="CG164">
        <v>0</v>
      </c>
      <c r="CM164">
        <v>0</v>
      </c>
      <c r="CN164" t="s">
        <v>3</v>
      </c>
      <c r="CO164">
        <v>0</v>
      </c>
      <c r="CP164">
        <f t="shared" si="147"/>
        <v>69504.009999999995</v>
      </c>
      <c r="CQ164">
        <f t="shared" si="148"/>
        <v>20488.849999999999</v>
      </c>
      <c r="CR164">
        <f t="shared" si="149"/>
        <v>1123.06</v>
      </c>
      <c r="CS164">
        <f t="shared" si="150"/>
        <v>471.72</v>
      </c>
      <c r="CT164">
        <f t="shared" si="151"/>
        <v>2354.9899999999998</v>
      </c>
      <c r="CU164">
        <f t="shared" si="152"/>
        <v>0</v>
      </c>
      <c r="CV164">
        <f t="shared" si="153"/>
        <v>10.3</v>
      </c>
      <c r="CW164">
        <f t="shared" si="154"/>
        <v>0</v>
      </c>
      <c r="CX164">
        <f t="shared" si="155"/>
        <v>0</v>
      </c>
      <c r="CY164">
        <f t="shared" si="156"/>
        <v>4780.6289999999999</v>
      </c>
      <c r="CZ164">
        <f t="shared" si="157"/>
        <v>682.947</v>
      </c>
      <c r="DC164" t="s">
        <v>3</v>
      </c>
      <c r="DD164" t="s">
        <v>3</v>
      </c>
      <c r="DE164" t="s">
        <v>3</v>
      </c>
      <c r="DF164" t="s">
        <v>3</v>
      </c>
      <c r="DG164" t="s">
        <v>3</v>
      </c>
      <c r="DH164" t="s">
        <v>3</v>
      </c>
      <c r="DI164" t="s">
        <v>3</v>
      </c>
      <c r="DJ164" t="s">
        <v>3</v>
      </c>
      <c r="DK164" t="s">
        <v>3</v>
      </c>
      <c r="DL164" t="s">
        <v>3</v>
      </c>
      <c r="DM164" t="s">
        <v>3</v>
      </c>
      <c r="DN164">
        <v>0</v>
      </c>
      <c r="DO164">
        <v>0</v>
      </c>
      <c r="DP164">
        <v>1</v>
      </c>
      <c r="DQ164">
        <v>1</v>
      </c>
      <c r="DU164">
        <v>1005</v>
      </c>
      <c r="DV164" t="s">
        <v>28</v>
      </c>
      <c r="DW164" t="s">
        <v>28</v>
      </c>
      <c r="DX164">
        <v>100</v>
      </c>
      <c r="EE164">
        <v>67874524</v>
      </c>
      <c r="EF164">
        <v>1</v>
      </c>
      <c r="EG164" t="s">
        <v>20</v>
      </c>
      <c r="EH164">
        <v>0</v>
      </c>
      <c r="EI164" t="s">
        <v>3</v>
      </c>
      <c r="EJ164">
        <v>4</v>
      </c>
      <c r="EK164">
        <v>0</v>
      </c>
      <c r="EL164" t="s">
        <v>21</v>
      </c>
      <c r="EM164" t="s">
        <v>22</v>
      </c>
      <c r="EO164" t="s">
        <v>3</v>
      </c>
      <c r="EQ164">
        <v>0</v>
      </c>
      <c r="ER164">
        <v>23966.9</v>
      </c>
      <c r="ES164">
        <v>20488.849999999999</v>
      </c>
      <c r="ET164">
        <v>1123.06</v>
      </c>
      <c r="EU164">
        <v>471.72</v>
      </c>
      <c r="EV164">
        <v>2354.9899999999998</v>
      </c>
      <c r="EW164">
        <v>10.3</v>
      </c>
      <c r="EX164">
        <v>0</v>
      </c>
      <c r="EY164">
        <v>0</v>
      </c>
      <c r="FQ164">
        <v>0</v>
      </c>
      <c r="FR164">
        <f t="shared" si="158"/>
        <v>0</v>
      </c>
      <c r="FS164">
        <v>0</v>
      </c>
      <c r="FX164">
        <v>70</v>
      </c>
      <c r="FY164">
        <v>10</v>
      </c>
      <c r="GA164" t="s">
        <v>3</v>
      </c>
      <c r="GD164">
        <v>0</v>
      </c>
      <c r="GF164">
        <v>-1851323159</v>
      </c>
      <c r="GG164">
        <v>2</v>
      </c>
      <c r="GH164">
        <v>1</v>
      </c>
      <c r="GI164">
        <v>-2</v>
      </c>
      <c r="GJ164">
        <v>0</v>
      </c>
      <c r="GK164">
        <f>ROUND(R164*(R12)/100,2)</f>
        <v>1477.43</v>
      </c>
      <c r="GL164">
        <f t="shared" si="159"/>
        <v>0</v>
      </c>
      <c r="GM164">
        <f t="shared" si="160"/>
        <v>76445.02</v>
      </c>
      <c r="GN164">
        <f t="shared" si="161"/>
        <v>0</v>
      </c>
      <c r="GO164">
        <f t="shared" si="162"/>
        <v>0</v>
      </c>
      <c r="GP164">
        <f t="shared" si="163"/>
        <v>76445.02</v>
      </c>
      <c r="GR164">
        <v>0</v>
      </c>
      <c r="GS164">
        <v>3</v>
      </c>
      <c r="GT164">
        <v>0</v>
      </c>
      <c r="GU164" t="s">
        <v>3</v>
      </c>
      <c r="GV164">
        <f t="shared" si="164"/>
        <v>0</v>
      </c>
      <c r="GW164">
        <v>1</v>
      </c>
      <c r="GX164">
        <f t="shared" si="165"/>
        <v>0</v>
      </c>
      <c r="HA164">
        <v>0</v>
      </c>
      <c r="HB164">
        <v>0</v>
      </c>
      <c r="HC164">
        <f t="shared" si="166"/>
        <v>0</v>
      </c>
      <c r="IK164">
        <v>0</v>
      </c>
    </row>
    <row r="165" spans="1:245" x14ac:dyDescent="0.2">
      <c r="A165">
        <v>18</v>
      </c>
      <c r="B165">
        <v>1</v>
      </c>
      <c r="C165">
        <v>31</v>
      </c>
      <c r="E165" t="s">
        <v>263</v>
      </c>
      <c r="F165" t="s">
        <v>264</v>
      </c>
      <c r="G165" t="s">
        <v>265</v>
      </c>
      <c r="H165" t="s">
        <v>35</v>
      </c>
      <c r="I165">
        <f>I164*J165</f>
        <v>-20.706</v>
      </c>
      <c r="J165">
        <v>-7.14</v>
      </c>
      <c r="O165">
        <f t="shared" si="129"/>
        <v>-54913.14</v>
      </c>
      <c r="P165">
        <f t="shared" si="130"/>
        <v>-54913.14</v>
      </c>
      <c r="Q165">
        <f t="shared" si="131"/>
        <v>0</v>
      </c>
      <c r="R165">
        <f t="shared" si="132"/>
        <v>0</v>
      </c>
      <c r="S165">
        <f t="shared" si="133"/>
        <v>0</v>
      </c>
      <c r="T165">
        <f t="shared" si="134"/>
        <v>0</v>
      </c>
      <c r="U165">
        <f t="shared" si="135"/>
        <v>0</v>
      </c>
      <c r="V165">
        <f t="shared" si="136"/>
        <v>0</v>
      </c>
      <c r="W165">
        <f t="shared" si="137"/>
        <v>0</v>
      </c>
      <c r="X165">
        <f t="shared" si="138"/>
        <v>0</v>
      </c>
      <c r="Y165">
        <f t="shared" si="139"/>
        <v>0</v>
      </c>
      <c r="AA165">
        <v>71209905</v>
      </c>
      <c r="AB165">
        <f t="shared" si="140"/>
        <v>2652.04</v>
      </c>
      <c r="AC165">
        <f t="shared" si="141"/>
        <v>2652.04</v>
      </c>
      <c r="AD165">
        <f t="shared" si="142"/>
        <v>0</v>
      </c>
      <c r="AE165">
        <f t="shared" si="143"/>
        <v>0</v>
      </c>
      <c r="AF165">
        <f t="shared" si="143"/>
        <v>0</v>
      </c>
      <c r="AG165">
        <f t="shared" si="144"/>
        <v>0</v>
      </c>
      <c r="AH165">
        <f t="shared" si="145"/>
        <v>0</v>
      </c>
      <c r="AI165">
        <f t="shared" si="145"/>
        <v>0</v>
      </c>
      <c r="AJ165">
        <f t="shared" si="146"/>
        <v>0</v>
      </c>
      <c r="AK165">
        <v>2652.04</v>
      </c>
      <c r="AL165">
        <v>2652.04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70</v>
      </c>
      <c r="AU165">
        <v>10</v>
      </c>
      <c r="AV165">
        <v>1</v>
      </c>
      <c r="AW165">
        <v>1</v>
      </c>
      <c r="AZ165">
        <v>1</v>
      </c>
      <c r="BA165">
        <v>1</v>
      </c>
      <c r="BB165">
        <v>1</v>
      </c>
      <c r="BC165">
        <v>1</v>
      </c>
      <c r="BD165" t="s">
        <v>3</v>
      </c>
      <c r="BE165" t="s">
        <v>3</v>
      </c>
      <c r="BF165" t="s">
        <v>3</v>
      </c>
      <c r="BG165" t="s">
        <v>3</v>
      </c>
      <c r="BH165">
        <v>3</v>
      </c>
      <c r="BI165">
        <v>4</v>
      </c>
      <c r="BJ165" t="s">
        <v>266</v>
      </c>
      <c r="BM165">
        <v>0</v>
      </c>
      <c r="BN165">
        <v>0</v>
      </c>
      <c r="BO165" t="s">
        <v>3</v>
      </c>
      <c r="BP165">
        <v>0</v>
      </c>
      <c r="BQ165">
        <v>1</v>
      </c>
      <c r="BR165">
        <v>0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 t="s">
        <v>3</v>
      </c>
      <c r="BZ165">
        <v>70</v>
      </c>
      <c r="CA165">
        <v>10</v>
      </c>
      <c r="CE165">
        <v>0</v>
      </c>
      <c r="CF165">
        <v>0</v>
      </c>
      <c r="CG165">
        <v>0</v>
      </c>
      <c r="CM165">
        <v>0</v>
      </c>
      <c r="CN165" t="s">
        <v>3</v>
      </c>
      <c r="CO165">
        <v>0</v>
      </c>
      <c r="CP165">
        <f t="shared" si="147"/>
        <v>-54913.14</v>
      </c>
      <c r="CQ165">
        <f t="shared" si="148"/>
        <v>2652.04</v>
      </c>
      <c r="CR165">
        <f t="shared" si="149"/>
        <v>0</v>
      </c>
      <c r="CS165">
        <f t="shared" si="150"/>
        <v>0</v>
      </c>
      <c r="CT165">
        <f t="shared" si="151"/>
        <v>0</v>
      </c>
      <c r="CU165">
        <f t="shared" si="152"/>
        <v>0</v>
      </c>
      <c r="CV165">
        <f t="shared" si="153"/>
        <v>0</v>
      </c>
      <c r="CW165">
        <f t="shared" si="154"/>
        <v>0</v>
      </c>
      <c r="CX165">
        <f t="shared" si="155"/>
        <v>0</v>
      </c>
      <c r="CY165">
        <f t="shared" si="156"/>
        <v>0</v>
      </c>
      <c r="CZ165">
        <f t="shared" si="157"/>
        <v>0</v>
      </c>
      <c r="DC165" t="s">
        <v>3</v>
      </c>
      <c r="DD165" t="s">
        <v>3</v>
      </c>
      <c r="DE165" t="s">
        <v>3</v>
      </c>
      <c r="DF165" t="s">
        <v>3</v>
      </c>
      <c r="DG165" t="s">
        <v>3</v>
      </c>
      <c r="DH165" t="s">
        <v>3</v>
      </c>
      <c r="DI165" t="s">
        <v>3</v>
      </c>
      <c r="DJ165" t="s">
        <v>3</v>
      </c>
      <c r="DK165" t="s">
        <v>3</v>
      </c>
      <c r="DL165" t="s">
        <v>3</v>
      </c>
      <c r="DM165" t="s">
        <v>3</v>
      </c>
      <c r="DN165">
        <v>0</v>
      </c>
      <c r="DO165">
        <v>0</v>
      </c>
      <c r="DP165">
        <v>1</v>
      </c>
      <c r="DQ165">
        <v>1</v>
      </c>
      <c r="DU165">
        <v>1009</v>
      </c>
      <c r="DV165" t="s">
        <v>35</v>
      </c>
      <c r="DW165" t="s">
        <v>35</v>
      </c>
      <c r="DX165">
        <v>1000</v>
      </c>
      <c r="EE165">
        <v>67874524</v>
      </c>
      <c r="EF165">
        <v>1</v>
      </c>
      <c r="EG165" t="s">
        <v>20</v>
      </c>
      <c r="EH165">
        <v>0</v>
      </c>
      <c r="EI165" t="s">
        <v>3</v>
      </c>
      <c r="EJ165">
        <v>4</v>
      </c>
      <c r="EK165">
        <v>0</v>
      </c>
      <c r="EL165" t="s">
        <v>21</v>
      </c>
      <c r="EM165" t="s">
        <v>22</v>
      </c>
      <c r="EO165" t="s">
        <v>3</v>
      </c>
      <c r="EQ165">
        <v>0</v>
      </c>
      <c r="ER165">
        <v>2652.04</v>
      </c>
      <c r="ES165">
        <v>2652.04</v>
      </c>
      <c r="ET165">
        <v>0</v>
      </c>
      <c r="EU165">
        <v>0</v>
      </c>
      <c r="EV165">
        <v>0</v>
      </c>
      <c r="EW165">
        <v>0</v>
      </c>
      <c r="EX165">
        <v>0</v>
      </c>
      <c r="FQ165">
        <v>0</v>
      </c>
      <c r="FR165">
        <f t="shared" si="158"/>
        <v>0</v>
      </c>
      <c r="FS165">
        <v>0</v>
      </c>
      <c r="FX165">
        <v>70</v>
      </c>
      <c r="FY165">
        <v>10</v>
      </c>
      <c r="GA165" t="s">
        <v>3</v>
      </c>
      <c r="GD165">
        <v>0</v>
      </c>
      <c r="GF165">
        <v>-740831190</v>
      </c>
      <c r="GG165">
        <v>2</v>
      </c>
      <c r="GH165">
        <v>1</v>
      </c>
      <c r="GI165">
        <v>-2</v>
      </c>
      <c r="GJ165">
        <v>0</v>
      </c>
      <c r="GK165">
        <f>ROUND(R165*(R12)/100,2)</f>
        <v>0</v>
      </c>
      <c r="GL165">
        <f t="shared" si="159"/>
        <v>0</v>
      </c>
      <c r="GM165">
        <f t="shared" si="160"/>
        <v>-54913.14</v>
      </c>
      <c r="GN165">
        <f t="shared" si="161"/>
        <v>0</v>
      </c>
      <c r="GO165">
        <f t="shared" si="162"/>
        <v>0</v>
      </c>
      <c r="GP165">
        <f t="shared" si="163"/>
        <v>-54913.14</v>
      </c>
      <c r="GR165">
        <v>0</v>
      </c>
      <c r="GS165">
        <v>3</v>
      </c>
      <c r="GT165">
        <v>0</v>
      </c>
      <c r="GU165" t="s">
        <v>3</v>
      </c>
      <c r="GV165">
        <f t="shared" si="164"/>
        <v>0</v>
      </c>
      <c r="GW165">
        <v>1</v>
      </c>
      <c r="GX165">
        <f t="shared" si="165"/>
        <v>0</v>
      </c>
      <c r="HA165">
        <v>0</v>
      </c>
      <c r="HB165">
        <v>0</v>
      </c>
      <c r="HC165">
        <f t="shared" si="166"/>
        <v>0</v>
      </c>
      <c r="IK165">
        <v>0</v>
      </c>
    </row>
    <row r="166" spans="1:245" x14ac:dyDescent="0.2">
      <c r="A166">
        <v>18</v>
      </c>
      <c r="B166">
        <v>1</v>
      </c>
      <c r="C166">
        <v>32</v>
      </c>
      <c r="E166" t="s">
        <v>267</v>
      </c>
      <c r="F166" t="s">
        <v>264</v>
      </c>
      <c r="G166" t="s">
        <v>268</v>
      </c>
      <c r="H166" t="s">
        <v>35</v>
      </c>
      <c r="I166">
        <f>I164*J166</f>
        <v>34.51</v>
      </c>
      <c r="J166">
        <v>11.9</v>
      </c>
      <c r="O166">
        <f t="shared" si="129"/>
        <v>91521.9</v>
      </c>
      <c r="P166">
        <f t="shared" si="130"/>
        <v>91521.9</v>
      </c>
      <c r="Q166">
        <f t="shared" si="131"/>
        <v>0</v>
      </c>
      <c r="R166">
        <f t="shared" si="132"/>
        <v>0</v>
      </c>
      <c r="S166">
        <f t="shared" si="133"/>
        <v>0</v>
      </c>
      <c r="T166">
        <f t="shared" si="134"/>
        <v>0</v>
      </c>
      <c r="U166">
        <f t="shared" si="135"/>
        <v>0</v>
      </c>
      <c r="V166">
        <f t="shared" si="136"/>
        <v>0</v>
      </c>
      <c r="W166">
        <f t="shared" si="137"/>
        <v>0</v>
      </c>
      <c r="X166">
        <f t="shared" si="138"/>
        <v>0</v>
      </c>
      <c r="Y166">
        <f t="shared" si="139"/>
        <v>0</v>
      </c>
      <c r="AA166">
        <v>71209905</v>
      </c>
      <c r="AB166">
        <f t="shared" si="140"/>
        <v>2652.04</v>
      </c>
      <c r="AC166">
        <f t="shared" si="141"/>
        <v>2652.04</v>
      </c>
      <c r="AD166">
        <f t="shared" si="142"/>
        <v>0</v>
      </c>
      <c r="AE166">
        <f t="shared" si="143"/>
        <v>0</v>
      </c>
      <c r="AF166">
        <f t="shared" si="143"/>
        <v>0</v>
      </c>
      <c r="AG166">
        <f t="shared" si="144"/>
        <v>0</v>
      </c>
      <c r="AH166">
        <f t="shared" si="145"/>
        <v>0</v>
      </c>
      <c r="AI166">
        <f t="shared" si="145"/>
        <v>0</v>
      </c>
      <c r="AJ166">
        <f t="shared" si="146"/>
        <v>0</v>
      </c>
      <c r="AK166">
        <v>2652.04</v>
      </c>
      <c r="AL166">
        <v>2652.04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70</v>
      </c>
      <c r="AU166">
        <v>10</v>
      </c>
      <c r="AV166">
        <v>1</v>
      </c>
      <c r="AW166">
        <v>1</v>
      </c>
      <c r="AZ166">
        <v>1</v>
      </c>
      <c r="BA166">
        <v>1</v>
      </c>
      <c r="BB166">
        <v>1</v>
      </c>
      <c r="BC166">
        <v>1</v>
      </c>
      <c r="BD166" t="s">
        <v>3</v>
      </c>
      <c r="BE166" t="s">
        <v>3</v>
      </c>
      <c r="BF166" t="s">
        <v>3</v>
      </c>
      <c r="BG166" t="s">
        <v>3</v>
      </c>
      <c r="BH166">
        <v>3</v>
      </c>
      <c r="BI166">
        <v>4</v>
      </c>
      <c r="BJ166" t="s">
        <v>266</v>
      </c>
      <c r="BM166">
        <v>0</v>
      </c>
      <c r="BN166">
        <v>0</v>
      </c>
      <c r="BO166" t="s">
        <v>3</v>
      </c>
      <c r="BP166">
        <v>0</v>
      </c>
      <c r="BQ166">
        <v>1</v>
      </c>
      <c r="BR166">
        <v>0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 t="s">
        <v>3</v>
      </c>
      <c r="BZ166">
        <v>70</v>
      </c>
      <c r="CA166">
        <v>10</v>
      </c>
      <c r="CE166">
        <v>0</v>
      </c>
      <c r="CF166">
        <v>0</v>
      </c>
      <c r="CG166">
        <v>0</v>
      </c>
      <c r="CM166">
        <v>0</v>
      </c>
      <c r="CN166" t="s">
        <v>3</v>
      </c>
      <c r="CO166">
        <v>0</v>
      </c>
      <c r="CP166">
        <f t="shared" si="147"/>
        <v>91521.9</v>
      </c>
      <c r="CQ166">
        <f t="shared" si="148"/>
        <v>2652.04</v>
      </c>
      <c r="CR166">
        <f t="shared" si="149"/>
        <v>0</v>
      </c>
      <c r="CS166">
        <f t="shared" si="150"/>
        <v>0</v>
      </c>
      <c r="CT166">
        <f t="shared" si="151"/>
        <v>0</v>
      </c>
      <c r="CU166">
        <f t="shared" si="152"/>
        <v>0</v>
      </c>
      <c r="CV166">
        <f t="shared" si="153"/>
        <v>0</v>
      </c>
      <c r="CW166">
        <f t="shared" si="154"/>
        <v>0</v>
      </c>
      <c r="CX166">
        <f t="shared" si="155"/>
        <v>0</v>
      </c>
      <c r="CY166">
        <f t="shared" si="156"/>
        <v>0</v>
      </c>
      <c r="CZ166">
        <f t="shared" si="157"/>
        <v>0</v>
      </c>
      <c r="DC166" t="s">
        <v>3</v>
      </c>
      <c r="DD166" t="s">
        <v>3</v>
      </c>
      <c r="DE166" t="s">
        <v>3</v>
      </c>
      <c r="DF166" t="s">
        <v>3</v>
      </c>
      <c r="DG166" t="s">
        <v>3</v>
      </c>
      <c r="DH166" t="s">
        <v>3</v>
      </c>
      <c r="DI166" t="s">
        <v>3</v>
      </c>
      <c r="DJ166" t="s">
        <v>3</v>
      </c>
      <c r="DK166" t="s">
        <v>3</v>
      </c>
      <c r="DL166" t="s">
        <v>3</v>
      </c>
      <c r="DM166" t="s">
        <v>3</v>
      </c>
      <c r="DN166">
        <v>0</v>
      </c>
      <c r="DO166">
        <v>0</v>
      </c>
      <c r="DP166">
        <v>1</v>
      </c>
      <c r="DQ166">
        <v>1</v>
      </c>
      <c r="DU166">
        <v>1009</v>
      </c>
      <c r="DV166" t="s">
        <v>35</v>
      </c>
      <c r="DW166" t="s">
        <v>35</v>
      </c>
      <c r="DX166">
        <v>1000</v>
      </c>
      <c r="EE166">
        <v>67874524</v>
      </c>
      <c r="EF166">
        <v>1</v>
      </c>
      <c r="EG166" t="s">
        <v>20</v>
      </c>
      <c r="EH166">
        <v>0</v>
      </c>
      <c r="EI166" t="s">
        <v>3</v>
      </c>
      <c r="EJ166">
        <v>4</v>
      </c>
      <c r="EK166">
        <v>0</v>
      </c>
      <c r="EL166" t="s">
        <v>21</v>
      </c>
      <c r="EM166" t="s">
        <v>22</v>
      </c>
      <c r="EO166" t="s">
        <v>3</v>
      </c>
      <c r="EQ166">
        <v>0</v>
      </c>
      <c r="ER166">
        <v>2652.04</v>
      </c>
      <c r="ES166">
        <v>2652.04</v>
      </c>
      <c r="ET166">
        <v>0</v>
      </c>
      <c r="EU166">
        <v>0</v>
      </c>
      <c r="EV166">
        <v>0</v>
      </c>
      <c r="EW166">
        <v>0</v>
      </c>
      <c r="EX166">
        <v>0</v>
      </c>
      <c r="FQ166">
        <v>0</v>
      </c>
      <c r="FR166">
        <f t="shared" si="158"/>
        <v>0</v>
      </c>
      <c r="FS166">
        <v>0</v>
      </c>
      <c r="FX166">
        <v>70</v>
      </c>
      <c r="FY166">
        <v>10</v>
      </c>
      <c r="GA166" t="s">
        <v>3</v>
      </c>
      <c r="GD166">
        <v>0</v>
      </c>
      <c r="GF166">
        <v>1697094267</v>
      </c>
      <c r="GG166">
        <v>2</v>
      </c>
      <c r="GH166">
        <v>1</v>
      </c>
      <c r="GI166">
        <v>-2</v>
      </c>
      <c r="GJ166">
        <v>0</v>
      </c>
      <c r="GK166">
        <f>ROUND(R166*(R12)/100,2)</f>
        <v>0</v>
      </c>
      <c r="GL166">
        <f t="shared" si="159"/>
        <v>0</v>
      </c>
      <c r="GM166">
        <f t="shared" si="160"/>
        <v>91521.9</v>
      </c>
      <c r="GN166">
        <f t="shared" si="161"/>
        <v>0</v>
      </c>
      <c r="GO166">
        <f t="shared" si="162"/>
        <v>0</v>
      </c>
      <c r="GP166">
        <f t="shared" si="163"/>
        <v>91521.9</v>
      </c>
      <c r="GR166">
        <v>0</v>
      </c>
      <c r="GS166">
        <v>3</v>
      </c>
      <c r="GT166">
        <v>0</v>
      </c>
      <c r="GU166" t="s">
        <v>3</v>
      </c>
      <c r="GV166">
        <f t="shared" si="164"/>
        <v>0</v>
      </c>
      <c r="GW166">
        <v>1</v>
      </c>
      <c r="GX166">
        <f t="shared" si="165"/>
        <v>0</v>
      </c>
      <c r="HA166">
        <v>0</v>
      </c>
      <c r="HB166">
        <v>0</v>
      </c>
      <c r="HC166">
        <f t="shared" si="166"/>
        <v>0</v>
      </c>
      <c r="IK166">
        <v>0</v>
      </c>
    </row>
    <row r="167" spans="1:245" x14ac:dyDescent="0.2">
      <c r="A167">
        <v>17</v>
      </c>
      <c r="B167">
        <v>1</v>
      </c>
      <c r="C167">
        <f>ROW(SmtRes!A33)</f>
        <v>33</v>
      </c>
      <c r="D167">
        <f>ROW(EtalonRes!A279)</f>
        <v>279</v>
      </c>
      <c r="E167" t="s">
        <v>269</v>
      </c>
      <c r="F167" t="s">
        <v>270</v>
      </c>
      <c r="G167" t="s">
        <v>271</v>
      </c>
      <c r="H167" t="s">
        <v>28</v>
      </c>
      <c r="I167">
        <f>ROUND(I164,9)</f>
        <v>2.9</v>
      </c>
      <c r="J167">
        <v>0</v>
      </c>
      <c r="O167">
        <f t="shared" si="129"/>
        <v>316255.15999999997</v>
      </c>
      <c r="P167">
        <f t="shared" si="130"/>
        <v>296842.90000000002</v>
      </c>
      <c r="Q167">
        <f t="shared" si="131"/>
        <v>7590.03</v>
      </c>
      <c r="R167">
        <f t="shared" si="132"/>
        <v>5984.03</v>
      </c>
      <c r="S167">
        <f t="shared" si="133"/>
        <v>11822.23</v>
      </c>
      <c r="T167">
        <f t="shared" si="134"/>
        <v>0</v>
      </c>
      <c r="U167">
        <f t="shared" si="135"/>
        <v>53.475999999999999</v>
      </c>
      <c r="V167">
        <f t="shared" si="136"/>
        <v>0</v>
      </c>
      <c r="W167">
        <f t="shared" si="137"/>
        <v>0</v>
      </c>
      <c r="X167">
        <f t="shared" si="138"/>
        <v>8275.56</v>
      </c>
      <c r="Y167">
        <f t="shared" si="139"/>
        <v>1182.22</v>
      </c>
      <c r="AA167">
        <v>71209905</v>
      </c>
      <c r="AB167">
        <f t="shared" si="140"/>
        <v>109053.5</v>
      </c>
      <c r="AC167">
        <f t="shared" si="141"/>
        <v>102359.62</v>
      </c>
      <c r="AD167">
        <f t="shared" si="142"/>
        <v>2617.25</v>
      </c>
      <c r="AE167">
        <f t="shared" si="143"/>
        <v>2063.46</v>
      </c>
      <c r="AF167">
        <f t="shared" si="143"/>
        <v>4076.63</v>
      </c>
      <c r="AG167">
        <f t="shared" si="144"/>
        <v>0</v>
      </c>
      <c r="AH167">
        <f t="shared" si="145"/>
        <v>18.440000000000001</v>
      </c>
      <c r="AI167">
        <f t="shared" si="145"/>
        <v>0</v>
      </c>
      <c r="AJ167">
        <f t="shared" si="146"/>
        <v>0</v>
      </c>
      <c r="AK167">
        <v>109053.5</v>
      </c>
      <c r="AL167">
        <v>102359.62</v>
      </c>
      <c r="AM167">
        <v>2617.25</v>
      </c>
      <c r="AN167">
        <v>2063.46</v>
      </c>
      <c r="AO167">
        <v>4076.63</v>
      </c>
      <c r="AP167">
        <v>0</v>
      </c>
      <c r="AQ167">
        <v>18.440000000000001</v>
      </c>
      <c r="AR167">
        <v>0</v>
      </c>
      <c r="AS167">
        <v>0</v>
      </c>
      <c r="AT167">
        <v>70</v>
      </c>
      <c r="AU167">
        <v>10</v>
      </c>
      <c r="AV167">
        <v>1</v>
      </c>
      <c r="AW167">
        <v>1</v>
      </c>
      <c r="AZ167">
        <v>1</v>
      </c>
      <c r="BA167">
        <v>1</v>
      </c>
      <c r="BB167">
        <v>1</v>
      </c>
      <c r="BC167">
        <v>1</v>
      </c>
      <c r="BD167" t="s">
        <v>3</v>
      </c>
      <c r="BE167" t="s">
        <v>3</v>
      </c>
      <c r="BF167" t="s">
        <v>3</v>
      </c>
      <c r="BG167" t="s">
        <v>3</v>
      </c>
      <c r="BH167">
        <v>0</v>
      </c>
      <c r="BI167">
        <v>4</v>
      </c>
      <c r="BJ167" t="s">
        <v>272</v>
      </c>
      <c r="BM167">
        <v>0</v>
      </c>
      <c r="BN167">
        <v>0</v>
      </c>
      <c r="BO167" t="s">
        <v>3</v>
      </c>
      <c r="BP167">
        <v>0</v>
      </c>
      <c r="BQ167">
        <v>1</v>
      </c>
      <c r="BR167">
        <v>0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 t="s">
        <v>3</v>
      </c>
      <c r="BZ167">
        <v>70</v>
      </c>
      <c r="CA167">
        <v>10</v>
      </c>
      <c r="CE167">
        <v>0</v>
      </c>
      <c r="CF167">
        <v>0</v>
      </c>
      <c r="CG167">
        <v>0</v>
      </c>
      <c r="CM167">
        <v>0</v>
      </c>
      <c r="CN167" t="s">
        <v>3</v>
      </c>
      <c r="CO167">
        <v>0</v>
      </c>
      <c r="CP167">
        <f t="shared" si="147"/>
        <v>316255.16000000003</v>
      </c>
      <c r="CQ167">
        <f t="shared" si="148"/>
        <v>102359.62</v>
      </c>
      <c r="CR167">
        <f t="shared" si="149"/>
        <v>2617.25</v>
      </c>
      <c r="CS167">
        <f t="shared" si="150"/>
        <v>2063.46</v>
      </c>
      <c r="CT167">
        <f t="shared" si="151"/>
        <v>4076.63</v>
      </c>
      <c r="CU167">
        <f t="shared" si="152"/>
        <v>0</v>
      </c>
      <c r="CV167">
        <f t="shared" si="153"/>
        <v>18.440000000000001</v>
      </c>
      <c r="CW167">
        <f t="shared" si="154"/>
        <v>0</v>
      </c>
      <c r="CX167">
        <f t="shared" si="155"/>
        <v>0</v>
      </c>
      <c r="CY167">
        <f t="shared" si="156"/>
        <v>8275.5609999999997</v>
      </c>
      <c r="CZ167">
        <f t="shared" si="157"/>
        <v>1182.223</v>
      </c>
      <c r="DC167" t="s">
        <v>3</v>
      </c>
      <c r="DD167" t="s">
        <v>3</v>
      </c>
      <c r="DE167" t="s">
        <v>3</v>
      </c>
      <c r="DF167" t="s">
        <v>3</v>
      </c>
      <c r="DG167" t="s">
        <v>3</v>
      </c>
      <c r="DH167" t="s">
        <v>3</v>
      </c>
      <c r="DI167" t="s">
        <v>3</v>
      </c>
      <c r="DJ167" t="s">
        <v>3</v>
      </c>
      <c r="DK167" t="s">
        <v>3</v>
      </c>
      <c r="DL167" t="s">
        <v>3</v>
      </c>
      <c r="DM167" t="s">
        <v>3</v>
      </c>
      <c r="DN167">
        <v>0</v>
      </c>
      <c r="DO167">
        <v>0</v>
      </c>
      <c r="DP167">
        <v>1</v>
      </c>
      <c r="DQ167">
        <v>1</v>
      </c>
      <c r="DU167">
        <v>1005</v>
      </c>
      <c r="DV167" t="s">
        <v>28</v>
      </c>
      <c r="DW167" t="s">
        <v>28</v>
      </c>
      <c r="DX167">
        <v>100</v>
      </c>
      <c r="EE167">
        <v>67874524</v>
      </c>
      <c r="EF167">
        <v>1</v>
      </c>
      <c r="EG167" t="s">
        <v>20</v>
      </c>
      <c r="EH167">
        <v>0</v>
      </c>
      <c r="EI167" t="s">
        <v>3</v>
      </c>
      <c r="EJ167">
        <v>4</v>
      </c>
      <c r="EK167">
        <v>0</v>
      </c>
      <c r="EL167" t="s">
        <v>21</v>
      </c>
      <c r="EM167" t="s">
        <v>22</v>
      </c>
      <c r="EO167" t="s">
        <v>3</v>
      </c>
      <c r="EQ167">
        <v>0</v>
      </c>
      <c r="ER167">
        <v>109053.5</v>
      </c>
      <c r="ES167">
        <v>102359.62</v>
      </c>
      <c r="ET167">
        <v>2617.25</v>
      </c>
      <c r="EU167">
        <v>2063.46</v>
      </c>
      <c r="EV167">
        <v>4076.63</v>
      </c>
      <c r="EW167">
        <v>18.440000000000001</v>
      </c>
      <c r="EX167">
        <v>0</v>
      </c>
      <c r="EY167">
        <v>0</v>
      </c>
      <c r="FQ167">
        <v>0</v>
      </c>
      <c r="FR167">
        <f t="shared" si="158"/>
        <v>0</v>
      </c>
      <c r="FS167">
        <v>0</v>
      </c>
      <c r="FX167">
        <v>70</v>
      </c>
      <c r="FY167">
        <v>10</v>
      </c>
      <c r="GA167" t="s">
        <v>3</v>
      </c>
      <c r="GD167">
        <v>0</v>
      </c>
      <c r="GF167">
        <v>1018568157</v>
      </c>
      <c r="GG167">
        <v>2</v>
      </c>
      <c r="GH167">
        <v>1</v>
      </c>
      <c r="GI167">
        <v>-2</v>
      </c>
      <c r="GJ167">
        <v>0</v>
      </c>
      <c r="GK167">
        <f>ROUND(R167*(R12)/100,2)</f>
        <v>6462.75</v>
      </c>
      <c r="GL167">
        <f t="shared" si="159"/>
        <v>0</v>
      </c>
      <c r="GM167">
        <f t="shared" si="160"/>
        <v>332175.69</v>
      </c>
      <c r="GN167">
        <f t="shared" si="161"/>
        <v>0</v>
      </c>
      <c r="GO167">
        <f t="shared" si="162"/>
        <v>0</v>
      </c>
      <c r="GP167">
        <f t="shared" si="163"/>
        <v>332175.69</v>
      </c>
      <c r="GR167">
        <v>0</v>
      </c>
      <c r="GS167">
        <v>3</v>
      </c>
      <c r="GT167">
        <v>0</v>
      </c>
      <c r="GU167" t="s">
        <v>3</v>
      </c>
      <c r="GV167">
        <f t="shared" si="164"/>
        <v>0</v>
      </c>
      <c r="GW167">
        <v>1</v>
      </c>
      <c r="GX167">
        <f t="shared" si="165"/>
        <v>0</v>
      </c>
      <c r="HA167">
        <v>0</v>
      </c>
      <c r="HB167">
        <v>0</v>
      </c>
      <c r="HC167">
        <f t="shared" si="166"/>
        <v>0</v>
      </c>
      <c r="IK167">
        <v>0</v>
      </c>
    </row>
    <row r="168" spans="1:245" x14ac:dyDescent="0.2">
      <c r="A168">
        <v>18</v>
      </c>
      <c r="B168">
        <v>1</v>
      </c>
      <c r="C168">
        <v>33</v>
      </c>
      <c r="E168" t="s">
        <v>273</v>
      </c>
      <c r="F168" t="s">
        <v>274</v>
      </c>
      <c r="G168" t="s">
        <v>275</v>
      </c>
      <c r="H168" t="s">
        <v>35</v>
      </c>
      <c r="I168">
        <f>I167*J168</f>
        <v>-0.15225</v>
      </c>
      <c r="J168">
        <v>-5.2499999999999998E-2</v>
      </c>
      <c r="O168">
        <f t="shared" si="129"/>
        <v>-113928.62</v>
      </c>
      <c r="P168">
        <f t="shared" si="130"/>
        <v>-113928.62</v>
      </c>
      <c r="Q168">
        <f t="shared" si="131"/>
        <v>0</v>
      </c>
      <c r="R168">
        <f t="shared" si="132"/>
        <v>0</v>
      </c>
      <c r="S168">
        <f t="shared" si="133"/>
        <v>0</v>
      </c>
      <c r="T168">
        <f t="shared" si="134"/>
        <v>0</v>
      </c>
      <c r="U168">
        <f t="shared" si="135"/>
        <v>0</v>
      </c>
      <c r="V168">
        <f t="shared" si="136"/>
        <v>0</v>
      </c>
      <c r="W168">
        <f t="shared" si="137"/>
        <v>0</v>
      </c>
      <c r="X168">
        <f t="shared" si="138"/>
        <v>0</v>
      </c>
      <c r="Y168">
        <f t="shared" si="139"/>
        <v>0</v>
      </c>
      <c r="AA168">
        <v>71209905</v>
      </c>
      <c r="AB168">
        <f t="shared" si="140"/>
        <v>748299.67</v>
      </c>
      <c r="AC168">
        <f t="shared" si="141"/>
        <v>748299.67</v>
      </c>
      <c r="AD168">
        <f t="shared" si="142"/>
        <v>0</v>
      </c>
      <c r="AE168">
        <f t="shared" si="143"/>
        <v>0</v>
      </c>
      <c r="AF168">
        <f t="shared" si="143"/>
        <v>0</v>
      </c>
      <c r="AG168">
        <f t="shared" si="144"/>
        <v>0</v>
      </c>
      <c r="AH168">
        <f t="shared" si="145"/>
        <v>0</v>
      </c>
      <c r="AI168">
        <f t="shared" si="145"/>
        <v>0</v>
      </c>
      <c r="AJ168">
        <f t="shared" si="146"/>
        <v>0</v>
      </c>
      <c r="AK168">
        <v>748299.67</v>
      </c>
      <c r="AL168">
        <v>748299.67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70</v>
      </c>
      <c r="AU168">
        <v>10</v>
      </c>
      <c r="AV168">
        <v>1</v>
      </c>
      <c r="AW168">
        <v>1</v>
      </c>
      <c r="AZ168">
        <v>1</v>
      </c>
      <c r="BA168">
        <v>1</v>
      </c>
      <c r="BB168">
        <v>1</v>
      </c>
      <c r="BC168">
        <v>1</v>
      </c>
      <c r="BD168" t="s">
        <v>3</v>
      </c>
      <c r="BE168" t="s">
        <v>3</v>
      </c>
      <c r="BF168" t="s">
        <v>3</v>
      </c>
      <c r="BG168" t="s">
        <v>3</v>
      </c>
      <c r="BH168">
        <v>3</v>
      </c>
      <c r="BI168">
        <v>4</v>
      </c>
      <c r="BJ168" t="s">
        <v>276</v>
      </c>
      <c r="BM168">
        <v>0</v>
      </c>
      <c r="BN168">
        <v>0</v>
      </c>
      <c r="BO168" t="s">
        <v>3</v>
      </c>
      <c r="BP168">
        <v>0</v>
      </c>
      <c r="BQ168">
        <v>1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 t="s">
        <v>3</v>
      </c>
      <c r="BZ168">
        <v>70</v>
      </c>
      <c r="CA168">
        <v>10</v>
      </c>
      <c r="CE168">
        <v>0</v>
      </c>
      <c r="CF168">
        <v>0</v>
      </c>
      <c r="CG168">
        <v>0</v>
      </c>
      <c r="CM168">
        <v>0</v>
      </c>
      <c r="CN168" t="s">
        <v>3</v>
      </c>
      <c r="CO168">
        <v>0</v>
      </c>
      <c r="CP168">
        <f t="shared" si="147"/>
        <v>-113928.62</v>
      </c>
      <c r="CQ168">
        <f t="shared" si="148"/>
        <v>748299.67</v>
      </c>
      <c r="CR168">
        <f t="shared" si="149"/>
        <v>0</v>
      </c>
      <c r="CS168">
        <f t="shared" si="150"/>
        <v>0</v>
      </c>
      <c r="CT168">
        <f t="shared" si="151"/>
        <v>0</v>
      </c>
      <c r="CU168">
        <f t="shared" si="152"/>
        <v>0</v>
      </c>
      <c r="CV168">
        <f t="shared" si="153"/>
        <v>0</v>
      </c>
      <c r="CW168">
        <f t="shared" si="154"/>
        <v>0</v>
      </c>
      <c r="CX168">
        <f t="shared" si="155"/>
        <v>0</v>
      </c>
      <c r="CY168">
        <f t="shared" si="156"/>
        <v>0</v>
      </c>
      <c r="CZ168">
        <f t="shared" si="157"/>
        <v>0</v>
      </c>
      <c r="DC168" t="s">
        <v>3</v>
      </c>
      <c r="DD168" t="s">
        <v>3</v>
      </c>
      <c r="DE168" t="s">
        <v>3</v>
      </c>
      <c r="DF168" t="s">
        <v>3</v>
      </c>
      <c r="DG168" t="s">
        <v>3</v>
      </c>
      <c r="DH168" t="s">
        <v>3</v>
      </c>
      <c r="DI168" t="s">
        <v>3</v>
      </c>
      <c r="DJ168" t="s">
        <v>3</v>
      </c>
      <c r="DK168" t="s">
        <v>3</v>
      </c>
      <c r="DL168" t="s">
        <v>3</v>
      </c>
      <c r="DM168" t="s">
        <v>3</v>
      </c>
      <c r="DN168">
        <v>0</v>
      </c>
      <c r="DO168">
        <v>0</v>
      </c>
      <c r="DP168">
        <v>1</v>
      </c>
      <c r="DQ168">
        <v>1</v>
      </c>
      <c r="DU168">
        <v>1009</v>
      </c>
      <c r="DV168" t="s">
        <v>35</v>
      </c>
      <c r="DW168" t="s">
        <v>35</v>
      </c>
      <c r="DX168">
        <v>1000</v>
      </c>
      <c r="EE168">
        <v>67874524</v>
      </c>
      <c r="EF168">
        <v>1</v>
      </c>
      <c r="EG168" t="s">
        <v>20</v>
      </c>
      <c r="EH168">
        <v>0</v>
      </c>
      <c r="EI168" t="s">
        <v>3</v>
      </c>
      <c r="EJ168">
        <v>4</v>
      </c>
      <c r="EK168">
        <v>0</v>
      </c>
      <c r="EL168" t="s">
        <v>21</v>
      </c>
      <c r="EM168" t="s">
        <v>22</v>
      </c>
      <c r="EO168" t="s">
        <v>3</v>
      </c>
      <c r="EQ168">
        <v>0</v>
      </c>
      <c r="ER168">
        <v>748299.67</v>
      </c>
      <c r="ES168">
        <v>748299.67</v>
      </c>
      <c r="ET168">
        <v>0</v>
      </c>
      <c r="EU168">
        <v>0</v>
      </c>
      <c r="EV168">
        <v>0</v>
      </c>
      <c r="EW168">
        <v>0</v>
      </c>
      <c r="EX168">
        <v>0</v>
      </c>
      <c r="FQ168">
        <v>0</v>
      </c>
      <c r="FR168">
        <f t="shared" si="158"/>
        <v>0</v>
      </c>
      <c r="FS168">
        <v>0</v>
      </c>
      <c r="FX168">
        <v>70</v>
      </c>
      <c r="FY168">
        <v>10</v>
      </c>
      <c r="GA168" t="s">
        <v>3</v>
      </c>
      <c r="GD168">
        <v>0</v>
      </c>
      <c r="GF168">
        <v>-629368275</v>
      </c>
      <c r="GG168">
        <v>2</v>
      </c>
      <c r="GH168">
        <v>1</v>
      </c>
      <c r="GI168">
        <v>-2</v>
      </c>
      <c r="GJ168">
        <v>0</v>
      </c>
      <c r="GK168">
        <f>ROUND(R168*(R12)/100,2)</f>
        <v>0</v>
      </c>
      <c r="GL168">
        <f t="shared" si="159"/>
        <v>0</v>
      </c>
      <c r="GM168">
        <f t="shared" si="160"/>
        <v>-113928.62</v>
      </c>
      <c r="GN168">
        <f t="shared" si="161"/>
        <v>0</v>
      </c>
      <c r="GO168">
        <f t="shared" si="162"/>
        <v>0</v>
      </c>
      <c r="GP168">
        <f t="shared" si="163"/>
        <v>-113928.62</v>
      </c>
      <c r="GR168">
        <v>0</v>
      </c>
      <c r="GS168">
        <v>3</v>
      </c>
      <c r="GT168">
        <v>0</v>
      </c>
      <c r="GU168" t="s">
        <v>3</v>
      </c>
      <c r="GV168">
        <f t="shared" si="164"/>
        <v>0</v>
      </c>
      <c r="GW168">
        <v>1</v>
      </c>
      <c r="GX168">
        <f t="shared" si="165"/>
        <v>0</v>
      </c>
      <c r="HA168">
        <v>0</v>
      </c>
      <c r="HB168">
        <v>0</v>
      </c>
      <c r="HC168">
        <f t="shared" si="166"/>
        <v>0</v>
      </c>
      <c r="IK168">
        <v>0</v>
      </c>
    </row>
    <row r="169" spans="1:245" x14ac:dyDescent="0.2">
      <c r="A169">
        <v>17</v>
      </c>
      <c r="B169">
        <v>1</v>
      </c>
      <c r="C169">
        <f>ROW(SmtRes!A34)</f>
        <v>34</v>
      </c>
      <c r="D169">
        <f>ROW(EtalonRes!A285)</f>
        <v>285</v>
      </c>
      <c r="E169" t="s">
        <v>277</v>
      </c>
      <c r="F169" t="s">
        <v>278</v>
      </c>
      <c r="G169" t="s">
        <v>279</v>
      </c>
      <c r="H169" t="s">
        <v>28</v>
      </c>
      <c r="I169">
        <f>ROUND(I167,9)</f>
        <v>2.9</v>
      </c>
      <c r="J169">
        <v>0</v>
      </c>
      <c r="O169">
        <f t="shared" si="129"/>
        <v>290915.24</v>
      </c>
      <c r="P169">
        <f t="shared" si="130"/>
        <v>275030.49</v>
      </c>
      <c r="Q169">
        <f t="shared" si="131"/>
        <v>7146.47</v>
      </c>
      <c r="R169">
        <f t="shared" si="132"/>
        <v>5649.49</v>
      </c>
      <c r="S169">
        <f t="shared" si="133"/>
        <v>8738.2800000000007</v>
      </c>
      <c r="T169">
        <f t="shared" si="134"/>
        <v>0</v>
      </c>
      <c r="U169">
        <f t="shared" si="135"/>
        <v>38.424999999999997</v>
      </c>
      <c r="V169">
        <f t="shared" si="136"/>
        <v>0</v>
      </c>
      <c r="W169">
        <f t="shared" si="137"/>
        <v>0</v>
      </c>
      <c r="X169">
        <f t="shared" si="138"/>
        <v>6116.8</v>
      </c>
      <c r="Y169">
        <f t="shared" si="139"/>
        <v>873.83</v>
      </c>
      <c r="AA169">
        <v>71209905</v>
      </c>
      <c r="AB169">
        <f t="shared" si="140"/>
        <v>100315.6</v>
      </c>
      <c r="AC169">
        <f>ROUND(((ES169*5)),6)</f>
        <v>94838.1</v>
      </c>
      <c r="AD169">
        <f>ROUND(((((ET169*5))-((EU169*5)))+AE169),6)</f>
        <v>2464.3000000000002</v>
      </c>
      <c r="AE169">
        <f>ROUND(((EU169*5)),6)</f>
        <v>1948.1</v>
      </c>
      <c r="AF169">
        <f>ROUND(((EV169*5)),6)</f>
        <v>3013.2</v>
      </c>
      <c r="AG169">
        <f t="shared" si="144"/>
        <v>0</v>
      </c>
      <c r="AH169">
        <f>((EW169*5))</f>
        <v>13.25</v>
      </c>
      <c r="AI169">
        <f>((EX169*5))</f>
        <v>0</v>
      </c>
      <c r="AJ169">
        <f t="shared" si="146"/>
        <v>0</v>
      </c>
      <c r="AK169">
        <v>20063.12</v>
      </c>
      <c r="AL169">
        <v>18967.62</v>
      </c>
      <c r="AM169">
        <v>492.86</v>
      </c>
      <c r="AN169">
        <v>389.62</v>
      </c>
      <c r="AO169">
        <v>602.64</v>
      </c>
      <c r="AP169">
        <v>0</v>
      </c>
      <c r="AQ169">
        <v>2.65</v>
      </c>
      <c r="AR169">
        <v>0</v>
      </c>
      <c r="AS169">
        <v>0</v>
      </c>
      <c r="AT169">
        <v>70</v>
      </c>
      <c r="AU169">
        <v>10</v>
      </c>
      <c r="AV169">
        <v>1</v>
      </c>
      <c r="AW169">
        <v>1</v>
      </c>
      <c r="AZ169">
        <v>1</v>
      </c>
      <c r="BA169">
        <v>1</v>
      </c>
      <c r="BB169">
        <v>1</v>
      </c>
      <c r="BC169">
        <v>1</v>
      </c>
      <c r="BD169" t="s">
        <v>3</v>
      </c>
      <c r="BE169" t="s">
        <v>3</v>
      </c>
      <c r="BF169" t="s">
        <v>3</v>
      </c>
      <c r="BG169" t="s">
        <v>3</v>
      </c>
      <c r="BH169">
        <v>0</v>
      </c>
      <c r="BI169">
        <v>4</v>
      </c>
      <c r="BJ169" t="s">
        <v>280</v>
      </c>
      <c r="BM169">
        <v>0</v>
      </c>
      <c r="BN169">
        <v>0</v>
      </c>
      <c r="BO169" t="s">
        <v>3</v>
      </c>
      <c r="BP169">
        <v>0</v>
      </c>
      <c r="BQ169">
        <v>1</v>
      </c>
      <c r="BR169">
        <v>0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 t="s">
        <v>3</v>
      </c>
      <c r="BZ169">
        <v>70</v>
      </c>
      <c r="CA169">
        <v>10</v>
      </c>
      <c r="CE169">
        <v>0</v>
      </c>
      <c r="CF169">
        <v>0</v>
      </c>
      <c r="CG169">
        <v>0</v>
      </c>
      <c r="CM169">
        <v>0</v>
      </c>
      <c r="CN169" t="s">
        <v>3</v>
      </c>
      <c r="CO169">
        <v>0</v>
      </c>
      <c r="CP169">
        <f t="shared" si="147"/>
        <v>290915.24</v>
      </c>
      <c r="CQ169">
        <f t="shared" si="148"/>
        <v>94838.1</v>
      </c>
      <c r="CR169">
        <f>(((((ET169*5))*BB169-((EU169*5))*BS169)+AE169*BS169)*AV169)</f>
        <v>2464.3000000000002</v>
      </c>
      <c r="CS169">
        <f t="shared" si="150"/>
        <v>1948.1</v>
      </c>
      <c r="CT169">
        <f t="shared" si="151"/>
        <v>3013.2</v>
      </c>
      <c r="CU169">
        <f t="shared" si="152"/>
        <v>0</v>
      </c>
      <c r="CV169">
        <f t="shared" si="153"/>
        <v>13.25</v>
      </c>
      <c r="CW169">
        <f t="shared" si="154"/>
        <v>0</v>
      </c>
      <c r="CX169">
        <f t="shared" si="155"/>
        <v>0</v>
      </c>
      <c r="CY169">
        <f t="shared" si="156"/>
        <v>6116.7960000000012</v>
      </c>
      <c r="CZ169">
        <f t="shared" si="157"/>
        <v>873.82799999999997</v>
      </c>
      <c r="DC169" t="s">
        <v>3</v>
      </c>
      <c r="DD169" t="s">
        <v>281</v>
      </c>
      <c r="DE169" t="s">
        <v>281</v>
      </c>
      <c r="DF169" t="s">
        <v>281</v>
      </c>
      <c r="DG169" t="s">
        <v>281</v>
      </c>
      <c r="DH169" t="s">
        <v>3</v>
      </c>
      <c r="DI169" t="s">
        <v>281</v>
      </c>
      <c r="DJ169" t="s">
        <v>281</v>
      </c>
      <c r="DK169" t="s">
        <v>3</v>
      </c>
      <c r="DL169" t="s">
        <v>3</v>
      </c>
      <c r="DM169" t="s">
        <v>3</v>
      </c>
      <c r="DN169">
        <v>0</v>
      </c>
      <c r="DO169">
        <v>0</v>
      </c>
      <c r="DP169">
        <v>1</v>
      </c>
      <c r="DQ169">
        <v>1</v>
      </c>
      <c r="DU169">
        <v>1005</v>
      </c>
      <c r="DV169" t="s">
        <v>28</v>
      </c>
      <c r="DW169" t="s">
        <v>28</v>
      </c>
      <c r="DX169">
        <v>100</v>
      </c>
      <c r="EE169">
        <v>67874524</v>
      </c>
      <c r="EF169">
        <v>1</v>
      </c>
      <c r="EG169" t="s">
        <v>20</v>
      </c>
      <c r="EH169">
        <v>0</v>
      </c>
      <c r="EI169" t="s">
        <v>3</v>
      </c>
      <c r="EJ169">
        <v>4</v>
      </c>
      <c r="EK169">
        <v>0</v>
      </c>
      <c r="EL169" t="s">
        <v>21</v>
      </c>
      <c r="EM169" t="s">
        <v>22</v>
      </c>
      <c r="EO169" t="s">
        <v>3</v>
      </c>
      <c r="EQ169">
        <v>0</v>
      </c>
      <c r="ER169">
        <v>20063.12</v>
      </c>
      <c r="ES169">
        <v>18967.62</v>
      </c>
      <c r="ET169">
        <v>492.86</v>
      </c>
      <c r="EU169">
        <v>389.62</v>
      </c>
      <c r="EV169">
        <v>602.64</v>
      </c>
      <c r="EW169">
        <v>2.65</v>
      </c>
      <c r="EX169">
        <v>0</v>
      </c>
      <c r="EY169">
        <v>0</v>
      </c>
      <c r="FQ169">
        <v>0</v>
      </c>
      <c r="FR169">
        <f t="shared" si="158"/>
        <v>0</v>
      </c>
      <c r="FS169">
        <v>0</v>
      </c>
      <c r="FX169">
        <v>70</v>
      </c>
      <c r="FY169">
        <v>10</v>
      </c>
      <c r="GA169" t="s">
        <v>3</v>
      </c>
      <c r="GD169">
        <v>0</v>
      </c>
      <c r="GF169">
        <v>1233351830</v>
      </c>
      <c r="GG169">
        <v>2</v>
      </c>
      <c r="GH169">
        <v>1</v>
      </c>
      <c r="GI169">
        <v>-2</v>
      </c>
      <c r="GJ169">
        <v>0</v>
      </c>
      <c r="GK169">
        <f>ROUND(R169*(R12)/100,2)</f>
        <v>6101.45</v>
      </c>
      <c r="GL169">
        <f t="shared" si="159"/>
        <v>0</v>
      </c>
      <c r="GM169">
        <f t="shared" si="160"/>
        <v>304007.32</v>
      </c>
      <c r="GN169">
        <f t="shared" si="161"/>
        <v>0</v>
      </c>
      <c r="GO169">
        <f t="shared" si="162"/>
        <v>0</v>
      </c>
      <c r="GP169">
        <f t="shared" si="163"/>
        <v>304007.32</v>
      </c>
      <c r="GR169">
        <v>0</v>
      </c>
      <c r="GS169">
        <v>3</v>
      </c>
      <c r="GT169">
        <v>0</v>
      </c>
      <c r="GU169" t="s">
        <v>3</v>
      </c>
      <c r="GV169">
        <f t="shared" si="164"/>
        <v>0</v>
      </c>
      <c r="GW169">
        <v>1</v>
      </c>
      <c r="GX169">
        <f t="shared" si="165"/>
        <v>0</v>
      </c>
      <c r="HA169">
        <v>0</v>
      </c>
      <c r="HB169">
        <v>0</v>
      </c>
      <c r="HC169">
        <f t="shared" si="166"/>
        <v>0</v>
      </c>
      <c r="IK169">
        <v>0</v>
      </c>
    </row>
    <row r="170" spans="1:245" x14ac:dyDescent="0.2">
      <c r="A170">
        <v>18</v>
      </c>
      <c r="B170">
        <v>1</v>
      </c>
      <c r="C170">
        <v>34</v>
      </c>
      <c r="E170" t="s">
        <v>282</v>
      </c>
      <c r="F170" t="s">
        <v>274</v>
      </c>
      <c r="G170" t="s">
        <v>275</v>
      </c>
      <c r="H170" t="s">
        <v>35</v>
      </c>
      <c r="I170">
        <f>I169*J170</f>
        <v>-0.30449999999999999</v>
      </c>
      <c r="J170">
        <v>-0.105</v>
      </c>
      <c r="O170">
        <f t="shared" si="129"/>
        <v>-227857.25</v>
      </c>
      <c r="P170">
        <f t="shared" si="130"/>
        <v>-227857.25</v>
      </c>
      <c r="Q170">
        <f t="shared" si="131"/>
        <v>0</v>
      </c>
      <c r="R170">
        <f t="shared" si="132"/>
        <v>0</v>
      </c>
      <c r="S170">
        <f t="shared" si="133"/>
        <v>0</v>
      </c>
      <c r="T170">
        <f t="shared" si="134"/>
        <v>0</v>
      </c>
      <c r="U170">
        <f t="shared" si="135"/>
        <v>0</v>
      </c>
      <c r="V170">
        <f t="shared" si="136"/>
        <v>0</v>
      </c>
      <c r="W170">
        <f t="shared" si="137"/>
        <v>0</v>
      </c>
      <c r="X170">
        <f t="shared" si="138"/>
        <v>0</v>
      </c>
      <c r="Y170">
        <f t="shared" si="139"/>
        <v>0</v>
      </c>
      <c r="AA170">
        <v>71209905</v>
      </c>
      <c r="AB170">
        <f t="shared" si="140"/>
        <v>748299.67</v>
      </c>
      <c r="AC170">
        <f>ROUND((ES170),6)</f>
        <v>748299.67</v>
      </c>
      <c r="AD170">
        <f>ROUND((((ET170)-(EU170))+AE170),6)</f>
        <v>0</v>
      </c>
      <c r="AE170">
        <f>ROUND((EU170),6)</f>
        <v>0</v>
      </c>
      <c r="AF170">
        <f>ROUND((EV170),6)</f>
        <v>0</v>
      </c>
      <c r="AG170">
        <f t="shared" si="144"/>
        <v>0</v>
      </c>
      <c r="AH170">
        <f>(EW170)</f>
        <v>0</v>
      </c>
      <c r="AI170">
        <f>(EX170)</f>
        <v>0</v>
      </c>
      <c r="AJ170">
        <f t="shared" si="146"/>
        <v>0</v>
      </c>
      <c r="AK170">
        <v>748299.67</v>
      </c>
      <c r="AL170">
        <v>748299.67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70</v>
      </c>
      <c r="AU170">
        <v>10</v>
      </c>
      <c r="AV170">
        <v>1</v>
      </c>
      <c r="AW170">
        <v>1</v>
      </c>
      <c r="AZ170">
        <v>1</v>
      </c>
      <c r="BA170">
        <v>1</v>
      </c>
      <c r="BB170">
        <v>1</v>
      </c>
      <c r="BC170">
        <v>1</v>
      </c>
      <c r="BD170" t="s">
        <v>3</v>
      </c>
      <c r="BE170" t="s">
        <v>3</v>
      </c>
      <c r="BF170" t="s">
        <v>3</v>
      </c>
      <c r="BG170" t="s">
        <v>3</v>
      </c>
      <c r="BH170">
        <v>3</v>
      </c>
      <c r="BI170">
        <v>4</v>
      </c>
      <c r="BJ170" t="s">
        <v>276</v>
      </c>
      <c r="BM170">
        <v>0</v>
      </c>
      <c r="BN170">
        <v>0</v>
      </c>
      <c r="BO170" t="s">
        <v>3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 t="s">
        <v>3</v>
      </c>
      <c r="BZ170">
        <v>70</v>
      </c>
      <c r="CA170">
        <v>10</v>
      </c>
      <c r="CE170">
        <v>0</v>
      </c>
      <c r="CF170">
        <v>0</v>
      </c>
      <c r="CG170">
        <v>0</v>
      </c>
      <c r="CM170">
        <v>0</v>
      </c>
      <c r="CN170" t="s">
        <v>3</v>
      </c>
      <c r="CO170">
        <v>0</v>
      </c>
      <c r="CP170">
        <f t="shared" si="147"/>
        <v>-227857.25</v>
      </c>
      <c r="CQ170">
        <f t="shared" si="148"/>
        <v>748299.67</v>
      </c>
      <c r="CR170">
        <f>((((ET170)*BB170-(EU170)*BS170)+AE170*BS170)*AV170)</f>
        <v>0</v>
      </c>
      <c r="CS170">
        <f t="shared" si="150"/>
        <v>0</v>
      </c>
      <c r="CT170">
        <f t="shared" si="151"/>
        <v>0</v>
      </c>
      <c r="CU170">
        <f t="shared" si="152"/>
        <v>0</v>
      </c>
      <c r="CV170">
        <f t="shared" si="153"/>
        <v>0</v>
      </c>
      <c r="CW170">
        <f t="shared" si="154"/>
        <v>0</v>
      </c>
      <c r="CX170">
        <f t="shared" si="155"/>
        <v>0</v>
      </c>
      <c r="CY170">
        <f t="shared" si="156"/>
        <v>0</v>
      </c>
      <c r="CZ170">
        <f t="shared" si="157"/>
        <v>0</v>
      </c>
      <c r="DC170" t="s">
        <v>3</v>
      </c>
      <c r="DD170" t="s">
        <v>3</v>
      </c>
      <c r="DE170" t="s">
        <v>3</v>
      </c>
      <c r="DF170" t="s">
        <v>3</v>
      </c>
      <c r="DG170" t="s">
        <v>3</v>
      </c>
      <c r="DH170" t="s">
        <v>3</v>
      </c>
      <c r="DI170" t="s">
        <v>3</v>
      </c>
      <c r="DJ170" t="s">
        <v>3</v>
      </c>
      <c r="DK170" t="s">
        <v>3</v>
      </c>
      <c r="DL170" t="s">
        <v>3</v>
      </c>
      <c r="DM170" t="s">
        <v>3</v>
      </c>
      <c r="DN170">
        <v>0</v>
      </c>
      <c r="DO170">
        <v>0</v>
      </c>
      <c r="DP170">
        <v>1</v>
      </c>
      <c r="DQ170">
        <v>1</v>
      </c>
      <c r="DU170">
        <v>1009</v>
      </c>
      <c r="DV170" t="s">
        <v>35</v>
      </c>
      <c r="DW170" t="s">
        <v>35</v>
      </c>
      <c r="DX170">
        <v>1000</v>
      </c>
      <c r="EE170">
        <v>67874524</v>
      </c>
      <c r="EF170">
        <v>1</v>
      </c>
      <c r="EG170" t="s">
        <v>20</v>
      </c>
      <c r="EH170">
        <v>0</v>
      </c>
      <c r="EI170" t="s">
        <v>3</v>
      </c>
      <c r="EJ170">
        <v>4</v>
      </c>
      <c r="EK170">
        <v>0</v>
      </c>
      <c r="EL170" t="s">
        <v>21</v>
      </c>
      <c r="EM170" t="s">
        <v>22</v>
      </c>
      <c r="EO170" t="s">
        <v>3</v>
      </c>
      <c r="EQ170">
        <v>0</v>
      </c>
      <c r="ER170">
        <v>748299.67</v>
      </c>
      <c r="ES170">
        <v>748299.67</v>
      </c>
      <c r="ET170">
        <v>0</v>
      </c>
      <c r="EU170">
        <v>0</v>
      </c>
      <c r="EV170">
        <v>0</v>
      </c>
      <c r="EW170">
        <v>0</v>
      </c>
      <c r="EX170">
        <v>0</v>
      </c>
      <c r="FQ170">
        <v>0</v>
      </c>
      <c r="FR170">
        <f t="shared" si="158"/>
        <v>0</v>
      </c>
      <c r="FS170">
        <v>0</v>
      </c>
      <c r="FX170">
        <v>70</v>
      </c>
      <c r="FY170">
        <v>10</v>
      </c>
      <c r="GA170" t="s">
        <v>3</v>
      </c>
      <c r="GD170">
        <v>0</v>
      </c>
      <c r="GF170">
        <v>-629368275</v>
      </c>
      <c r="GG170">
        <v>2</v>
      </c>
      <c r="GH170">
        <v>1</v>
      </c>
      <c r="GI170">
        <v>-2</v>
      </c>
      <c r="GJ170">
        <v>0</v>
      </c>
      <c r="GK170">
        <f>ROUND(R170*(R12)/100,2)</f>
        <v>0</v>
      </c>
      <c r="GL170">
        <f t="shared" si="159"/>
        <v>0</v>
      </c>
      <c r="GM170">
        <f t="shared" si="160"/>
        <v>-227857.25</v>
      </c>
      <c r="GN170">
        <f t="shared" si="161"/>
        <v>0</v>
      </c>
      <c r="GO170">
        <f t="shared" si="162"/>
        <v>0</v>
      </c>
      <c r="GP170">
        <f t="shared" si="163"/>
        <v>-227857.25</v>
      </c>
      <c r="GR170">
        <v>0</v>
      </c>
      <c r="GS170">
        <v>3</v>
      </c>
      <c r="GT170">
        <v>0</v>
      </c>
      <c r="GU170" t="s">
        <v>3</v>
      </c>
      <c r="GV170">
        <f t="shared" si="164"/>
        <v>0</v>
      </c>
      <c r="GW170">
        <v>1</v>
      </c>
      <c r="GX170">
        <f t="shared" si="165"/>
        <v>0</v>
      </c>
      <c r="HA170">
        <v>0</v>
      </c>
      <c r="HB170">
        <v>0</v>
      </c>
      <c r="HC170">
        <f t="shared" si="166"/>
        <v>0</v>
      </c>
      <c r="IK170">
        <v>0</v>
      </c>
    </row>
    <row r="171" spans="1:245" x14ac:dyDescent="0.2">
      <c r="A171">
        <v>17</v>
      </c>
      <c r="B171">
        <v>1</v>
      </c>
      <c r="C171">
        <f>ROW(SmtRes!A36)</f>
        <v>36</v>
      </c>
      <c r="D171">
        <f>ROW(EtalonRes!A291)</f>
        <v>291</v>
      </c>
      <c r="E171" t="s">
        <v>283</v>
      </c>
      <c r="F171" t="s">
        <v>278</v>
      </c>
      <c r="G171" t="s">
        <v>284</v>
      </c>
      <c r="H171" t="s">
        <v>28</v>
      </c>
      <c r="I171">
        <f>ROUND(I169,9)</f>
        <v>2.9</v>
      </c>
      <c r="J171">
        <v>0</v>
      </c>
      <c r="O171">
        <f t="shared" si="129"/>
        <v>290915.24</v>
      </c>
      <c r="P171">
        <f t="shared" si="130"/>
        <v>275030.49</v>
      </c>
      <c r="Q171">
        <f t="shared" si="131"/>
        <v>7146.47</v>
      </c>
      <c r="R171">
        <f t="shared" si="132"/>
        <v>5649.49</v>
      </c>
      <c r="S171">
        <f t="shared" si="133"/>
        <v>8738.2800000000007</v>
      </c>
      <c r="T171">
        <f t="shared" si="134"/>
        <v>0</v>
      </c>
      <c r="U171">
        <f t="shared" si="135"/>
        <v>38.424999999999997</v>
      </c>
      <c r="V171">
        <f t="shared" si="136"/>
        <v>0</v>
      </c>
      <c r="W171">
        <f t="shared" si="137"/>
        <v>0</v>
      </c>
      <c r="X171">
        <f t="shared" si="138"/>
        <v>6116.8</v>
      </c>
      <c r="Y171">
        <f t="shared" si="139"/>
        <v>873.83</v>
      </c>
      <c r="AA171">
        <v>71209905</v>
      </c>
      <c r="AB171">
        <f t="shared" si="140"/>
        <v>100315.6</v>
      </c>
      <c r="AC171">
        <f>ROUND(((ES171*5)),6)</f>
        <v>94838.1</v>
      </c>
      <c r="AD171">
        <f>ROUND(((((ET171*5))-((EU171*5)))+AE171),6)</f>
        <v>2464.3000000000002</v>
      </c>
      <c r="AE171">
        <f>ROUND(((EU171*5)),6)</f>
        <v>1948.1</v>
      </c>
      <c r="AF171">
        <f>ROUND(((EV171*5)),6)</f>
        <v>3013.2</v>
      </c>
      <c r="AG171">
        <f t="shared" si="144"/>
        <v>0</v>
      </c>
      <c r="AH171">
        <f>((EW171*5))</f>
        <v>13.25</v>
      </c>
      <c r="AI171">
        <f>((EX171*5))</f>
        <v>0</v>
      </c>
      <c r="AJ171">
        <f t="shared" si="146"/>
        <v>0</v>
      </c>
      <c r="AK171">
        <v>20063.12</v>
      </c>
      <c r="AL171">
        <v>18967.62</v>
      </c>
      <c r="AM171">
        <v>492.86</v>
      </c>
      <c r="AN171">
        <v>389.62</v>
      </c>
      <c r="AO171">
        <v>602.64</v>
      </c>
      <c r="AP171">
        <v>0</v>
      </c>
      <c r="AQ171">
        <v>2.65</v>
      </c>
      <c r="AR171">
        <v>0</v>
      </c>
      <c r="AS171">
        <v>0</v>
      </c>
      <c r="AT171">
        <v>70</v>
      </c>
      <c r="AU171">
        <v>10</v>
      </c>
      <c r="AV171">
        <v>1</v>
      </c>
      <c r="AW171">
        <v>1</v>
      </c>
      <c r="AZ171">
        <v>1</v>
      </c>
      <c r="BA171">
        <v>1</v>
      </c>
      <c r="BB171">
        <v>1</v>
      </c>
      <c r="BC171">
        <v>1</v>
      </c>
      <c r="BD171" t="s">
        <v>3</v>
      </c>
      <c r="BE171" t="s">
        <v>3</v>
      </c>
      <c r="BF171" t="s">
        <v>3</v>
      </c>
      <c r="BG171" t="s">
        <v>3</v>
      </c>
      <c r="BH171">
        <v>0</v>
      </c>
      <c r="BI171">
        <v>4</v>
      </c>
      <c r="BJ171" t="s">
        <v>280</v>
      </c>
      <c r="BM171">
        <v>0</v>
      </c>
      <c r="BN171">
        <v>0</v>
      </c>
      <c r="BO171" t="s">
        <v>3</v>
      </c>
      <c r="BP171">
        <v>0</v>
      </c>
      <c r="BQ171">
        <v>1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 t="s">
        <v>3</v>
      </c>
      <c r="BZ171">
        <v>70</v>
      </c>
      <c r="CA171">
        <v>10</v>
      </c>
      <c r="CE171">
        <v>0</v>
      </c>
      <c r="CF171">
        <v>0</v>
      </c>
      <c r="CG171">
        <v>0</v>
      </c>
      <c r="CM171">
        <v>0</v>
      </c>
      <c r="CN171" t="s">
        <v>3</v>
      </c>
      <c r="CO171">
        <v>0</v>
      </c>
      <c r="CP171">
        <f t="shared" si="147"/>
        <v>290915.24</v>
      </c>
      <c r="CQ171">
        <f t="shared" si="148"/>
        <v>94838.1</v>
      </c>
      <c r="CR171">
        <f>(((((ET171*5))*BB171-((EU171*5))*BS171)+AE171*BS171)*AV171)</f>
        <v>2464.3000000000002</v>
      </c>
      <c r="CS171">
        <f t="shared" si="150"/>
        <v>1948.1</v>
      </c>
      <c r="CT171">
        <f t="shared" si="151"/>
        <v>3013.2</v>
      </c>
      <c r="CU171">
        <f t="shared" si="152"/>
        <v>0</v>
      </c>
      <c r="CV171">
        <f t="shared" si="153"/>
        <v>13.25</v>
      </c>
      <c r="CW171">
        <f t="shared" si="154"/>
        <v>0</v>
      </c>
      <c r="CX171">
        <f t="shared" si="155"/>
        <v>0</v>
      </c>
      <c r="CY171">
        <f t="shared" si="156"/>
        <v>6116.7960000000012</v>
      </c>
      <c r="CZ171">
        <f t="shared" si="157"/>
        <v>873.82799999999997</v>
      </c>
      <c r="DC171" t="s">
        <v>3</v>
      </c>
      <c r="DD171" t="s">
        <v>281</v>
      </c>
      <c r="DE171" t="s">
        <v>281</v>
      </c>
      <c r="DF171" t="s">
        <v>281</v>
      </c>
      <c r="DG171" t="s">
        <v>281</v>
      </c>
      <c r="DH171" t="s">
        <v>3</v>
      </c>
      <c r="DI171" t="s">
        <v>281</v>
      </c>
      <c r="DJ171" t="s">
        <v>281</v>
      </c>
      <c r="DK171" t="s">
        <v>3</v>
      </c>
      <c r="DL171" t="s">
        <v>3</v>
      </c>
      <c r="DM171" t="s">
        <v>3</v>
      </c>
      <c r="DN171">
        <v>0</v>
      </c>
      <c r="DO171">
        <v>0</v>
      </c>
      <c r="DP171">
        <v>1</v>
      </c>
      <c r="DQ171">
        <v>1</v>
      </c>
      <c r="DU171">
        <v>1005</v>
      </c>
      <c r="DV171" t="s">
        <v>28</v>
      </c>
      <c r="DW171" t="s">
        <v>28</v>
      </c>
      <c r="DX171">
        <v>100</v>
      </c>
      <c r="EE171">
        <v>67874524</v>
      </c>
      <c r="EF171">
        <v>1</v>
      </c>
      <c r="EG171" t="s">
        <v>20</v>
      </c>
      <c r="EH171">
        <v>0</v>
      </c>
      <c r="EI171" t="s">
        <v>3</v>
      </c>
      <c r="EJ171">
        <v>4</v>
      </c>
      <c r="EK171">
        <v>0</v>
      </c>
      <c r="EL171" t="s">
        <v>21</v>
      </c>
      <c r="EM171" t="s">
        <v>22</v>
      </c>
      <c r="EO171" t="s">
        <v>3</v>
      </c>
      <c r="EQ171">
        <v>0</v>
      </c>
      <c r="ER171">
        <v>20063.12</v>
      </c>
      <c r="ES171">
        <v>18967.62</v>
      </c>
      <c r="ET171">
        <v>492.86</v>
      </c>
      <c r="EU171">
        <v>389.62</v>
      </c>
      <c r="EV171">
        <v>602.64</v>
      </c>
      <c r="EW171">
        <v>2.65</v>
      </c>
      <c r="EX171">
        <v>0</v>
      </c>
      <c r="EY171">
        <v>0</v>
      </c>
      <c r="FQ171">
        <v>0</v>
      </c>
      <c r="FR171">
        <f t="shared" si="158"/>
        <v>0</v>
      </c>
      <c r="FS171">
        <v>0</v>
      </c>
      <c r="FX171">
        <v>70</v>
      </c>
      <c r="FY171">
        <v>10</v>
      </c>
      <c r="GA171" t="s">
        <v>3</v>
      </c>
      <c r="GD171">
        <v>0</v>
      </c>
      <c r="GF171">
        <v>-1688781637</v>
      </c>
      <c r="GG171">
        <v>2</v>
      </c>
      <c r="GH171">
        <v>1</v>
      </c>
      <c r="GI171">
        <v>-2</v>
      </c>
      <c r="GJ171">
        <v>0</v>
      </c>
      <c r="GK171">
        <f>ROUND(R171*(R12)/100,2)</f>
        <v>6101.45</v>
      </c>
      <c r="GL171">
        <f t="shared" si="159"/>
        <v>0</v>
      </c>
      <c r="GM171">
        <f t="shared" si="160"/>
        <v>304007.32</v>
      </c>
      <c r="GN171">
        <f t="shared" si="161"/>
        <v>0</v>
      </c>
      <c r="GO171">
        <f t="shared" si="162"/>
        <v>0</v>
      </c>
      <c r="GP171">
        <f t="shared" si="163"/>
        <v>304007.32</v>
      </c>
      <c r="GR171">
        <v>0</v>
      </c>
      <c r="GS171">
        <v>3</v>
      </c>
      <c r="GT171">
        <v>0</v>
      </c>
      <c r="GU171" t="s">
        <v>3</v>
      </c>
      <c r="GV171">
        <f t="shared" si="164"/>
        <v>0</v>
      </c>
      <c r="GW171">
        <v>1</v>
      </c>
      <c r="GX171">
        <f t="shared" si="165"/>
        <v>0</v>
      </c>
      <c r="HA171">
        <v>0</v>
      </c>
      <c r="HB171">
        <v>0</v>
      </c>
      <c r="HC171">
        <f t="shared" si="166"/>
        <v>0</v>
      </c>
      <c r="IK171">
        <v>0</v>
      </c>
    </row>
    <row r="172" spans="1:245" x14ac:dyDescent="0.2">
      <c r="A172">
        <v>18</v>
      </c>
      <c r="B172">
        <v>1</v>
      </c>
      <c r="C172">
        <v>35</v>
      </c>
      <c r="E172" t="s">
        <v>285</v>
      </c>
      <c r="F172" t="s">
        <v>286</v>
      </c>
      <c r="G172" t="s">
        <v>287</v>
      </c>
      <c r="H172" t="s">
        <v>288</v>
      </c>
      <c r="I172">
        <f>I171*J172</f>
        <v>0</v>
      </c>
      <c r="J172">
        <v>0</v>
      </c>
      <c r="O172">
        <f t="shared" si="129"/>
        <v>0</v>
      </c>
      <c r="P172">
        <f t="shared" si="130"/>
        <v>0</v>
      </c>
      <c r="Q172">
        <f t="shared" si="131"/>
        <v>0</v>
      </c>
      <c r="R172">
        <f t="shared" si="132"/>
        <v>0</v>
      </c>
      <c r="S172">
        <f t="shared" si="133"/>
        <v>0</v>
      </c>
      <c r="T172">
        <f t="shared" si="134"/>
        <v>0</v>
      </c>
      <c r="U172">
        <f t="shared" si="135"/>
        <v>0</v>
      </c>
      <c r="V172">
        <f t="shared" si="136"/>
        <v>0</v>
      </c>
      <c r="W172">
        <f t="shared" si="137"/>
        <v>0</v>
      </c>
      <c r="X172">
        <f t="shared" si="138"/>
        <v>0</v>
      </c>
      <c r="Y172">
        <f t="shared" si="139"/>
        <v>0</v>
      </c>
      <c r="AA172">
        <v>71209905</v>
      </c>
      <c r="AB172">
        <f t="shared" si="140"/>
        <v>17.77</v>
      </c>
      <c r="AC172">
        <f>ROUND((ES172),6)</f>
        <v>17.77</v>
      </c>
      <c r="AD172">
        <f>ROUND((((ET172)-(EU172))+AE172),6)</f>
        <v>0</v>
      </c>
      <c r="AE172">
        <f>ROUND((EU172),6)</f>
        <v>0</v>
      </c>
      <c r="AF172">
        <f>ROUND((EV172),6)</f>
        <v>0</v>
      </c>
      <c r="AG172">
        <f t="shared" si="144"/>
        <v>0</v>
      </c>
      <c r="AH172">
        <f>(EW172)</f>
        <v>0</v>
      </c>
      <c r="AI172">
        <f>(EX172)</f>
        <v>0</v>
      </c>
      <c r="AJ172">
        <f t="shared" si="146"/>
        <v>0</v>
      </c>
      <c r="AK172">
        <v>17.77</v>
      </c>
      <c r="AL172">
        <v>17.77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70</v>
      </c>
      <c r="AU172">
        <v>10</v>
      </c>
      <c r="AV172">
        <v>1</v>
      </c>
      <c r="AW172">
        <v>1</v>
      </c>
      <c r="AZ172">
        <v>1</v>
      </c>
      <c r="BA172">
        <v>1</v>
      </c>
      <c r="BB172">
        <v>1</v>
      </c>
      <c r="BC172">
        <v>1</v>
      </c>
      <c r="BD172" t="s">
        <v>3</v>
      </c>
      <c r="BE172" t="s">
        <v>3</v>
      </c>
      <c r="BF172" t="s">
        <v>3</v>
      </c>
      <c r="BG172" t="s">
        <v>3</v>
      </c>
      <c r="BH172">
        <v>3</v>
      </c>
      <c r="BI172">
        <v>4</v>
      </c>
      <c r="BJ172" t="s">
        <v>289</v>
      </c>
      <c r="BM172">
        <v>0</v>
      </c>
      <c r="BN172">
        <v>0</v>
      </c>
      <c r="BO172" t="s">
        <v>3</v>
      </c>
      <c r="BP172">
        <v>0</v>
      </c>
      <c r="BQ172">
        <v>1</v>
      </c>
      <c r="BR172">
        <v>0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 t="s">
        <v>3</v>
      </c>
      <c r="BZ172">
        <v>70</v>
      </c>
      <c r="CA172">
        <v>10</v>
      </c>
      <c r="CE172">
        <v>0</v>
      </c>
      <c r="CF172">
        <v>0</v>
      </c>
      <c r="CG172">
        <v>0</v>
      </c>
      <c r="CM172">
        <v>0</v>
      </c>
      <c r="CN172" t="s">
        <v>3</v>
      </c>
      <c r="CO172">
        <v>0</v>
      </c>
      <c r="CP172">
        <f t="shared" si="147"/>
        <v>0</v>
      </c>
      <c r="CQ172">
        <f t="shared" si="148"/>
        <v>17.77</v>
      </c>
      <c r="CR172">
        <f>((((ET172)*BB172-(EU172)*BS172)+AE172*BS172)*AV172)</f>
        <v>0</v>
      </c>
      <c r="CS172">
        <f t="shared" si="150"/>
        <v>0</v>
      </c>
      <c r="CT172">
        <f t="shared" si="151"/>
        <v>0</v>
      </c>
      <c r="CU172">
        <f t="shared" si="152"/>
        <v>0</v>
      </c>
      <c r="CV172">
        <f t="shared" si="153"/>
        <v>0</v>
      </c>
      <c r="CW172">
        <f t="shared" si="154"/>
        <v>0</v>
      </c>
      <c r="CX172">
        <f t="shared" si="155"/>
        <v>0</v>
      </c>
      <c r="CY172">
        <f t="shared" si="156"/>
        <v>0</v>
      </c>
      <c r="CZ172">
        <f t="shared" si="157"/>
        <v>0</v>
      </c>
      <c r="DC172" t="s">
        <v>3</v>
      </c>
      <c r="DD172" t="s">
        <v>3</v>
      </c>
      <c r="DE172" t="s">
        <v>3</v>
      </c>
      <c r="DF172" t="s">
        <v>3</v>
      </c>
      <c r="DG172" t="s">
        <v>3</v>
      </c>
      <c r="DH172" t="s">
        <v>3</v>
      </c>
      <c r="DI172" t="s">
        <v>3</v>
      </c>
      <c r="DJ172" t="s">
        <v>3</v>
      </c>
      <c r="DK172" t="s">
        <v>3</v>
      </c>
      <c r="DL172" t="s">
        <v>3</v>
      </c>
      <c r="DM172" t="s">
        <v>3</v>
      </c>
      <c r="DN172">
        <v>0</v>
      </c>
      <c r="DO172">
        <v>0</v>
      </c>
      <c r="DP172">
        <v>1</v>
      </c>
      <c r="DQ172">
        <v>1</v>
      </c>
      <c r="DU172">
        <v>1009</v>
      </c>
      <c r="DV172" t="s">
        <v>288</v>
      </c>
      <c r="DW172" t="s">
        <v>288</v>
      </c>
      <c r="DX172">
        <v>1</v>
      </c>
      <c r="EE172">
        <v>67874524</v>
      </c>
      <c r="EF172">
        <v>1</v>
      </c>
      <c r="EG172" t="s">
        <v>20</v>
      </c>
      <c r="EH172">
        <v>0</v>
      </c>
      <c r="EI172" t="s">
        <v>3</v>
      </c>
      <c r="EJ172">
        <v>4</v>
      </c>
      <c r="EK172">
        <v>0</v>
      </c>
      <c r="EL172" t="s">
        <v>21</v>
      </c>
      <c r="EM172" t="s">
        <v>22</v>
      </c>
      <c r="EO172" t="s">
        <v>3</v>
      </c>
      <c r="EQ172">
        <v>0</v>
      </c>
      <c r="ER172">
        <v>17.77</v>
      </c>
      <c r="ES172">
        <v>17.77</v>
      </c>
      <c r="ET172">
        <v>0</v>
      </c>
      <c r="EU172">
        <v>0</v>
      </c>
      <c r="EV172">
        <v>0</v>
      </c>
      <c r="EW172">
        <v>0</v>
      </c>
      <c r="EX172">
        <v>0</v>
      </c>
      <c r="FQ172">
        <v>0</v>
      </c>
      <c r="FR172">
        <f t="shared" si="158"/>
        <v>0</v>
      </c>
      <c r="FS172">
        <v>0</v>
      </c>
      <c r="FX172">
        <v>70</v>
      </c>
      <c r="FY172">
        <v>10</v>
      </c>
      <c r="GA172" t="s">
        <v>3</v>
      </c>
      <c r="GD172">
        <v>0</v>
      </c>
      <c r="GF172">
        <v>-78256104</v>
      </c>
      <c r="GG172">
        <v>2</v>
      </c>
      <c r="GH172">
        <v>1</v>
      </c>
      <c r="GI172">
        <v>-2</v>
      </c>
      <c r="GJ172">
        <v>0</v>
      </c>
      <c r="GK172">
        <f>ROUND(R172*(R12)/100,2)</f>
        <v>0</v>
      </c>
      <c r="GL172">
        <f t="shared" si="159"/>
        <v>0</v>
      </c>
      <c r="GM172">
        <f t="shared" si="160"/>
        <v>0</v>
      </c>
      <c r="GN172">
        <f t="shared" si="161"/>
        <v>0</v>
      </c>
      <c r="GO172">
        <f t="shared" si="162"/>
        <v>0</v>
      </c>
      <c r="GP172">
        <f t="shared" si="163"/>
        <v>0</v>
      </c>
      <c r="GR172">
        <v>0</v>
      </c>
      <c r="GS172">
        <v>3</v>
      </c>
      <c r="GT172">
        <v>0</v>
      </c>
      <c r="GU172" t="s">
        <v>3</v>
      </c>
      <c r="GV172">
        <f t="shared" si="164"/>
        <v>0</v>
      </c>
      <c r="GW172">
        <v>1</v>
      </c>
      <c r="GX172">
        <f t="shared" si="165"/>
        <v>0</v>
      </c>
      <c r="HA172">
        <v>0</v>
      </c>
      <c r="HB172">
        <v>0</v>
      </c>
      <c r="HC172">
        <f t="shared" si="166"/>
        <v>0</v>
      </c>
      <c r="IK172">
        <v>0</v>
      </c>
    </row>
    <row r="173" spans="1:245" x14ac:dyDescent="0.2">
      <c r="A173">
        <v>18</v>
      </c>
      <c r="B173">
        <v>1</v>
      </c>
      <c r="C173">
        <v>36</v>
      </c>
      <c r="E173" t="s">
        <v>290</v>
      </c>
      <c r="F173" t="s">
        <v>291</v>
      </c>
      <c r="G173" t="s">
        <v>292</v>
      </c>
      <c r="H173" t="s">
        <v>288</v>
      </c>
      <c r="I173">
        <f>I171*J173</f>
        <v>0</v>
      </c>
      <c r="J173">
        <v>0</v>
      </c>
      <c r="O173">
        <f t="shared" si="129"/>
        <v>0</v>
      </c>
      <c r="P173">
        <f t="shared" si="130"/>
        <v>0</v>
      </c>
      <c r="Q173">
        <f t="shared" si="131"/>
        <v>0</v>
      </c>
      <c r="R173">
        <f t="shared" si="132"/>
        <v>0</v>
      </c>
      <c r="S173">
        <f t="shared" si="133"/>
        <v>0</v>
      </c>
      <c r="T173">
        <f t="shared" si="134"/>
        <v>0</v>
      </c>
      <c r="U173">
        <f t="shared" si="135"/>
        <v>0</v>
      </c>
      <c r="V173">
        <f t="shared" si="136"/>
        <v>0</v>
      </c>
      <c r="W173">
        <f t="shared" si="137"/>
        <v>0</v>
      </c>
      <c r="X173">
        <f t="shared" si="138"/>
        <v>0</v>
      </c>
      <c r="Y173">
        <f t="shared" si="139"/>
        <v>0</v>
      </c>
      <c r="AA173">
        <v>71209905</v>
      </c>
      <c r="AB173">
        <f t="shared" si="140"/>
        <v>94.72</v>
      </c>
      <c r="AC173">
        <f>ROUND((ES173),6)</f>
        <v>94.72</v>
      </c>
      <c r="AD173">
        <f>ROUND((((ET173)-(EU173))+AE173),6)</f>
        <v>0</v>
      </c>
      <c r="AE173">
        <f>ROUND((EU173),6)</f>
        <v>0</v>
      </c>
      <c r="AF173">
        <f>ROUND((EV173),6)</f>
        <v>0</v>
      </c>
      <c r="AG173">
        <f t="shared" si="144"/>
        <v>0</v>
      </c>
      <c r="AH173">
        <f>(EW173)</f>
        <v>0</v>
      </c>
      <c r="AI173">
        <f>(EX173)</f>
        <v>0</v>
      </c>
      <c r="AJ173">
        <f t="shared" si="146"/>
        <v>0</v>
      </c>
      <c r="AK173">
        <v>94.72</v>
      </c>
      <c r="AL173">
        <v>94.72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70</v>
      </c>
      <c r="AU173">
        <v>10</v>
      </c>
      <c r="AV173">
        <v>1</v>
      </c>
      <c r="AW173">
        <v>1</v>
      </c>
      <c r="AZ173">
        <v>1</v>
      </c>
      <c r="BA173">
        <v>1</v>
      </c>
      <c r="BB173">
        <v>1</v>
      </c>
      <c r="BC173">
        <v>1</v>
      </c>
      <c r="BD173" t="s">
        <v>3</v>
      </c>
      <c r="BE173" t="s">
        <v>3</v>
      </c>
      <c r="BF173" t="s">
        <v>3</v>
      </c>
      <c r="BG173" t="s">
        <v>3</v>
      </c>
      <c r="BH173">
        <v>3</v>
      </c>
      <c r="BI173">
        <v>4</v>
      </c>
      <c r="BJ173" t="s">
        <v>293</v>
      </c>
      <c r="BM173">
        <v>0</v>
      </c>
      <c r="BN173">
        <v>0</v>
      </c>
      <c r="BO173" t="s">
        <v>3</v>
      </c>
      <c r="BP173">
        <v>0</v>
      </c>
      <c r="BQ173">
        <v>1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 t="s">
        <v>3</v>
      </c>
      <c r="BZ173">
        <v>70</v>
      </c>
      <c r="CA173">
        <v>10</v>
      </c>
      <c r="CE173">
        <v>0</v>
      </c>
      <c r="CF173">
        <v>0</v>
      </c>
      <c r="CG173">
        <v>0</v>
      </c>
      <c r="CM173">
        <v>0</v>
      </c>
      <c r="CN173" t="s">
        <v>3</v>
      </c>
      <c r="CO173">
        <v>0</v>
      </c>
      <c r="CP173">
        <f t="shared" si="147"/>
        <v>0</v>
      </c>
      <c r="CQ173">
        <f t="shared" si="148"/>
        <v>94.72</v>
      </c>
      <c r="CR173">
        <f>((((ET173)*BB173-(EU173)*BS173)+AE173*BS173)*AV173)</f>
        <v>0</v>
      </c>
      <c r="CS173">
        <f t="shared" si="150"/>
        <v>0</v>
      </c>
      <c r="CT173">
        <f t="shared" si="151"/>
        <v>0</v>
      </c>
      <c r="CU173">
        <f t="shared" si="152"/>
        <v>0</v>
      </c>
      <c r="CV173">
        <f t="shared" si="153"/>
        <v>0</v>
      </c>
      <c r="CW173">
        <f t="shared" si="154"/>
        <v>0</v>
      </c>
      <c r="CX173">
        <f t="shared" si="155"/>
        <v>0</v>
      </c>
      <c r="CY173">
        <f t="shared" si="156"/>
        <v>0</v>
      </c>
      <c r="CZ173">
        <f t="shared" si="157"/>
        <v>0</v>
      </c>
      <c r="DC173" t="s">
        <v>3</v>
      </c>
      <c r="DD173" t="s">
        <v>3</v>
      </c>
      <c r="DE173" t="s">
        <v>3</v>
      </c>
      <c r="DF173" t="s">
        <v>3</v>
      </c>
      <c r="DG173" t="s">
        <v>3</v>
      </c>
      <c r="DH173" t="s">
        <v>3</v>
      </c>
      <c r="DI173" t="s">
        <v>3</v>
      </c>
      <c r="DJ173" t="s">
        <v>3</v>
      </c>
      <c r="DK173" t="s">
        <v>3</v>
      </c>
      <c r="DL173" t="s">
        <v>3</v>
      </c>
      <c r="DM173" t="s">
        <v>3</v>
      </c>
      <c r="DN173">
        <v>0</v>
      </c>
      <c r="DO173">
        <v>0</v>
      </c>
      <c r="DP173">
        <v>1</v>
      </c>
      <c r="DQ173">
        <v>1</v>
      </c>
      <c r="DU173">
        <v>1009</v>
      </c>
      <c r="DV173" t="s">
        <v>288</v>
      </c>
      <c r="DW173" t="s">
        <v>288</v>
      </c>
      <c r="DX173">
        <v>1</v>
      </c>
      <c r="EE173">
        <v>67874524</v>
      </c>
      <c r="EF173">
        <v>1</v>
      </c>
      <c r="EG173" t="s">
        <v>20</v>
      </c>
      <c r="EH173">
        <v>0</v>
      </c>
      <c r="EI173" t="s">
        <v>3</v>
      </c>
      <c r="EJ173">
        <v>4</v>
      </c>
      <c r="EK173">
        <v>0</v>
      </c>
      <c r="EL173" t="s">
        <v>21</v>
      </c>
      <c r="EM173" t="s">
        <v>22</v>
      </c>
      <c r="EO173" t="s">
        <v>3</v>
      </c>
      <c r="EQ173">
        <v>0</v>
      </c>
      <c r="ER173">
        <v>94.72</v>
      </c>
      <c r="ES173">
        <v>94.72</v>
      </c>
      <c r="ET173">
        <v>0</v>
      </c>
      <c r="EU173">
        <v>0</v>
      </c>
      <c r="EV173">
        <v>0</v>
      </c>
      <c r="EW173">
        <v>0</v>
      </c>
      <c r="EX173">
        <v>0</v>
      </c>
      <c r="FQ173">
        <v>0</v>
      </c>
      <c r="FR173">
        <f t="shared" si="158"/>
        <v>0</v>
      </c>
      <c r="FS173">
        <v>0</v>
      </c>
      <c r="FX173">
        <v>70</v>
      </c>
      <c r="FY173">
        <v>10</v>
      </c>
      <c r="GA173" t="s">
        <v>3</v>
      </c>
      <c r="GD173">
        <v>0</v>
      </c>
      <c r="GF173">
        <v>1723842548</v>
      </c>
      <c r="GG173">
        <v>2</v>
      </c>
      <c r="GH173">
        <v>1</v>
      </c>
      <c r="GI173">
        <v>-2</v>
      </c>
      <c r="GJ173">
        <v>0</v>
      </c>
      <c r="GK173">
        <f>ROUND(R173*(R12)/100,2)</f>
        <v>0</v>
      </c>
      <c r="GL173">
        <f t="shared" si="159"/>
        <v>0</v>
      </c>
      <c r="GM173">
        <f t="shared" si="160"/>
        <v>0</v>
      </c>
      <c r="GN173">
        <f t="shared" si="161"/>
        <v>0</v>
      </c>
      <c r="GO173">
        <f t="shared" si="162"/>
        <v>0</v>
      </c>
      <c r="GP173">
        <f t="shared" si="163"/>
        <v>0</v>
      </c>
      <c r="GR173">
        <v>0</v>
      </c>
      <c r="GS173">
        <v>3</v>
      </c>
      <c r="GT173">
        <v>0</v>
      </c>
      <c r="GU173" t="s">
        <v>3</v>
      </c>
      <c r="GV173">
        <f t="shared" si="164"/>
        <v>0</v>
      </c>
      <c r="GW173">
        <v>1</v>
      </c>
      <c r="GX173">
        <f t="shared" si="165"/>
        <v>0</v>
      </c>
      <c r="HA173">
        <v>0</v>
      </c>
      <c r="HB173">
        <v>0</v>
      </c>
      <c r="HC173">
        <f t="shared" si="166"/>
        <v>0</v>
      </c>
      <c r="IK173">
        <v>0</v>
      </c>
    </row>
    <row r="175" spans="1:245" x14ac:dyDescent="0.2">
      <c r="A175">
        <v>51</v>
      </c>
      <c r="B175">
        <f>B158</f>
        <v>1</v>
      </c>
      <c r="C175">
        <f>A158</f>
        <v>4</v>
      </c>
      <c r="D175">
        <f>ROW(A158)</f>
        <v>158</v>
      </c>
      <c r="F175" t="str">
        <f>IF(F158&lt;&gt;"",F158,"")</f>
        <v>Новый раздел</v>
      </c>
      <c r="G175" t="str">
        <f>IF(G158&lt;&gt;"",G158,"")</f>
        <v>Устройство покрытия из резиновой крошки  на детских площадках(ТИП I)</v>
      </c>
      <c r="H175">
        <v>0</v>
      </c>
      <c r="O175">
        <f t="shared" ref="O175:T175" si="167">ROUND(AB175,2)</f>
        <v>804154.42</v>
      </c>
      <c r="P175">
        <f t="shared" si="167"/>
        <v>716361.21</v>
      </c>
      <c r="Q175">
        <f t="shared" si="167"/>
        <v>48249.26</v>
      </c>
      <c r="R175">
        <f t="shared" si="167"/>
        <v>27903.200000000001</v>
      </c>
      <c r="S175">
        <f t="shared" si="167"/>
        <v>39543.949999999997</v>
      </c>
      <c r="T175">
        <f t="shared" si="167"/>
        <v>0</v>
      </c>
      <c r="U175">
        <f>AH175</f>
        <v>178.44511999999997</v>
      </c>
      <c r="V175">
        <f>AI175</f>
        <v>0</v>
      </c>
      <c r="W175">
        <f>ROUND(AJ175,2)</f>
        <v>0</v>
      </c>
      <c r="X175">
        <f>ROUND(AK175,2)</f>
        <v>27680.77</v>
      </c>
      <c r="Y175">
        <f>ROUND(AL175,2)</f>
        <v>3954.4</v>
      </c>
      <c r="AB175">
        <f>ROUND(SUMIF(AA162:AA173,"=71209905",O162:O173),2)</f>
        <v>804154.42</v>
      </c>
      <c r="AC175">
        <f>ROUND(SUMIF(AA162:AA173,"=71209905",P162:P173),2)</f>
        <v>716361.21</v>
      </c>
      <c r="AD175">
        <f>ROUND(SUMIF(AA162:AA173,"=71209905",Q162:Q173),2)</f>
        <v>48249.26</v>
      </c>
      <c r="AE175">
        <f>ROUND(SUMIF(AA162:AA173,"=71209905",R162:R173),2)</f>
        <v>27903.200000000001</v>
      </c>
      <c r="AF175">
        <f>ROUND(SUMIF(AA162:AA173,"=71209905",S162:S173),2)</f>
        <v>39543.949999999997</v>
      </c>
      <c r="AG175">
        <f>ROUND(SUMIF(AA162:AA173,"=71209905",T162:T173),2)</f>
        <v>0</v>
      </c>
      <c r="AH175">
        <f>SUMIF(AA162:AA173,"=71209905",U162:U173)</f>
        <v>178.44511999999997</v>
      </c>
      <c r="AI175">
        <f>SUMIF(AA162:AA173,"=71209905",V162:V173)</f>
        <v>0</v>
      </c>
      <c r="AJ175">
        <f>ROUND(SUMIF(AA162:AA173,"=71209905",W162:W173),2)</f>
        <v>0</v>
      </c>
      <c r="AK175">
        <f>ROUND(SUMIF(AA162:AA173,"=71209905",X162:X173),2)</f>
        <v>27680.77</v>
      </c>
      <c r="AL175">
        <f>ROUND(SUMIF(AA162:AA173,"=71209905",Y162:Y173),2)</f>
        <v>3954.4</v>
      </c>
      <c r="AO175">
        <f t="shared" ref="AO175:BD175" si="168">ROUND(BX175,2)</f>
        <v>0</v>
      </c>
      <c r="AP175">
        <f t="shared" si="168"/>
        <v>0</v>
      </c>
      <c r="AQ175">
        <f t="shared" si="168"/>
        <v>0</v>
      </c>
      <c r="AR175">
        <f t="shared" si="168"/>
        <v>865925.05</v>
      </c>
      <c r="AS175">
        <f t="shared" si="168"/>
        <v>0</v>
      </c>
      <c r="AT175">
        <f t="shared" si="168"/>
        <v>0</v>
      </c>
      <c r="AU175">
        <f t="shared" si="168"/>
        <v>865925.05</v>
      </c>
      <c r="AV175">
        <f t="shared" si="168"/>
        <v>716361.21</v>
      </c>
      <c r="AW175">
        <f t="shared" si="168"/>
        <v>716361.21</v>
      </c>
      <c r="AX175">
        <f t="shared" si="168"/>
        <v>0</v>
      </c>
      <c r="AY175">
        <f t="shared" si="168"/>
        <v>716361.21</v>
      </c>
      <c r="AZ175">
        <f t="shared" si="168"/>
        <v>0</v>
      </c>
      <c r="BA175">
        <f t="shared" si="168"/>
        <v>0</v>
      </c>
      <c r="BB175">
        <f t="shared" si="168"/>
        <v>0</v>
      </c>
      <c r="BC175">
        <f t="shared" si="168"/>
        <v>0</v>
      </c>
      <c r="BD175">
        <f t="shared" si="168"/>
        <v>0</v>
      </c>
      <c r="BX175">
        <f>ROUND(SUMIF(AA162:AA173,"=71209905",FQ162:FQ173),2)</f>
        <v>0</v>
      </c>
      <c r="BY175">
        <f>ROUND(SUMIF(AA162:AA173,"=71209905",FR162:FR173),2)</f>
        <v>0</v>
      </c>
      <c r="BZ175">
        <f>ROUND(SUMIF(AA162:AA173,"=71209905",GL162:GL173),2)</f>
        <v>0</v>
      </c>
      <c r="CA175">
        <f>ROUND(SUMIF(AA162:AA173,"=71209905",GM162:GM173),2)</f>
        <v>865925.05</v>
      </c>
      <c r="CB175">
        <f>ROUND(SUMIF(AA162:AA173,"=71209905",GN162:GN173),2)</f>
        <v>0</v>
      </c>
      <c r="CC175">
        <f>ROUND(SUMIF(AA162:AA173,"=71209905",GO162:GO173),2)</f>
        <v>0</v>
      </c>
      <c r="CD175">
        <f>ROUND(SUMIF(AA162:AA173,"=71209905",GP162:GP173),2)</f>
        <v>865925.05</v>
      </c>
      <c r="CE175">
        <f>AC175-BX175</f>
        <v>716361.21</v>
      </c>
      <c r="CF175">
        <f>AC175-BY175</f>
        <v>716361.21</v>
      </c>
      <c r="CG175">
        <f>BX175-BZ175</f>
        <v>0</v>
      </c>
      <c r="CH175">
        <f>AC175-BX175-BY175+BZ175</f>
        <v>716361.21</v>
      </c>
      <c r="CI175">
        <f>BY175-BZ175</f>
        <v>0</v>
      </c>
      <c r="CJ175">
        <f>ROUND(SUMIF(AA162:AA173,"=71209905",GX162:GX173),2)</f>
        <v>0</v>
      </c>
      <c r="CK175">
        <f>ROUND(SUMIF(AA162:AA173,"=71209905",GY162:GY173),2)</f>
        <v>0</v>
      </c>
      <c r="CL175">
        <f>ROUND(SUMIF(AA162:AA173,"=71209905",GZ162:GZ173),2)</f>
        <v>0</v>
      </c>
      <c r="CM175">
        <f>ROUND(SUMIF(AA162:AA173,"=71209905",HD162:HD173),2)</f>
        <v>0</v>
      </c>
      <c r="GX175">
        <v>0</v>
      </c>
    </row>
    <row r="177" spans="1:15" x14ac:dyDescent="0.2">
      <c r="A177">
        <v>50</v>
      </c>
      <c r="B177">
        <v>0</v>
      </c>
      <c r="C177">
        <v>0</v>
      </c>
      <c r="D177">
        <v>1</v>
      </c>
      <c r="E177">
        <v>201</v>
      </c>
      <c r="F177">
        <f>ROUND(Source!O175,O177)</f>
        <v>804154.42</v>
      </c>
      <c r="G177" t="s">
        <v>142</v>
      </c>
      <c r="H177" t="s">
        <v>143</v>
      </c>
      <c r="K177">
        <v>201</v>
      </c>
      <c r="L177">
        <v>1</v>
      </c>
      <c r="M177">
        <v>3</v>
      </c>
      <c r="N177" t="s">
        <v>3</v>
      </c>
      <c r="O177">
        <v>2</v>
      </c>
    </row>
    <row r="178" spans="1:15" x14ac:dyDescent="0.2">
      <c r="A178">
        <v>50</v>
      </c>
      <c r="B178">
        <v>0</v>
      </c>
      <c r="C178">
        <v>0</v>
      </c>
      <c r="D178">
        <v>1</v>
      </c>
      <c r="E178">
        <v>202</v>
      </c>
      <c r="F178">
        <f>ROUND(Source!P175,O178)</f>
        <v>716361.21</v>
      </c>
      <c r="G178" t="s">
        <v>144</v>
      </c>
      <c r="H178" t="s">
        <v>145</v>
      </c>
      <c r="K178">
        <v>202</v>
      </c>
      <c r="L178">
        <v>2</v>
      </c>
      <c r="M178">
        <v>3</v>
      </c>
      <c r="N178" t="s">
        <v>3</v>
      </c>
      <c r="O178">
        <v>2</v>
      </c>
    </row>
    <row r="179" spans="1:15" x14ac:dyDescent="0.2">
      <c r="A179">
        <v>50</v>
      </c>
      <c r="B179">
        <v>0</v>
      </c>
      <c r="C179">
        <v>0</v>
      </c>
      <c r="D179">
        <v>1</v>
      </c>
      <c r="E179">
        <v>222</v>
      </c>
      <c r="F179">
        <f>ROUND(Source!AO175,O179)</f>
        <v>0</v>
      </c>
      <c r="G179" t="s">
        <v>146</v>
      </c>
      <c r="H179" t="s">
        <v>147</v>
      </c>
      <c r="K179">
        <v>222</v>
      </c>
      <c r="L179">
        <v>3</v>
      </c>
      <c r="M179">
        <v>3</v>
      </c>
      <c r="N179" t="s">
        <v>3</v>
      </c>
      <c r="O179">
        <v>2</v>
      </c>
    </row>
    <row r="180" spans="1:15" x14ac:dyDescent="0.2">
      <c r="A180">
        <v>50</v>
      </c>
      <c r="B180">
        <v>0</v>
      </c>
      <c r="C180">
        <v>0</v>
      </c>
      <c r="D180">
        <v>1</v>
      </c>
      <c r="E180">
        <v>225</v>
      </c>
      <c r="F180">
        <f>ROUND(Source!AV175,O180)</f>
        <v>716361.21</v>
      </c>
      <c r="G180" t="s">
        <v>148</v>
      </c>
      <c r="H180" t="s">
        <v>149</v>
      </c>
      <c r="K180">
        <v>225</v>
      </c>
      <c r="L180">
        <v>4</v>
      </c>
      <c r="M180">
        <v>3</v>
      </c>
      <c r="N180" t="s">
        <v>3</v>
      </c>
      <c r="O180">
        <v>2</v>
      </c>
    </row>
    <row r="181" spans="1:15" x14ac:dyDescent="0.2">
      <c r="A181">
        <v>50</v>
      </c>
      <c r="B181">
        <v>0</v>
      </c>
      <c r="C181">
        <v>0</v>
      </c>
      <c r="D181">
        <v>1</v>
      </c>
      <c r="E181">
        <v>226</v>
      </c>
      <c r="F181">
        <f>ROUND(Source!AW175,O181)</f>
        <v>716361.21</v>
      </c>
      <c r="G181" t="s">
        <v>150</v>
      </c>
      <c r="H181" t="s">
        <v>151</v>
      </c>
      <c r="K181">
        <v>226</v>
      </c>
      <c r="L181">
        <v>5</v>
      </c>
      <c r="M181">
        <v>3</v>
      </c>
      <c r="N181" t="s">
        <v>3</v>
      </c>
      <c r="O181">
        <v>2</v>
      </c>
    </row>
    <row r="182" spans="1:15" x14ac:dyDescent="0.2">
      <c r="A182">
        <v>50</v>
      </c>
      <c r="B182">
        <v>0</v>
      </c>
      <c r="C182">
        <v>0</v>
      </c>
      <c r="D182">
        <v>1</v>
      </c>
      <c r="E182">
        <v>227</v>
      </c>
      <c r="F182">
        <f>ROUND(Source!AX175,O182)</f>
        <v>0</v>
      </c>
      <c r="G182" t="s">
        <v>152</v>
      </c>
      <c r="H182" t="s">
        <v>153</v>
      </c>
      <c r="K182">
        <v>227</v>
      </c>
      <c r="L182">
        <v>6</v>
      </c>
      <c r="M182">
        <v>3</v>
      </c>
      <c r="N182" t="s">
        <v>3</v>
      </c>
      <c r="O182">
        <v>2</v>
      </c>
    </row>
    <row r="183" spans="1:15" x14ac:dyDescent="0.2">
      <c r="A183">
        <v>50</v>
      </c>
      <c r="B183">
        <v>0</v>
      </c>
      <c r="C183">
        <v>0</v>
      </c>
      <c r="D183">
        <v>1</v>
      </c>
      <c r="E183">
        <v>228</v>
      </c>
      <c r="F183">
        <f>ROUND(Source!AY175,O183)</f>
        <v>716361.21</v>
      </c>
      <c r="G183" t="s">
        <v>154</v>
      </c>
      <c r="H183" t="s">
        <v>155</v>
      </c>
      <c r="K183">
        <v>228</v>
      </c>
      <c r="L183">
        <v>7</v>
      </c>
      <c r="M183">
        <v>3</v>
      </c>
      <c r="N183" t="s">
        <v>3</v>
      </c>
      <c r="O183">
        <v>2</v>
      </c>
    </row>
    <row r="184" spans="1:15" x14ac:dyDescent="0.2">
      <c r="A184">
        <v>50</v>
      </c>
      <c r="B184">
        <v>0</v>
      </c>
      <c r="C184">
        <v>0</v>
      </c>
      <c r="D184">
        <v>1</v>
      </c>
      <c r="E184">
        <v>216</v>
      </c>
      <c r="F184">
        <f>ROUND(Source!AP175,O184)</f>
        <v>0</v>
      </c>
      <c r="G184" t="s">
        <v>156</v>
      </c>
      <c r="H184" t="s">
        <v>157</v>
      </c>
      <c r="K184">
        <v>216</v>
      </c>
      <c r="L184">
        <v>8</v>
      </c>
      <c r="M184">
        <v>3</v>
      </c>
      <c r="N184" t="s">
        <v>3</v>
      </c>
      <c r="O184">
        <v>2</v>
      </c>
    </row>
    <row r="185" spans="1:15" x14ac:dyDescent="0.2">
      <c r="A185">
        <v>50</v>
      </c>
      <c r="B185">
        <v>0</v>
      </c>
      <c r="C185">
        <v>0</v>
      </c>
      <c r="D185">
        <v>1</v>
      </c>
      <c r="E185">
        <v>223</v>
      </c>
      <c r="F185">
        <f>ROUND(Source!AQ175,O185)</f>
        <v>0</v>
      </c>
      <c r="G185" t="s">
        <v>158</v>
      </c>
      <c r="H185" t="s">
        <v>159</v>
      </c>
      <c r="K185">
        <v>223</v>
      </c>
      <c r="L185">
        <v>9</v>
      </c>
      <c r="M185">
        <v>3</v>
      </c>
      <c r="N185" t="s">
        <v>3</v>
      </c>
      <c r="O185">
        <v>2</v>
      </c>
    </row>
    <row r="186" spans="1:15" x14ac:dyDescent="0.2">
      <c r="A186">
        <v>50</v>
      </c>
      <c r="B186">
        <v>0</v>
      </c>
      <c r="C186">
        <v>0</v>
      </c>
      <c r="D186">
        <v>1</v>
      </c>
      <c r="E186">
        <v>229</v>
      </c>
      <c r="F186">
        <f>ROUND(Source!AZ175,O186)</f>
        <v>0</v>
      </c>
      <c r="G186" t="s">
        <v>160</v>
      </c>
      <c r="H186" t="s">
        <v>161</v>
      </c>
      <c r="K186">
        <v>229</v>
      </c>
      <c r="L186">
        <v>10</v>
      </c>
      <c r="M186">
        <v>3</v>
      </c>
      <c r="N186" t="s">
        <v>3</v>
      </c>
      <c r="O186">
        <v>2</v>
      </c>
    </row>
    <row r="187" spans="1:15" x14ac:dyDescent="0.2">
      <c r="A187">
        <v>50</v>
      </c>
      <c r="B187">
        <v>0</v>
      </c>
      <c r="C187">
        <v>0</v>
      </c>
      <c r="D187">
        <v>1</v>
      </c>
      <c r="E187">
        <v>203</v>
      </c>
      <c r="F187">
        <f>ROUND(Source!Q175,O187)</f>
        <v>48249.26</v>
      </c>
      <c r="G187" t="s">
        <v>162</v>
      </c>
      <c r="H187" t="s">
        <v>163</v>
      </c>
      <c r="K187">
        <v>203</v>
      </c>
      <c r="L187">
        <v>11</v>
      </c>
      <c r="M187">
        <v>3</v>
      </c>
      <c r="N187" t="s">
        <v>3</v>
      </c>
      <c r="O187">
        <v>2</v>
      </c>
    </row>
    <row r="188" spans="1:15" x14ac:dyDescent="0.2">
      <c r="A188">
        <v>50</v>
      </c>
      <c r="B188">
        <v>0</v>
      </c>
      <c r="C188">
        <v>0</v>
      </c>
      <c r="D188">
        <v>1</v>
      </c>
      <c r="E188">
        <v>231</v>
      </c>
      <c r="F188">
        <f>ROUND(Source!BB175,O188)</f>
        <v>0</v>
      </c>
      <c r="G188" t="s">
        <v>164</v>
      </c>
      <c r="H188" t="s">
        <v>165</v>
      </c>
      <c r="K188">
        <v>231</v>
      </c>
      <c r="L188">
        <v>12</v>
      </c>
      <c r="M188">
        <v>3</v>
      </c>
      <c r="N188" t="s">
        <v>3</v>
      </c>
      <c r="O188">
        <v>2</v>
      </c>
    </row>
    <row r="189" spans="1:15" x14ac:dyDescent="0.2">
      <c r="A189">
        <v>50</v>
      </c>
      <c r="B189">
        <v>0</v>
      </c>
      <c r="C189">
        <v>0</v>
      </c>
      <c r="D189">
        <v>1</v>
      </c>
      <c r="E189">
        <v>204</v>
      </c>
      <c r="F189">
        <f>ROUND(Source!R175,O189)</f>
        <v>27903.200000000001</v>
      </c>
      <c r="G189" t="s">
        <v>166</v>
      </c>
      <c r="H189" t="s">
        <v>167</v>
      </c>
      <c r="K189">
        <v>204</v>
      </c>
      <c r="L189">
        <v>13</v>
      </c>
      <c r="M189">
        <v>3</v>
      </c>
      <c r="N189" t="s">
        <v>3</v>
      </c>
      <c r="O189">
        <v>2</v>
      </c>
    </row>
    <row r="190" spans="1:15" x14ac:dyDescent="0.2">
      <c r="A190">
        <v>50</v>
      </c>
      <c r="B190">
        <v>0</v>
      </c>
      <c r="C190">
        <v>0</v>
      </c>
      <c r="D190">
        <v>1</v>
      </c>
      <c r="E190">
        <v>205</v>
      </c>
      <c r="F190">
        <f>ROUND(Source!S175,O190)</f>
        <v>39543.949999999997</v>
      </c>
      <c r="G190" t="s">
        <v>168</v>
      </c>
      <c r="H190" t="s">
        <v>169</v>
      </c>
      <c r="K190">
        <v>205</v>
      </c>
      <c r="L190">
        <v>14</v>
      </c>
      <c r="M190">
        <v>3</v>
      </c>
      <c r="N190" t="s">
        <v>3</v>
      </c>
      <c r="O190">
        <v>2</v>
      </c>
    </row>
    <row r="191" spans="1:15" x14ac:dyDescent="0.2">
      <c r="A191">
        <v>50</v>
      </c>
      <c r="B191">
        <v>0</v>
      </c>
      <c r="C191">
        <v>0</v>
      </c>
      <c r="D191">
        <v>1</v>
      </c>
      <c r="E191">
        <v>232</v>
      </c>
      <c r="F191">
        <f>ROUND(Source!BC175,O191)</f>
        <v>0</v>
      </c>
      <c r="G191" t="s">
        <v>170</v>
      </c>
      <c r="H191" t="s">
        <v>171</v>
      </c>
      <c r="K191">
        <v>232</v>
      </c>
      <c r="L191">
        <v>15</v>
      </c>
      <c r="M191">
        <v>3</v>
      </c>
      <c r="N191" t="s">
        <v>3</v>
      </c>
      <c r="O191">
        <v>2</v>
      </c>
    </row>
    <row r="192" spans="1:15" x14ac:dyDescent="0.2">
      <c r="A192">
        <v>50</v>
      </c>
      <c r="B192">
        <v>0</v>
      </c>
      <c r="C192">
        <v>0</v>
      </c>
      <c r="D192">
        <v>1</v>
      </c>
      <c r="E192">
        <v>214</v>
      </c>
      <c r="F192">
        <f>ROUND(Source!AS175,O192)</f>
        <v>0</v>
      </c>
      <c r="G192" t="s">
        <v>172</v>
      </c>
      <c r="H192" t="s">
        <v>173</v>
      </c>
      <c r="K192">
        <v>214</v>
      </c>
      <c r="L192">
        <v>16</v>
      </c>
      <c r="M192">
        <v>3</v>
      </c>
      <c r="N192" t="s">
        <v>3</v>
      </c>
      <c r="O192">
        <v>2</v>
      </c>
    </row>
    <row r="193" spans="1:206" x14ac:dyDescent="0.2">
      <c r="A193">
        <v>50</v>
      </c>
      <c r="B193">
        <v>0</v>
      </c>
      <c r="C193">
        <v>0</v>
      </c>
      <c r="D193">
        <v>1</v>
      </c>
      <c r="E193">
        <v>215</v>
      </c>
      <c r="F193">
        <f>ROUND(Source!AT175,O193)</f>
        <v>0</v>
      </c>
      <c r="G193" t="s">
        <v>174</v>
      </c>
      <c r="H193" t="s">
        <v>175</v>
      </c>
      <c r="K193">
        <v>215</v>
      </c>
      <c r="L193">
        <v>17</v>
      </c>
      <c r="M193">
        <v>3</v>
      </c>
      <c r="N193" t="s">
        <v>3</v>
      </c>
      <c r="O193">
        <v>2</v>
      </c>
    </row>
    <row r="194" spans="1:206" x14ac:dyDescent="0.2">
      <c r="A194">
        <v>50</v>
      </c>
      <c r="B194">
        <v>0</v>
      </c>
      <c r="C194">
        <v>0</v>
      </c>
      <c r="D194">
        <v>1</v>
      </c>
      <c r="E194">
        <v>217</v>
      </c>
      <c r="F194">
        <f>ROUND(Source!AU175,O194)</f>
        <v>865925.05</v>
      </c>
      <c r="G194" t="s">
        <v>176</v>
      </c>
      <c r="H194" t="s">
        <v>177</v>
      </c>
      <c r="K194">
        <v>217</v>
      </c>
      <c r="L194">
        <v>18</v>
      </c>
      <c r="M194">
        <v>3</v>
      </c>
      <c r="N194" t="s">
        <v>3</v>
      </c>
      <c r="O194">
        <v>2</v>
      </c>
    </row>
    <row r="195" spans="1:206" x14ac:dyDescent="0.2">
      <c r="A195">
        <v>50</v>
      </c>
      <c r="B195">
        <v>0</v>
      </c>
      <c r="C195">
        <v>0</v>
      </c>
      <c r="D195">
        <v>1</v>
      </c>
      <c r="E195">
        <v>230</v>
      </c>
      <c r="F195">
        <f>ROUND(Source!BA175,O195)</f>
        <v>0</v>
      </c>
      <c r="G195" t="s">
        <v>178</v>
      </c>
      <c r="H195" t="s">
        <v>179</v>
      </c>
      <c r="K195">
        <v>230</v>
      </c>
      <c r="L195">
        <v>19</v>
      </c>
      <c r="M195">
        <v>3</v>
      </c>
      <c r="N195" t="s">
        <v>3</v>
      </c>
      <c r="O195">
        <v>2</v>
      </c>
    </row>
    <row r="196" spans="1:206" x14ac:dyDescent="0.2">
      <c r="A196">
        <v>50</v>
      </c>
      <c r="B196">
        <v>0</v>
      </c>
      <c r="C196">
        <v>0</v>
      </c>
      <c r="D196">
        <v>1</v>
      </c>
      <c r="E196">
        <v>206</v>
      </c>
      <c r="F196">
        <f>ROUND(Source!T175,O196)</f>
        <v>0</v>
      </c>
      <c r="G196" t="s">
        <v>180</v>
      </c>
      <c r="H196" t="s">
        <v>181</v>
      </c>
      <c r="K196">
        <v>206</v>
      </c>
      <c r="L196">
        <v>20</v>
      </c>
      <c r="M196">
        <v>3</v>
      </c>
      <c r="N196" t="s">
        <v>3</v>
      </c>
      <c r="O196">
        <v>2</v>
      </c>
    </row>
    <row r="197" spans="1:206" x14ac:dyDescent="0.2">
      <c r="A197">
        <v>50</v>
      </c>
      <c r="B197">
        <v>0</v>
      </c>
      <c r="C197">
        <v>0</v>
      </c>
      <c r="D197">
        <v>1</v>
      </c>
      <c r="E197">
        <v>207</v>
      </c>
      <c r="F197">
        <f>Source!U175</f>
        <v>178.44511999999997</v>
      </c>
      <c r="G197" t="s">
        <v>182</v>
      </c>
      <c r="H197" t="s">
        <v>183</v>
      </c>
      <c r="K197">
        <v>207</v>
      </c>
      <c r="L197">
        <v>21</v>
      </c>
      <c r="M197">
        <v>3</v>
      </c>
      <c r="N197" t="s">
        <v>3</v>
      </c>
      <c r="O197">
        <v>-1</v>
      </c>
    </row>
    <row r="198" spans="1:206" x14ac:dyDescent="0.2">
      <c r="A198">
        <v>50</v>
      </c>
      <c r="B198">
        <v>0</v>
      </c>
      <c r="C198">
        <v>0</v>
      </c>
      <c r="D198">
        <v>1</v>
      </c>
      <c r="E198">
        <v>208</v>
      </c>
      <c r="F198">
        <f>Source!V175</f>
        <v>0</v>
      </c>
      <c r="G198" t="s">
        <v>184</v>
      </c>
      <c r="H198" t="s">
        <v>185</v>
      </c>
      <c r="K198">
        <v>208</v>
      </c>
      <c r="L198">
        <v>22</v>
      </c>
      <c r="M198">
        <v>3</v>
      </c>
      <c r="N198" t="s">
        <v>3</v>
      </c>
      <c r="O198">
        <v>-1</v>
      </c>
    </row>
    <row r="199" spans="1:206" x14ac:dyDescent="0.2">
      <c r="A199">
        <v>50</v>
      </c>
      <c r="B199">
        <v>0</v>
      </c>
      <c r="C199">
        <v>0</v>
      </c>
      <c r="D199">
        <v>1</v>
      </c>
      <c r="E199">
        <v>209</v>
      </c>
      <c r="F199">
        <f>ROUND(Source!W175,O199)</f>
        <v>0</v>
      </c>
      <c r="G199" t="s">
        <v>186</v>
      </c>
      <c r="H199" t="s">
        <v>187</v>
      </c>
      <c r="K199">
        <v>209</v>
      </c>
      <c r="L199">
        <v>23</v>
      </c>
      <c r="M199">
        <v>3</v>
      </c>
      <c r="N199" t="s">
        <v>3</v>
      </c>
      <c r="O199">
        <v>2</v>
      </c>
    </row>
    <row r="200" spans="1:206" x14ac:dyDescent="0.2">
      <c r="A200">
        <v>50</v>
      </c>
      <c r="B200">
        <v>0</v>
      </c>
      <c r="C200">
        <v>0</v>
      </c>
      <c r="D200">
        <v>1</v>
      </c>
      <c r="E200">
        <v>233</v>
      </c>
      <c r="F200">
        <f>ROUND(Source!BD175,O200)</f>
        <v>0</v>
      </c>
      <c r="G200" t="s">
        <v>188</v>
      </c>
      <c r="H200" t="s">
        <v>189</v>
      </c>
      <c r="K200">
        <v>233</v>
      </c>
      <c r="L200">
        <v>24</v>
      </c>
      <c r="M200">
        <v>3</v>
      </c>
      <c r="N200" t="s">
        <v>3</v>
      </c>
      <c r="O200">
        <v>2</v>
      </c>
    </row>
    <row r="201" spans="1:206" x14ac:dyDescent="0.2">
      <c r="A201">
        <v>50</v>
      </c>
      <c r="B201">
        <v>0</v>
      </c>
      <c r="C201">
        <v>0</v>
      </c>
      <c r="D201">
        <v>1</v>
      </c>
      <c r="E201">
        <v>210</v>
      </c>
      <c r="F201">
        <f>ROUND(Source!X175,O201)</f>
        <v>27680.77</v>
      </c>
      <c r="G201" t="s">
        <v>190</v>
      </c>
      <c r="H201" t="s">
        <v>191</v>
      </c>
      <c r="K201">
        <v>210</v>
      </c>
      <c r="L201">
        <v>25</v>
      </c>
      <c r="M201">
        <v>3</v>
      </c>
      <c r="N201" t="s">
        <v>3</v>
      </c>
      <c r="O201">
        <v>2</v>
      </c>
    </row>
    <row r="202" spans="1:206" x14ac:dyDescent="0.2">
      <c r="A202">
        <v>50</v>
      </c>
      <c r="B202">
        <v>0</v>
      </c>
      <c r="C202">
        <v>0</v>
      </c>
      <c r="D202">
        <v>1</v>
      </c>
      <c r="E202">
        <v>211</v>
      </c>
      <c r="F202">
        <f>ROUND(Source!Y175,O202)</f>
        <v>3954.4</v>
      </c>
      <c r="G202" t="s">
        <v>192</v>
      </c>
      <c r="H202" t="s">
        <v>193</v>
      </c>
      <c r="K202">
        <v>211</v>
      </c>
      <c r="L202">
        <v>26</v>
      </c>
      <c r="M202">
        <v>3</v>
      </c>
      <c r="N202" t="s">
        <v>3</v>
      </c>
      <c r="O202">
        <v>2</v>
      </c>
    </row>
    <row r="203" spans="1:206" x14ac:dyDescent="0.2">
      <c r="A203">
        <v>50</v>
      </c>
      <c r="B203">
        <v>0</v>
      </c>
      <c r="C203">
        <v>0</v>
      </c>
      <c r="D203">
        <v>1</v>
      </c>
      <c r="E203">
        <v>224</v>
      </c>
      <c r="F203">
        <f>ROUND(Source!AR175,O203)</f>
        <v>865925.05</v>
      </c>
      <c r="G203" t="s">
        <v>194</v>
      </c>
      <c r="H203" t="s">
        <v>195</v>
      </c>
      <c r="K203">
        <v>224</v>
      </c>
      <c r="L203">
        <v>27</v>
      </c>
      <c r="M203">
        <v>3</v>
      </c>
      <c r="N203" t="s">
        <v>3</v>
      </c>
      <c r="O203">
        <v>2</v>
      </c>
    </row>
    <row r="205" spans="1:206" x14ac:dyDescent="0.2">
      <c r="A205">
        <v>4</v>
      </c>
      <c r="B205">
        <v>1</v>
      </c>
      <c r="D205">
        <f>ROW(A216)</f>
        <v>216</v>
      </c>
      <c r="F205" t="s">
        <v>14</v>
      </c>
      <c r="G205" t="s">
        <v>294</v>
      </c>
      <c r="H205" t="s">
        <v>3</v>
      </c>
      <c r="I205">
        <v>0</v>
      </c>
      <c r="K205">
        <v>-1</v>
      </c>
      <c r="U205" t="s">
        <v>3</v>
      </c>
      <c r="V205">
        <v>0</v>
      </c>
      <c r="AB205" t="s">
        <v>3</v>
      </c>
      <c r="AC205" t="s">
        <v>3</v>
      </c>
      <c r="AD205" t="s">
        <v>3</v>
      </c>
      <c r="AE205" t="s">
        <v>3</v>
      </c>
      <c r="AF205" t="s">
        <v>3</v>
      </c>
      <c r="AG205" t="s">
        <v>3</v>
      </c>
      <c r="AP205" t="s">
        <v>3</v>
      </c>
      <c r="AQ205" t="s">
        <v>3</v>
      </c>
      <c r="AR205" t="s">
        <v>3</v>
      </c>
      <c r="AZ205" t="s">
        <v>3</v>
      </c>
      <c r="BB205" t="s">
        <v>3</v>
      </c>
      <c r="BC205" t="s">
        <v>3</v>
      </c>
      <c r="BD205" t="s">
        <v>3</v>
      </c>
      <c r="BE205" t="s">
        <v>3</v>
      </c>
      <c r="BF205" t="s">
        <v>3</v>
      </c>
      <c r="BG205" t="s">
        <v>3</v>
      </c>
      <c r="BH205" t="s">
        <v>3</v>
      </c>
      <c r="BI205" t="s">
        <v>3</v>
      </c>
      <c r="BJ205" t="s">
        <v>3</v>
      </c>
      <c r="BK205" t="s">
        <v>3</v>
      </c>
      <c r="BL205" t="s">
        <v>3</v>
      </c>
      <c r="BM205" t="s">
        <v>3</v>
      </c>
      <c r="BN205" t="s">
        <v>3</v>
      </c>
      <c r="BO205" t="s">
        <v>3</v>
      </c>
      <c r="BP205" t="s">
        <v>3</v>
      </c>
      <c r="BX205">
        <v>0</v>
      </c>
      <c r="CJ205">
        <v>0</v>
      </c>
    </row>
    <row r="207" spans="1:206" x14ac:dyDescent="0.2">
      <c r="A207">
        <v>52</v>
      </c>
      <c r="B207">
        <f t="shared" ref="B207:G207" si="169">B216</f>
        <v>1</v>
      </c>
      <c r="C207">
        <f t="shared" si="169"/>
        <v>4</v>
      </c>
      <c r="D207">
        <f t="shared" si="169"/>
        <v>205</v>
      </c>
      <c r="E207">
        <f t="shared" si="169"/>
        <v>0</v>
      </c>
      <c r="F207" t="str">
        <f t="shared" si="169"/>
        <v>Новый раздел</v>
      </c>
      <c r="G207" t="str">
        <f t="shared" si="169"/>
        <v>Ремонт плиточного покрытия (ТИП II)</v>
      </c>
      <c r="O207">
        <f t="shared" ref="O207:AT207" si="170">O216</f>
        <v>70462.75</v>
      </c>
      <c r="P207">
        <f t="shared" si="170"/>
        <v>63049.41</v>
      </c>
      <c r="Q207">
        <f t="shared" si="170"/>
        <v>455.61</v>
      </c>
      <c r="R207">
        <f t="shared" si="170"/>
        <v>21.07</v>
      </c>
      <c r="S207">
        <f t="shared" si="170"/>
        <v>6957.73</v>
      </c>
      <c r="T207">
        <f t="shared" si="170"/>
        <v>0</v>
      </c>
      <c r="U207">
        <f t="shared" si="170"/>
        <v>36.342300000000002</v>
      </c>
      <c r="V207">
        <f t="shared" si="170"/>
        <v>0</v>
      </c>
      <c r="W207">
        <f t="shared" si="170"/>
        <v>0</v>
      </c>
      <c r="X207">
        <f t="shared" si="170"/>
        <v>4870.41</v>
      </c>
      <c r="Y207">
        <f t="shared" si="170"/>
        <v>695.77</v>
      </c>
      <c r="Z207">
        <f t="shared" si="170"/>
        <v>0</v>
      </c>
      <c r="AA207">
        <f t="shared" si="170"/>
        <v>0</v>
      </c>
      <c r="AB207">
        <f t="shared" si="170"/>
        <v>70462.75</v>
      </c>
      <c r="AC207">
        <f t="shared" si="170"/>
        <v>63049.41</v>
      </c>
      <c r="AD207">
        <f t="shared" si="170"/>
        <v>455.61</v>
      </c>
      <c r="AE207">
        <f t="shared" si="170"/>
        <v>21.07</v>
      </c>
      <c r="AF207">
        <f t="shared" si="170"/>
        <v>6957.73</v>
      </c>
      <c r="AG207">
        <f t="shared" si="170"/>
        <v>0</v>
      </c>
      <c r="AH207">
        <f t="shared" si="170"/>
        <v>36.342300000000002</v>
      </c>
      <c r="AI207">
        <f t="shared" si="170"/>
        <v>0</v>
      </c>
      <c r="AJ207">
        <f t="shared" si="170"/>
        <v>0</v>
      </c>
      <c r="AK207">
        <f t="shared" si="170"/>
        <v>4870.41</v>
      </c>
      <c r="AL207">
        <f t="shared" si="170"/>
        <v>695.77</v>
      </c>
      <c r="AM207">
        <f t="shared" si="170"/>
        <v>0</v>
      </c>
      <c r="AN207">
        <f t="shared" si="170"/>
        <v>0</v>
      </c>
      <c r="AO207">
        <f t="shared" si="170"/>
        <v>0</v>
      </c>
      <c r="AP207">
        <f t="shared" si="170"/>
        <v>0</v>
      </c>
      <c r="AQ207">
        <f t="shared" si="170"/>
        <v>0</v>
      </c>
      <c r="AR207">
        <f t="shared" si="170"/>
        <v>76051.69</v>
      </c>
      <c r="AS207">
        <f t="shared" si="170"/>
        <v>0</v>
      </c>
      <c r="AT207">
        <f t="shared" si="170"/>
        <v>0</v>
      </c>
      <c r="AU207">
        <f t="shared" ref="AU207:BZ207" si="171">AU216</f>
        <v>76051.69</v>
      </c>
      <c r="AV207">
        <f t="shared" si="171"/>
        <v>63049.41</v>
      </c>
      <c r="AW207">
        <f t="shared" si="171"/>
        <v>63049.41</v>
      </c>
      <c r="AX207">
        <f t="shared" si="171"/>
        <v>0</v>
      </c>
      <c r="AY207">
        <f t="shared" si="171"/>
        <v>63049.41</v>
      </c>
      <c r="AZ207">
        <f t="shared" si="171"/>
        <v>0</v>
      </c>
      <c r="BA207">
        <f t="shared" si="171"/>
        <v>0</v>
      </c>
      <c r="BB207">
        <f t="shared" si="171"/>
        <v>0</v>
      </c>
      <c r="BC207">
        <f t="shared" si="171"/>
        <v>0</v>
      </c>
      <c r="BD207">
        <f t="shared" si="171"/>
        <v>0</v>
      </c>
      <c r="BE207">
        <f t="shared" si="171"/>
        <v>0</v>
      </c>
      <c r="BF207">
        <f t="shared" si="171"/>
        <v>0</v>
      </c>
      <c r="BG207">
        <f t="shared" si="171"/>
        <v>0</v>
      </c>
      <c r="BH207">
        <f t="shared" si="171"/>
        <v>0</v>
      </c>
      <c r="BI207">
        <f t="shared" si="171"/>
        <v>0</v>
      </c>
      <c r="BJ207">
        <f t="shared" si="171"/>
        <v>0</v>
      </c>
      <c r="BK207">
        <f t="shared" si="171"/>
        <v>0</v>
      </c>
      <c r="BL207">
        <f t="shared" si="171"/>
        <v>0</v>
      </c>
      <c r="BM207">
        <f t="shared" si="171"/>
        <v>0</v>
      </c>
      <c r="BN207">
        <f t="shared" si="171"/>
        <v>0</v>
      </c>
      <c r="BO207">
        <f t="shared" si="171"/>
        <v>0</v>
      </c>
      <c r="BP207">
        <f t="shared" si="171"/>
        <v>0</v>
      </c>
      <c r="BQ207">
        <f t="shared" si="171"/>
        <v>0</v>
      </c>
      <c r="BR207">
        <f t="shared" si="171"/>
        <v>0</v>
      </c>
      <c r="BS207">
        <f t="shared" si="171"/>
        <v>0</v>
      </c>
      <c r="BT207">
        <f t="shared" si="171"/>
        <v>0</v>
      </c>
      <c r="BU207">
        <f t="shared" si="171"/>
        <v>0</v>
      </c>
      <c r="BV207">
        <f t="shared" si="171"/>
        <v>0</v>
      </c>
      <c r="BW207">
        <f t="shared" si="171"/>
        <v>0</v>
      </c>
      <c r="BX207">
        <f t="shared" si="171"/>
        <v>0</v>
      </c>
      <c r="BY207">
        <f t="shared" si="171"/>
        <v>0</v>
      </c>
      <c r="BZ207">
        <f t="shared" si="171"/>
        <v>0</v>
      </c>
      <c r="CA207">
        <f t="shared" ref="CA207:DF207" si="172">CA216</f>
        <v>76051.69</v>
      </c>
      <c r="CB207">
        <f t="shared" si="172"/>
        <v>0</v>
      </c>
      <c r="CC207">
        <f t="shared" si="172"/>
        <v>0</v>
      </c>
      <c r="CD207">
        <f t="shared" si="172"/>
        <v>76051.69</v>
      </c>
      <c r="CE207">
        <f t="shared" si="172"/>
        <v>63049.41</v>
      </c>
      <c r="CF207">
        <f t="shared" si="172"/>
        <v>63049.41</v>
      </c>
      <c r="CG207">
        <f t="shared" si="172"/>
        <v>0</v>
      </c>
      <c r="CH207">
        <f t="shared" si="172"/>
        <v>63049.41</v>
      </c>
      <c r="CI207">
        <f t="shared" si="172"/>
        <v>0</v>
      </c>
      <c r="CJ207">
        <f t="shared" si="172"/>
        <v>0</v>
      </c>
      <c r="CK207">
        <f t="shared" si="172"/>
        <v>0</v>
      </c>
      <c r="CL207">
        <f t="shared" si="172"/>
        <v>0</v>
      </c>
      <c r="CM207">
        <f t="shared" si="172"/>
        <v>0</v>
      </c>
      <c r="CN207">
        <f t="shared" si="172"/>
        <v>0</v>
      </c>
      <c r="CO207">
        <f t="shared" si="172"/>
        <v>0</v>
      </c>
      <c r="CP207">
        <f t="shared" si="172"/>
        <v>0</v>
      </c>
      <c r="CQ207">
        <f t="shared" si="172"/>
        <v>0</v>
      </c>
      <c r="CR207">
        <f t="shared" si="172"/>
        <v>0</v>
      </c>
      <c r="CS207">
        <f t="shared" si="172"/>
        <v>0</v>
      </c>
      <c r="CT207">
        <f t="shared" si="172"/>
        <v>0</v>
      </c>
      <c r="CU207">
        <f t="shared" si="172"/>
        <v>0</v>
      </c>
      <c r="CV207">
        <f t="shared" si="172"/>
        <v>0</v>
      </c>
      <c r="CW207">
        <f t="shared" si="172"/>
        <v>0</v>
      </c>
      <c r="CX207">
        <f t="shared" si="172"/>
        <v>0</v>
      </c>
      <c r="CY207">
        <f t="shared" si="172"/>
        <v>0</v>
      </c>
      <c r="CZ207">
        <f t="shared" si="172"/>
        <v>0</v>
      </c>
      <c r="DA207">
        <f t="shared" si="172"/>
        <v>0</v>
      </c>
      <c r="DB207">
        <f t="shared" si="172"/>
        <v>0</v>
      </c>
      <c r="DC207">
        <f t="shared" si="172"/>
        <v>0</v>
      </c>
      <c r="DD207">
        <f t="shared" si="172"/>
        <v>0</v>
      </c>
      <c r="DE207">
        <f t="shared" si="172"/>
        <v>0</v>
      </c>
      <c r="DF207">
        <f t="shared" si="172"/>
        <v>0</v>
      </c>
      <c r="DG207">
        <f t="shared" ref="DG207:EL207" si="173">DG216</f>
        <v>0</v>
      </c>
      <c r="DH207">
        <f t="shared" si="173"/>
        <v>0</v>
      </c>
      <c r="DI207">
        <f t="shared" si="173"/>
        <v>0</v>
      </c>
      <c r="DJ207">
        <f t="shared" si="173"/>
        <v>0</v>
      </c>
      <c r="DK207">
        <f t="shared" si="173"/>
        <v>0</v>
      </c>
      <c r="DL207">
        <f t="shared" si="173"/>
        <v>0</v>
      </c>
      <c r="DM207">
        <f t="shared" si="173"/>
        <v>0</v>
      </c>
      <c r="DN207">
        <f t="shared" si="173"/>
        <v>0</v>
      </c>
      <c r="DO207">
        <f t="shared" si="173"/>
        <v>0</v>
      </c>
      <c r="DP207">
        <f t="shared" si="173"/>
        <v>0</v>
      </c>
      <c r="DQ207">
        <f t="shared" si="173"/>
        <v>0</v>
      </c>
      <c r="DR207">
        <f t="shared" si="173"/>
        <v>0</v>
      </c>
      <c r="DS207">
        <f t="shared" si="173"/>
        <v>0</v>
      </c>
      <c r="DT207">
        <f t="shared" si="173"/>
        <v>0</v>
      </c>
      <c r="DU207">
        <f t="shared" si="173"/>
        <v>0</v>
      </c>
      <c r="DV207">
        <f t="shared" si="173"/>
        <v>0</v>
      </c>
      <c r="DW207">
        <f t="shared" si="173"/>
        <v>0</v>
      </c>
      <c r="DX207">
        <f t="shared" si="173"/>
        <v>0</v>
      </c>
      <c r="DY207">
        <f t="shared" si="173"/>
        <v>0</v>
      </c>
      <c r="DZ207">
        <f t="shared" si="173"/>
        <v>0</v>
      </c>
      <c r="EA207">
        <f t="shared" si="173"/>
        <v>0</v>
      </c>
      <c r="EB207">
        <f t="shared" si="173"/>
        <v>0</v>
      </c>
      <c r="EC207">
        <f t="shared" si="173"/>
        <v>0</v>
      </c>
      <c r="ED207">
        <f t="shared" si="173"/>
        <v>0</v>
      </c>
      <c r="EE207">
        <f t="shared" si="173"/>
        <v>0</v>
      </c>
      <c r="EF207">
        <f t="shared" si="173"/>
        <v>0</v>
      </c>
      <c r="EG207">
        <f t="shared" si="173"/>
        <v>0</v>
      </c>
      <c r="EH207">
        <f t="shared" si="173"/>
        <v>0</v>
      </c>
      <c r="EI207">
        <f t="shared" si="173"/>
        <v>0</v>
      </c>
      <c r="EJ207">
        <f t="shared" si="173"/>
        <v>0</v>
      </c>
      <c r="EK207">
        <f t="shared" si="173"/>
        <v>0</v>
      </c>
      <c r="EL207">
        <f t="shared" si="173"/>
        <v>0</v>
      </c>
      <c r="EM207">
        <f t="shared" ref="EM207:FR207" si="174">EM216</f>
        <v>0</v>
      </c>
      <c r="EN207">
        <f t="shared" si="174"/>
        <v>0</v>
      </c>
      <c r="EO207">
        <f t="shared" si="174"/>
        <v>0</v>
      </c>
      <c r="EP207">
        <f t="shared" si="174"/>
        <v>0</v>
      </c>
      <c r="EQ207">
        <f t="shared" si="174"/>
        <v>0</v>
      </c>
      <c r="ER207">
        <f t="shared" si="174"/>
        <v>0</v>
      </c>
      <c r="ES207">
        <f t="shared" si="174"/>
        <v>0</v>
      </c>
      <c r="ET207">
        <f t="shared" si="174"/>
        <v>0</v>
      </c>
      <c r="EU207">
        <f t="shared" si="174"/>
        <v>0</v>
      </c>
      <c r="EV207">
        <f t="shared" si="174"/>
        <v>0</v>
      </c>
      <c r="EW207">
        <f t="shared" si="174"/>
        <v>0</v>
      </c>
      <c r="EX207">
        <f t="shared" si="174"/>
        <v>0</v>
      </c>
      <c r="EY207">
        <f t="shared" si="174"/>
        <v>0</v>
      </c>
      <c r="EZ207">
        <f t="shared" si="174"/>
        <v>0</v>
      </c>
      <c r="FA207">
        <f t="shared" si="174"/>
        <v>0</v>
      </c>
      <c r="FB207">
        <f t="shared" si="174"/>
        <v>0</v>
      </c>
      <c r="FC207">
        <f t="shared" si="174"/>
        <v>0</v>
      </c>
      <c r="FD207">
        <f t="shared" si="174"/>
        <v>0</v>
      </c>
      <c r="FE207">
        <f t="shared" si="174"/>
        <v>0</v>
      </c>
      <c r="FF207">
        <f t="shared" si="174"/>
        <v>0</v>
      </c>
      <c r="FG207">
        <f t="shared" si="174"/>
        <v>0</v>
      </c>
      <c r="FH207">
        <f t="shared" si="174"/>
        <v>0</v>
      </c>
      <c r="FI207">
        <f t="shared" si="174"/>
        <v>0</v>
      </c>
      <c r="FJ207">
        <f t="shared" si="174"/>
        <v>0</v>
      </c>
      <c r="FK207">
        <f t="shared" si="174"/>
        <v>0</v>
      </c>
      <c r="FL207">
        <f t="shared" si="174"/>
        <v>0</v>
      </c>
      <c r="FM207">
        <f t="shared" si="174"/>
        <v>0</v>
      </c>
      <c r="FN207">
        <f t="shared" si="174"/>
        <v>0</v>
      </c>
      <c r="FO207">
        <f t="shared" si="174"/>
        <v>0</v>
      </c>
      <c r="FP207">
        <f t="shared" si="174"/>
        <v>0</v>
      </c>
      <c r="FQ207">
        <f t="shared" si="174"/>
        <v>0</v>
      </c>
      <c r="FR207">
        <f t="shared" si="174"/>
        <v>0</v>
      </c>
      <c r="FS207">
        <f t="shared" ref="FS207:GX207" si="175">FS216</f>
        <v>0</v>
      </c>
      <c r="FT207">
        <f t="shared" si="175"/>
        <v>0</v>
      </c>
      <c r="FU207">
        <f t="shared" si="175"/>
        <v>0</v>
      </c>
      <c r="FV207">
        <f t="shared" si="175"/>
        <v>0</v>
      </c>
      <c r="FW207">
        <f t="shared" si="175"/>
        <v>0</v>
      </c>
      <c r="FX207">
        <f t="shared" si="175"/>
        <v>0</v>
      </c>
      <c r="FY207">
        <f t="shared" si="175"/>
        <v>0</v>
      </c>
      <c r="FZ207">
        <f t="shared" si="175"/>
        <v>0</v>
      </c>
      <c r="GA207">
        <f t="shared" si="175"/>
        <v>0</v>
      </c>
      <c r="GB207">
        <f t="shared" si="175"/>
        <v>0</v>
      </c>
      <c r="GC207">
        <f t="shared" si="175"/>
        <v>0</v>
      </c>
      <c r="GD207">
        <f t="shared" si="175"/>
        <v>0</v>
      </c>
      <c r="GE207">
        <f t="shared" si="175"/>
        <v>0</v>
      </c>
      <c r="GF207">
        <f t="shared" si="175"/>
        <v>0</v>
      </c>
      <c r="GG207">
        <f t="shared" si="175"/>
        <v>0</v>
      </c>
      <c r="GH207">
        <f t="shared" si="175"/>
        <v>0</v>
      </c>
      <c r="GI207">
        <f t="shared" si="175"/>
        <v>0</v>
      </c>
      <c r="GJ207">
        <f t="shared" si="175"/>
        <v>0</v>
      </c>
      <c r="GK207">
        <f t="shared" si="175"/>
        <v>0</v>
      </c>
      <c r="GL207">
        <f t="shared" si="175"/>
        <v>0</v>
      </c>
      <c r="GM207">
        <f t="shared" si="175"/>
        <v>0</v>
      </c>
      <c r="GN207">
        <f t="shared" si="175"/>
        <v>0</v>
      </c>
      <c r="GO207">
        <f t="shared" si="175"/>
        <v>0</v>
      </c>
      <c r="GP207">
        <f t="shared" si="175"/>
        <v>0</v>
      </c>
      <c r="GQ207">
        <f t="shared" si="175"/>
        <v>0</v>
      </c>
      <c r="GR207">
        <f t="shared" si="175"/>
        <v>0</v>
      </c>
      <c r="GS207">
        <f t="shared" si="175"/>
        <v>0</v>
      </c>
      <c r="GT207">
        <f t="shared" si="175"/>
        <v>0</v>
      </c>
      <c r="GU207">
        <f t="shared" si="175"/>
        <v>0</v>
      </c>
      <c r="GV207">
        <f t="shared" si="175"/>
        <v>0</v>
      </c>
      <c r="GW207">
        <f t="shared" si="175"/>
        <v>0</v>
      </c>
      <c r="GX207">
        <f t="shared" si="175"/>
        <v>0</v>
      </c>
    </row>
    <row r="209" spans="1:245" x14ac:dyDescent="0.2">
      <c r="A209">
        <v>17</v>
      </c>
      <c r="B209">
        <v>1</v>
      </c>
      <c r="D209">
        <f>ROW(EtalonRes!A299)</f>
        <v>299</v>
      </c>
      <c r="E209" t="s">
        <v>3</v>
      </c>
      <c r="F209" t="s">
        <v>252</v>
      </c>
      <c r="G209" t="s">
        <v>295</v>
      </c>
      <c r="H209" t="s">
        <v>47</v>
      </c>
      <c r="I209">
        <f>ROUND(I211*100*0.2/100,9)</f>
        <v>0.13800000000000001</v>
      </c>
      <c r="J209">
        <v>0</v>
      </c>
      <c r="O209">
        <f t="shared" ref="O209:O214" si="176">ROUND(CP209,2)</f>
        <v>10469.209999999999</v>
      </c>
      <c r="P209">
        <f t="shared" ref="P209:P214" si="177">ROUND(CQ209*I209,2)</f>
        <v>8992.36</v>
      </c>
      <c r="Q209">
        <f t="shared" ref="Q209:Q214" si="178">ROUND(CR209*I209,2)</f>
        <v>1049.1099999999999</v>
      </c>
      <c r="R209">
        <f t="shared" ref="R209:R214" si="179">ROUND(CS209*I209,2)</f>
        <v>444.77</v>
      </c>
      <c r="S209">
        <f t="shared" ref="S209:S214" si="180">ROUND(CT209*I209,2)</f>
        <v>427.74</v>
      </c>
      <c r="T209">
        <f t="shared" ref="T209:T214" si="181">ROUND(CU209*I209,2)</f>
        <v>0</v>
      </c>
      <c r="U209">
        <f t="shared" ref="U209:U214" si="182">CV209*I209</f>
        <v>2.2852800000000002</v>
      </c>
      <c r="V209">
        <f t="shared" ref="V209:V214" si="183">CW209*I209</f>
        <v>0</v>
      </c>
      <c r="W209">
        <f t="shared" ref="W209:W214" si="184">ROUND(CX209*I209,2)</f>
        <v>0</v>
      </c>
      <c r="X209">
        <f t="shared" ref="X209:Y214" si="185">ROUND(CY209,2)</f>
        <v>299.42</v>
      </c>
      <c r="Y209">
        <f t="shared" si="185"/>
        <v>42.77</v>
      </c>
      <c r="AA209">
        <v>-1</v>
      </c>
      <c r="AB209">
        <f t="shared" ref="AB209:AB214" si="186">ROUND((AC209+AD209+AF209),6)</f>
        <v>75863.820000000007</v>
      </c>
      <c r="AC209">
        <f t="shared" ref="AC209:AC214" si="187">ROUND((ES209),6)</f>
        <v>65162.05</v>
      </c>
      <c r="AD209">
        <f t="shared" ref="AD209:AD214" si="188">ROUND((((ET209)-(EU209))+AE209),6)</f>
        <v>7602.23</v>
      </c>
      <c r="AE209">
        <f t="shared" ref="AE209:AF214" si="189">ROUND((EU209),6)</f>
        <v>3222.98</v>
      </c>
      <c r="AF209">
        <f t="shared" si="189"/>
        <v>3099.54</v>
      </c>
      <c r="AG209">
        <f t="shared" ref="AG209:AG214" si="190">ROUND((AP209),6)</f>
        <v>0</v>
      </c>
      <c r="AH209">
        <f t="shared" ref="AH209:AI214" si="191">(EW209)</f>
        <v>16.559999999999999</v>
      </c>
      <c r="AI209">
        <f t="shared" si="191"/>
        <v>0</v>
      </c>
      <c r="AJ209">
        <f t="shared" ref="AJ209:AJ214" si="192">(AS209)</f>
        <v>0</v>
      </c>
      <c r="AK209">
        <v>75863.820000000007</v>
      </c>
      <c r="AL209">
        <v>65162.05</v>
      </c>
      <c r="AM209">
        <v>7602.23</v>
      </c>
      <c r="AN209">
        <v>3222.98</v>
      </c>
      <c r="AO209">
        <v>3099.54</v>
      </c>
      <c r="AP209">
        <v>0</v>
      </c>
      <c r="AQ209">
        <v>16.559999999999999</v>
      </c>
      <c r="AR209">
        <v>0</v>
      </c>
      <c r="AS209">
        <v>0</v>
      </c>
      <c r="AT209">
        <v>70</v>
      </c>
      <c r="AU209">
        <v>10</v>
      </c>
      <c r="AV209">
        <v>1</v>
      </c>
      <c r="AW209">
        <v>1</v>
      </c>
      <c r="AZ209">
        <v>1</v>
      </c>
      <c r="BA209">
        <v>1</v>
      </c>
      <c r="BB209">
        <v>1</v>
      </c>
      <c r="BC209">
        <v>1</v>
      </c>
      <c r="BD209" t="s">
        <v>3</v>
      </c>
      <c r="BE209" t="s">
        <v>3</v>
      </c>
      <c r="BF209" t="s">
        <v>3</v>
      </c>
      <c r="BG209" t="s">
        <v>3</v>
      </c>
      <c r="BH209">
        <v>0</v>
      </c>
      <c r="BI209">
        <v>4</v>
      </c>
      <c r="BJ209" t="s">
        <v>254</v>
      </c>
      <c r="BM209">
        <v>0</v>
      </c>
      <c r="BN209">
        <v>0</v>
      </c>
      <c r="BO209" t="s">
        <v>3</v>
      </c>
      <c r="BP209">
        <v>0</v>
      </c>
      <c r="BQ209">
        <v>1</v>
      </c>
      <c r="BR209">
        <v>0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 t="s">
        <v>3</v>
      </c>
      <c r="BZ209">
        <v>70</v>
      </c>
      <c r="CA209">
        <v>10</v>
      </c>
      <c r="CE209">
        <v>0</v>
      </c>
      <c r="CF209">
        <v>0</v>
      </c>
      <c r="CG209">
        <v>0</v>
      </c>
      <c r="CM209">
        <v>0</v>
      </c>
      <c r="CN209" t="s">
        <v>3</v>
      </c>
      <c r="CO209">
        <v>0</v>
      </c>
      <c r="CP209">
        <f t="shared" ref="CP209:CP214" si="193">(P209+Q209+S209)</f>
        <v>10469.210000000001</v>
      </c>
      <c r="CQ209">
        <f t="shared" ref="CQ209:CQ214" si="194">(AC209*BC209*AW209)</f>
        <v>65162.05</v>
      </c>
      <c r="CR209">
        <f t="shared" ref="CR209:CR214" si="195">((((ET209)*BB209-(EU209)*BS209)+AE209*BS209)*AV209)</f>
        <v>7602.23</v>
      </c>
      <c r="CS209">
        <f t="shared" ref="CS209:CS214" si="196">(AE209*BS209*AV209)</f>
        <v>3222.98</v>
      </c>
      <c r="CT209">
        <f t="shared" ref="CT209:CT214" si="197">(AF209*BA209*AV209)</f>
        <v>3099.54</v>
      </c>
      <c r="CU209">
        <f t="shared" ref="CU209:CU214" si="198">AG209</f>
        <v>0</v>
      </c>
      <c r="CV209">
        <f t="shared" ref="CV209:CV214" si="199">(AH209*AV209)</f>
        <v>16.559999999999999</v>
      </c>
      <c r="CW209">
        <f t="shared" ref="CW209:CX214" si="200">AI209</f>
        <v>0</v>
      </c>
      <c r="CX209">
        <f t="shared" si="200"/>
        <v>0</v>
      </c>
      <c r="CY209">
        <f t="shared" ref="CY209:CY214" si="201">((S209*BZ209)/100)</f>
        <v>299.41800000000001</v>
      </c>
      <c r="CZ209">
        <f t="shared" ref="CZ209:CZ214" si="202">((S209*CA209)/100)</f>
        <v>42.773999999999994</v>
      </c>
      <c r="DC209" t="s">
        <v>3</v>
      </c>
      <c r="DD209" t="s">
        <v>3</v>
      </c>
      <c r="DE209" t="s">
        <v>3</v>
      </c>
      <c r="DF209" t="s">
        <v>3</v>
      </c>
      <c r="DG209" t="s">
        <v>3</v>
      </c>
      <c r="DH209" t="s">
        <v>3</v>
      </c>
      <c r="DI209" t="s">
        <v>3</v>
      </c>
      <c r="DJ209" t="s">
        <v>3</v>
      </c>
      <c r="DK209" t="s">
        <v>3</v>
      </c>
      <c r="DL209" t="s">
        <v>3</v>
      </c>
      <c r="DM209" t="s">
        <v>3</v>
      </c>
      <c r="DN209">
        <v>0</v>
      </c>
      <c r="DO209">
        <v>0</v>
      </c>
      <c r="DP209">
        <v>1</v>
      </c>
      <c r="DQ209">
        <v>1</v>
      </c>
      <c r="DU209">
        <v>1007</v>
      </c>
      <c r="DV209" t="s">
        <v>47</v>
      </c>
      <c r="DW209" t="s">
        <v>47</v>
      </c>
      <c r="DX209">
        <v>100</v>
      </c>
      <c r="EE209">
        <v>67874524</v>
      </c>
      <c r="EF209">
        <v>1</v>
      </c>
      <c r="EG209" t="s">
        <v>20</v>
      </c>
      <c r="EH209">
        <v>0</v>
      </c>
      <c r="EI209" t="s">
        <v>3</v>
      </c>
      <c r="EJ209">
        <v>4</v>
      </c>
      <c r="EK209">
        <v>0</v>
      </c>
      <c r="EL209" t="s">
        <v>21</v>
      </c>
      <c r="EM209" t="s">
        <v>22</v>
      </c>
      <c r="EO209" t="s">
        <v>3</v>
      </c>
      <c r="EQ209">
        <v>1024</v>
      </c>
      <c r="ER209">
        <v>75863.820000000007</v>
      </c>
      <c r="ES209">
        <v>65162.05</v>
      </c>
      <c r="ET209">
        <v>7602.23</v>
      </c>
      <c r="EU209">
        <v>3222.98</v>
      </c>
      <c r="EV209">
        <v>3099.54</v>
      </c>
      <c r="EW209">
        <v>16.559999999999999</v>
      </c>
      <c r="EX209">
        <v>0</v>
      </c>
      <c r="EY209">
        <v>0</v>
      </c>
      <c r="FQ209">
        <v>0</v>
      </c>
      <c r="FR209">
        <f t="shared" ref="FR209:FR214" si="203">ROUND(IF(AND(BH209=3,BI209=3),P209,0),2)</f>
        <v>0</v>
      </c>
      <c r="FS209">
        <v>0</v>
      </c>
      <c r="FX209">
        <v>70</v>
      </c>
      <c r="FY209">
        <v>10</v>
      </c>
      <c r="GA209" t="s">
        <v>3</v>
      </c>
      <c r="GD209">
        <v>0</v>
      </c>
      <c r="GF209">
        <v>-1940416187</v>
      </c>
      <c r="GG209">
        <v>2</v>
      </c>
      <c r="GH209">
        <v>1</v>
      </c>
      <c r="GI209">
        <v>-2</v>
      </c>
      <c r="GJ209">
        <v>0</v>
      </c>
      <c r="GK209">
        <f>ROUND(R209*(R12)/100,2)</f>
        <v>480.35</v>
      </c>
      <c r="GL209">
        <f t="shared" ref="GL209:GL214" si="204">ROUND(IF(AND(BH209=3,BI209=3,FS209&lt;&gt;0),P209,0),2)</f>
        <v>0</v>
      </c>
      <c r="GM209">
        <f t="shared" ref="GM209:GM214" si="205">ROUND(O209+X209+Y209+GK209,2)+GX209</f>
        <v>11291.75</v>
      </c>
      <c r="GN209">
        <f t="shared" ref="GN209:GN214" si="206">IF(OR(BI209=0,BI209=1),ROUND(O209+X209+Y209+GK209,2),0)</f>
        <v>0</v>
      </c>
      <c r="GO209">
        <f t="shared" ref="GO209:GO214" si="207">IF(BI209=2,ROUND(O209+X209+Y209+GK209,2),0)</f>
        <v>0</v>
      </c>
      <c r="GP209">
        <f t="shared" ref="GP209:GP214" si="208">IF(BI209=4,ROUND(O209+X209+Y209+GK209,2)+GX209,0)</f>
        <v>11291.75</v>
      </c>
      <c r="GR209">
        <v>0</v>
      </c>
      <c r="GS209">
        <v>3</v>
      </c>
      <c r="GT209">
        <v>0</v>
      </c>
      <c r="GU209" t="s">
        <v>3</v>
      </c>
      <c r="GV209">
        <f t="shared" ref="GV209:GV214" si="209">ROUND((GT209),6)</f>
        <v>0</v>
      </c>
      <c r="GW209">
        <v>1</v>
      </c>
      <c r="GX209">
        <f t="shared" ref="GX209:GX214" si="210">ROUND(HC209*I209,2)</f>
        <v>0</v>
      </c>
      <c r="HA209">
        <v>0</v>
      </c>
      <c r="HB209">
        <v>0</v>
      </c>
      <c r="HC209">
        <f t="shared" ref="HC209:HC214" si="211">GV209*GW209</f>
        <v>0</v>
      </c>
      <c r="IK209">
        <v>0</v>
      </c>
    </row>
    <row r="210" spans="1:245" x14ac:dyDescent="0.2">
      <c r="A210">
        <v>17</v>
      </c>
      <c r="B210">
        <v>1</v>
      </c>
      <c r="D210">
        <f>ROW(EtalonRes!A308)</f>
        <v>308</v>
      </c>
      <c r="E210" t="s">
        <v>3</v>
      </c>
      <c r="F210" t="s">
        <v>256</v>
      </c>
      <c r="G210" t="s">
        <v>296</v>
      </c>
      <c r="H210" t="s">
        <v>47</v>
      </c>
      <c r="I210">
        <f>ROUND(I211*100*0.12/100,9)</f>
        <v>8.2799999999999999E-2</v>
      </c>
      <c r="J210">
        <v>0</v>
      </c>
      <c r="O210">
        <f t="shared" si="176"/>
        <v>23255.58</v>
      </c>
      <c r="P210">
        <f t="shared" si="177"/>
        <v>18421.28</v>
      </c>
      <c r="Q210">
        <f t="shared" si="178"/>
        <v>4449.34</v>
      </c>
      <c r="R210">
        <f t="shared" si="179"/>
        <v>1756.61</v>
      </c>
      <c r="S210">
        <f t="shared" si="180"/>
        <v>384.96</v>
      </c>
      <c r="T210">
        <f t="shared" si="181"/>
        <v>0</v>
      </c>
      <c r="U210">
        <f t="shared" si="182"/>
        <v>2.0567519999999999</v>
      </c>
      <c r="V210">
        <f t="shared" si="183"/>
        <v>0</v>
      </c>
      <c r="W210">
        <f t="shared" si="184"/>
        <v>0</v>
      </c>
      <c r="X210">
        <f t="shared" si="185"/>
        <v>269.47000000000003</v>
      </c>
      <c r="Y210">
        <f t="shared" si="185"/>
        <v>38.5</v>
      </c>
      <c r="AA210">
        <v>-1</v>
      </c>
      <c r="AB210">
        <f t="shared" si="186"/>
        <v>280864.57</v>
      </c>
      <c r="AC210">
        <f t="shared" si="187"/>
        <v>222479.25</v>
      </c>
      <c r="AD210">
        <f t="shared" si="188"/>
        <v>53736.02</v>
      </c>
      <c r="AE210">
        <f t="shared" si="189"/>
        <v>21215.13</v>
      </c>
      <c r="AF210">
        <f t="shared" si="189"/>
        <v>4649.3</v>
      </c>
      <c r="AG210">
        <f t="shared" si="190"/>
        <v>0</v>
      </c>
      <c r="AH210">
        <f t="shared" si="191"/>
        <v>24.84</v>
      </c>
      <c r="AI210">
        <f t="shared" si="191"/>
        <v>0</v>
      </c>
      <c r="AJ210">
        <f t="shared" si="192"/>
        <v>0</v>
      </c>
      <c r="AK210">
        <v>280864.57</v>
      </c>
      <c r="AL210">
        <v>222479.25</v>
      </c>
      <c r="AM210">
        <v>53736.02</v>
      </c>
      <c r="AN210">
        <v>21215.13</v>
      </c>
      <c r="AO210">
        <v>4649.3</v>
      </c>
      <c r="AP210">
        <v>0</v>
      </c>
      <c r="AQ210">
        <v>24.84</v>
      </c>
      <c r="AR210">
        <v>0</v>
      </c>
      <c r="AS210">
        <v>0</v>
      </c>
      <c r="AT210">
        <v>70</v>
      </c>
      <c r="AU210">
        <v>10</v>
      </c>
      <c r="AV210">
        <v>1</v>
      </c>
      <c r="AW210">
        <v>1</v>
      </c>
      <c r="AZ210">
        <v>1</v>
      </c>
      <c r="BA210">
        <v>1</v>
      </c>
      <c r="BB210">
        <v>1</v>
      </c>
      <c r="BC210">
        <v>1</v>
      </c>
      <c r="BD210" t="s">
        <v>3</v>
      </c>
      <c r="BE210" t="s">
        <v>3</v>
      </c>
      <c r="BF210" t="s">
        <v>3</v>
      </c>
      <c r="BG210" t="s">
        <v>3</v>
      </c>
      <c r="BH210">
        <v>0</v>
      </c>
      <c r="BI210">
        <v>4</v>
      </c>
      <c r="BJ210" t="s">
        <v>258</v>
      </c>
      <c r="BM210">
        <v>0</v>
      </c>
      <c r="BN210">
        <v>0</v>
      </c>
      <c r="BO210" t="s">
        <v>3</v>
      </c>
      <c r="BP210">
        <v>0</v>
      </c>
      <c r="BQ210">
        <v>1</v>
      </c>
      <c r="BR210">
        <v>0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 t="s">
        <v>3</v>
      </c>
      <c r="BZ210">
        <v>70</v>
      </c>
      <c r="CA210">
        <v>10</v>
      </c>
      <c r="CE210">
        <v>0</v>
      </c>
      <c r="CF210">
        <v>0</v>
      </c>
      <c r="CG210">
        <v>0</v>
      </c>
      <c r="CM210">
        <v>0</v>
      </c>
      <c r="CN210" t="s">
        <v>3</v>
      </c>
      <c r="CO210">
        <v>0</v>
      </c>
      <c r="CP210">
        <f t="shared" si="193"/>
        <v>23255.579999999998</v>
      </c>
      <c r="CQ210">
        <f t="shared" si="194"/>
        <v>222479.25</v>
      </c>
      <c r="CR210">
        <f t="shared" si="195"/>
        <v>53736.02</v>
      </c>
      <c r="CS210">
        <f t="shared" si="196"/>
        <v>21215.13</v>
      </c>
      <c r="CT210">
        <f t="shared" si="197"/>
        <v>4649.3</v>
      </c>
      <c r="CU210">
        <f t="shared" si="198"/>
        <v>0</v>
      </c>
      <c r="CV210">
        <f t="shared" si="199"/>
        <v>24.84</v>
      </c>
      <c r="CW210">
        <f t="shared" si="200"/>
        <v>0</v>
      </c>
      <c r="CX210">
        <f t="shared" si="200"/>
        <v>0</v>
      </c>
      <c r="CY210">
        <f t="shared" si="201"/>
        <v>269.47199999999998</v>
      </c>
      <c r="CZ210">
        <f t="shared" si="202"/>
        <v>38.496000000000002</v>
      </c>
      <c r="DC210" t="s">
        <v>3</v>
      </c>
      <c r="DD210" t="s">
        <v>3</v>
      </c>
      <c r="DE210" t="s">
        <v>3</v>
      </c>
      <c r="DF210" t="s">
        <v>3</v>
      </c>
      <c r="DG210" t="s">
        <v>3</v>
      </c>
      <c r="DH210" t="s">
        <v>3</v>
      </c>
      <c r="DI210" t="s">
        <v>3</v>
      </c>
      <c r="DJ210" t="s">
        <v>3</v>
      </c>
      <c r="DK210" t="s">
        <v>3</v>
      </c>
      <c r="DL210" t="s">
        <v>3</v>
      </c>
      <c r="DM210" t="s">
        <v>3</v>
      </c>
      <c r="DN210">
        <v>0</v>
      </c>
      <c r="DO210">
        <v>0</v>
      </c>
      <c r="DP210">
        <v>1</v>
      </c>
      <c r="DQ210">
        <v>1</v>
      </c>
      <c r="DU210">
        <v>1007</v>
      </c>
      <c r="DV210" t="s">
        <v>47</v>
      </c>
      <c r="DW210" t="s">
        <v>47</v>
      </c>
      <c r="DX210">
        <v>100</v>
      </c>
      <c r="EE210">
        <v>67874524</v>
      </c>
      <c r="EF210">
        <v>1</v>
      </c>
      <c r="EG210" t="s">
        <v>20</v>
      </c>
      <c r="EH210">
        <v>0</v>
      </c>
      <c r="EI210" t="s">
        <v>3</v>
      </c>
      <c r="EJ210">
        <v>4</v>
      </c>
      <c r="EK210">
        <v>0</v>
      </c>
      <c r="EL210" t="s">
        <v>21</v>
      </c>
      <c r="EM210" t="s">
        <v>22</v>
      </c>
      <c r="EO210" t="s">
        <v>3</v>
      </c>
      <c r="EQ210">
        <v>1024</v>
      </c>
      <c r="ER210">
        <v>280864.57</v>
      </c>
      <c r="ES210">
        <v>222479.25</v>
      </c>
      <c r="ET210">
        <v>53736.02</v>
      </c>
      <c r="EU210">
        <v>21215.13</v>
      </c>
      <c r="EV210">
        <v>4649.3</v>
      </c>
      <c r="EW210">
        <v>24.84</v>
      </c>
      <c r="EX210">
        <v>0</v>
      </c>
      <c r="EY210">
        <v>0</v>
      </c>
      <c r="FQ210">
        <v>0</v>
      </c>
      <c r="FR210">
        <f t="shared" si="203"/>
        <v>0</v>
      </c>
      <c r="FS210">
        <v>0</v>
      </c>
      <c r="FX210">
        <v>70</v>
      </c>
      <c r="FY210">
        <v>10</v>
      </c>
      <c r="GA210" t="s">
        <v>3</v>
      </c>
      <c r="GD210">
        <v>0</v>
      </c>
      <c r="GF210">
        <v>-108151162</v>
      </c>
      <c r="GG210">
        <v>2</v>
      </c>
      <c r="GH210">
        <v>1</v>
      </c>
      <c r="GI210">
        <v>-2</v>
      </c>
      <c r="GJ210">
        <v>0</v>
      </c>
      <c r="GK210">
        <f>ROUND(R210*(R12)/100,2)</f>
        <v>1897.14</v>
      </c>
      <c r="GL210">
        <f t="shared" si="204"/>
        <v>0</v>
      </c>
      <c r="GM210">
        <f t="shared" si="205"/>
        <v>25460.69</v>
      </c>
      <c r="GN210">
        <f t="shared" si="206"/>
        <v>0</v>
      </c>
      <c r="GO210">
        <f t="shared" si="207"/>
        <v>0</v>
      </c>
      <c r="GP210">
        <f t="shared" si="208"/>
        <v>25460.69</v>
      </c>
      <c r="GR210">
        <v>0</v>
      </c>
      <c r="GS210">
        <v>3</v>
      </c>
      <c r="GT210">
        <v>0</v>
      </c>
      <c r="GU210" t="s">
        <v>3</v>
      </c>
      <c r="GV210">
        <f t="shared" si="209"/>
        <v>0</v>
      </c>
      <c r="GW210">
        <v>1</v>
      </c>
      <c r="GX210">
        <f t="shared" si="210"/>
        <v>0</v>
      </c>
      <c r="HA210">
        <v>0</v>
      </c>
      <c r="HB210">
        <v>0</v>
      </c>
      <c r="HC210">
        <f t="shared" si="211"/>
        <v>0</v>
      </c>
      <c r="IK210">
        <v>0</v>
      </c>
    </row>
    <row r="211" spans="1:245" x14ac:dyDescent="0.2">
      <c r="A211">
        <v>17</v>
      </c>
      <c r="B211">
        <v>1</v>
      </c>
      <c r="C211">
        <f>ROW(SmtRes!A43)</f>
        <v>43</v>
      </c>
      <c r="D211">
        <f>ROW(EtalonRes!A315)</f>
        <v>315</v>
      </c>
      <c r="E211" t="s">
        <v>3</v>
      </c>
      <c r="F211" t="s">
        <v>297</v>
      </c>
      <c r="G211" t="s">
        <v>298</v>
      </c>
      <c r="H211" t="s">
        <v>28</v>
      </c>
      <c r="I211">
        <f>ROUND((69)/100,9)</f>
        <v>0.69</v>
      </c>
      <c r="J211">
        <v>0</v>
      </c>
      <c r="O211">
        <f t="shared" si="176"/>
        <v>47381.8</v>
      </c>
      <c r="P211">
        <f t="shared" si="177"/>
        <v>28359.98</v>
      </c>
      <c r="Q211">
        <f t="shared" si="178"/>
        <v>272.35000000000002</v>
      </c>
      <c r="R211">
        <f t="shared" si="179"/>
        <v>12.32</v>
      </c>
      <c r="S211">
        <f t="shared" si="180"/>
        <v>18749.47</v>
      </c>
      <c r="T211">
        <f t="shared" si="181"/>
        <v>0</v>
      </c>
      <c r="U211">
        <f t="shared" si="182"/>
        <v>92.515200000000007</v>
      </c>
      <c r="V211">
        <f t="shared" si="183"/>
        <v>0</v>
      </c>
      <c r="W211">
        <f t="shared" si="184"/>
        <v>0</v>
      </c>
      <c r="X211">
        <f t="shared" si="185"/>
        <v>13124.63</v>
      </c>
      <c r="Y211">
        <f t="shared" si="185"/>
        <v>1874.95</v>
      </c>
      <c r="AA211">
        <v>-1</v>
      </c>
      <c r="AB211">
        <f t="shared" si="186"/>
        <v>68669.279999999999</v>
      </c>
      <c r="AC211">
        <f t="shared" si="187"/>
        <v>41101.42</v>
      </c>
      <c r="AD211">
        <f t="shared" si="188"/>
        <v>394.71</v>
      </c>
      <c r="AE211">
        <f t="shared" si="189"/>
        <v>17.86</v>
      </c>
      <c r="AF211">
        <f t="shared" si="189"/>
        <v>27173.15</v>
      </c>
      <c r="AG211">
        <f t="shared" si="190"/>
        <v>0</v>
      </c>
      <c r="AH211">
        <f t="shared" si="191"/>
        <v>134.08000000000001</v>
      </c>
      <c r="AI211">
        <f t="shared" si="191"/>
        <v>0</v>
      </c>
      <c r="AJ211">
        <f t="shared" si="192"/>
        <v>0</v>
      </c>
      <c r="AK211">
        <v>68669.279999999999</v>
      </c>
      <c r="AL211">
        <v>41101.42</v>
      </c>
      <c r="AM211">
        <v>394.71</v>
      </c>
      <c r="AN211">
        <v>17.86</v>
      </c>
      <c r="AO211">
        <v>27173.15</v>
      </c>
      <c r="AP211">
        <v>0</v>
      </c>
      <c r="AQ211">
        <v>134.08000000000001</v>
      </c>
      <c r="AR211">
        <v>0</v>
      </c>
      <c r="AS211">
        <v>0</v>
      </c>
      <c r="AT211">
        <v>70</v>
      </c>
      <c r="AU211">
        <v>10</v>
      </c>
      <c r="AV211">
        <v>1</v>
      </c>
      <c r="AW211">
        <v>1</v>
      </c>
      <c r="AZ211">
        <v>1</v>
      </c>
      <c r="BA211">
        <v>1</v>
      </c>
      <c r="BB211">
        <v>1</v>
      </c>
      <c r="BC211">
        <v>1</v>
      </c>
      <c r="BD211" t="s">
        <v>3</v>
      </c>
      <c r="BE211" t="s">
        <v>3</v>
      </c>
      <c r="BF211" t="s">
        <v>3</v>
      </c>
      <c r="BG211" t="s">
        <v>3</v>
      </c>
      <c r="BH211">
        <v>0</v>
      </c>
      <c r="BI211">
        <v>4</v>
      </c>
      <c r="BJ211" t="s">
        <v>299</v>
      </c>
      <c r="BM211">
        <v>0</v>
      </c>
      <c r="BN211">
        <v>0</v>
      </c>
      <c r="BO211" t="s">
        <v>3</v>
      </c>
      <c r="BP211">
        <v>0</v>
      </c>
      <c r="BQ211">
        <v>1</v>
      </c>
      <c r="BR211">
        <v>0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 t="s">
        <v>3</v>
      </c>
      <c r="BZ211">
        <v>70</v>
      </c>
      <c r="CA211">
        <v>10</v>
      </c>
      <c r="CE211">
        <v>0</v>
      </c>
      <c r="CF211">
        <v>0</v>
      </c>
      <c r="CG211">
        <v>0</v>
      </c>
      <c r="CM211">
        <v>0</v>
      </c>
      <c r="CN211" t="s">
        <v>3</v>
      </c>
      <c r="CO211">
        <v>0</v>
      </c>
      <c r="CP211">
        <f t="shared" si="193"/>
        <v>47381.8</v>
      </c>
      <c r="CQ211">
        <f t="shared" si="194"/>
        <v>41101.42</v>
      </c>
      <c r="CR211">
        <f t="shared" si="195"/>
        <v>394.71</v>
      </c>
      <c r="CS211">
        <f t="shared" si="196"/>
        <v>17.86</v>
      </c>
      <c r="CT211">
        <f t="shared" si="197"/>
        <v>27173.15</v>
      </c>
      <c r="CU211">
        <f t="shared" si="198"/>
        <v>0</v>
      </c>
      <c r="CV211">
        <f t="shared" si="199"/>
        <v>134.08000000000001</v>
      </c>
      <c r="CW211">
        <f t="shared" si="200"/>
        <v>0</v>
      </c>
      <c r="CX211">
        <f t="shared" si="200"/>
        <v>0</v>
      </c>
      <c r="CY211">
        <f t="shared" si="201"/>
        <v>13124.629000000001</v>
      </c>
      <c r="CZ211">
        <f t="shared" si="202"/>
        <v>1874.9470000000001</v>
      </c>
      <c r="DC211" t="s">
        <v>3</v>
      </c>
      <c r="DD211" t="s">
        <v>3</v>
      </c>
      <c r="DE211" t="s">
        <v>3</v>
      </c>
      <c r="DF211" t="s">
        <v>3</v>
      </c>
      <c r="DG211" t="s">
        <v>3</v>
      </c>
      <c r="DH211" t="s">
        <v>3</v>
      </c>
      <c r="DI211" t="s">
        <v>3</v>
      </c>
      <c r="DJ211" t="s">
        <v>3</v>
      </c>
      <c r="DK211" t="s">
        <v>3</v>
      </c>
      <c r="DL211" t="s">
        <v>3</v>
      </c>
      <c r="DM211" t="s">
        <v>3</v>
      </c>
      <c r="DN211">
        <v>0</v>
      </c>
      <c r="DO211">
        <v>0</v>
      </c>
      <c r="DP211">
        <v>1</v>
      </c>
      <c r="DQ211">
        <v>1</v>
      </c>
      <c r="DU211">
        <v>1005</v>
      </c>
      <c r="DV211" t="s">
        <v>28</v>
      </c>
      <c r="DW211" t="s">
        <v>28</v>
      </c>
      <c r="DX211">
        <v>100</v>
      </c>
      <c r="EE211">
        <v>67874524</v>
      </c>
      <c r="EF211">
        <v>1</v>
      </c>
      <c r="EG211" t="s">
        <v>20</v>
      </c>
      <c r="EH211">
        <v>0</v>
      </c>
      <c r="EI211" t="s">
        <v>3</v>
      </c>
      <c r="EJ211">
        <v>4</v>
      </c>
      <c r="EK211">
        <v>0</v>
      </c>
      <c r="EL211" t="s">
        <v>21</v>
      </c>
      <c r="EM211" t="s">
        <v>22</v>
      </c>
      <c r="EO211" t="s">
        <v>3</v>
      </c>
      <c r="EQ211">
        <v>1024</v>
      </c>
      <c r="ER211">
        <v>68669.279999999999</v>
      </c>
      <c r="ES211">
        <v>41101.42</v>
      </c>
      <c r="ET211">
        <v>394.71</v>
      </c>
      <c r="EU211">
        <v>17.86</v>
      </c>
      <c r="EV211">
        <v>27173.15</v>
      </c>
      <c r="EW211">
        <v>134.08000000000001</v>
      </c>
      <c r="EX211">
        <v>0</v>
      </c>
      <c r="EY211">
        <v>0</v>
      </c>
      <c r="FQ211">
        <v>0</v>
      </c>
      <c r="FR211">
        <f t="shared" si="203"/>
        <v>0</v>
      </c>
      <c r="FS211">
        <v>0</v>
      </c>
      <c r="FX211">
        <v>70</v>
      </c>
      <c r="FY211">
        <v>10</v>
      </c>
      <c r="GA211" t="s">
        <v>3</v>
      </c>
      <c r="GD211">
        <v>0</v>
      </c>
      <c r="GF211">
        <v>-1508134128</v>
      </c>
      <c r="GG211">
        <v>2</v>
      </c>
      <c r="GH211">
        <v>1</v>
      </c>
      <c r="GI211">
        <v>-2</v>
      </c>
      <c r="GJ211">
        <v>0</v>
      </c>
      <c r="GK211">
        <f>ROUND(R211*(R12)/100,2)</f>
        <v>13.31</v>
      </c>
      <c r="GL211">
        <f t="shared" si="204"/>
        <v>0</v>
      </c>
      <c r="GM211">
        <f t="shared" si="205"/>
        <v>62394.69</v>
      </c>
      <c r="GN211">
        <f t="shared" si="206"/>
        <v>0</v>
      </c>
      <c r="GO211">
        <f t="shared" si="207"/>
        <v>0</v>
      </c>
      <c r="GP211">
        <f t="shared" si="208"/>
        <v>62394.69</v>
      </c>
      <c r="GR211">
        <v>0</v>
      </c>
      <c r="GS211">
        <v>3</v>
      </c>
      <c r="GT211">
        <v>0</v>
      </c>
      <c r="GU211" t="s">
        <v>3</v>
      </c>
      <c r="GV211">
        <f t="shared" si="209"/>
        <v>0</v>
      </c>
      <c r="GW211">
        <v>1</v>
      </c>
      <c r="GX211">
        <f t="shared" si="210"/>
        <v>0</v>
      </c>
      <c r="HA211">
        <v>0</v>
      </c>
      <c r="HB211">
        <v>0</v>
      </c>
      <c r="HC211">
        <f t="shared" si="211"/>
        <v>0</v>
      </c>
      <c r="IK211">
        <v>0</v>
      </c>
    </row>
    <row r="212" spans="1:245" x14ac:dyDescent="0.2">
      <c r="A212">
        <v>18</v>
      </c>
      <c r="B212">
        <v>1</v>
      </c>
      <c r="C212">
        <v>42</v>
      </c>
      <c r="E212" t="s">
        <v>3</v>
      </c>
      <c r="F212" t="s">
        <v>300</v>
      </c>
      <c r="G212" t="s">
        <v>301</v>
      </c>
      <c r="H212" t="s">
        <v>18</v>
      </c>
      <c r="I212">
        <f>I211*J212</f>
        <v>69</v>
      </c>
      <c r="J212">
        <v>100.00000000000001</v>
      </c>
      <c r="O212">
        <f t="shared" si="176"/>
        <v>66830.64</v>
      </c>
      <c r="P212">
        <f t="shared" si="177"/>
        <v>66830.64</v>
      </c>
      <c r="Q212">
        <f t="shared" si="178"/>
        <v>0</v>
      </c>
      <c r="R212">
        <f t="shared" si="179"/>
        <v>0</v>
      </c>
      <c r="S212">
        <f t="shared" si="180"/>
        <v>0</v>
      </c>
      <c r="T212">
        <f t="shared" si="181"/>
        <v>0</v>
      </c>
      <c r="U212">
        <f t="shared" si="182"/>
        <v>0</v>
      </c>
      <c r="V212">
        <f t="shared" si="183"/>
        <v>0</v>
      </c>
      <c r="W212">
        <f t="shared" si="184"/>
        <v>0</v>
      </c>
      <c r="X212">
        <f t="shared" si="185"/>
        <v>0</v>
      </c>
      <c r="Y212">
        <f t="shared" si="185"/>
        <v>0</v>
      </c>
      <c r="AA212">
        <v>-1</v>
      </c>
      <c r="AB212">
        <f t="shared" si="186"/>
        <v>968.56</v>
      </c>
      <c r="AC212">
        <f t="shared" si="187"/>
        <v>968.56</v>
      </c>
      <c r="AD212">
        <f t="shared" si="188"/>
        <v>0</v>
      </c>
      <c r="AE212">
        <f t="shared" si="189"/>
        <v>0</v>
      </c>
      <c r="AF212">
        <f t="shared" si="189"/>
        <v>0</v>
      </c>
      <c r="AG212">
        <f t="shared" si="190"/>
        <v>0</v>
      </c>
      <c r="AH212">
        <f t="shared" si="191"/>
        <v>0</v>
      </c>
      <c r="AI212">
        <f t="shared" si="191"/>
        <v>0</v>
      </c>
      <c r="AJ212">
        <f t="shared" si="192"/>
        <v>0</v>
      </c>
      <c r="AK212">
        <v>968.56</v>
      </c>
      <c r="AL212">
        <v>968.56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70</v>
      </c>
      <c r="AU212">
        <v>10</v>
      </c>
      <c r="AV212">
        <v>1</v>
      </c>
      <c r="AW212">
        <v>1</v>
      </c>
      <c r="AZ212">
        <v>1</v>
      </c>
      <c r="BA212">
        <v>1</v>
      </c>
      <c r="BB212">
        <v>1</v>
      </c>
      <c r="BC212">
        <v>1</v>
      </c>
      <c r="BD212" t="s">
        <v>3</v>
      </c>
      <c r="BE212" t="s">
        <v>3</v>
      </c>
      <c r="BF212" t="s">
        <v>3</v>
      </c>
      <c r="BG212" t="s">
        <v>3</v>
      </c>
      <c r="BH212">
        <v>3</v>
      </c>
      <c r="BI212">
        <v>4</v>
      </c>
      <c r="BJ212" t="s">
        <v>302</v>
      </c>
      <c r="BM212">
        <v>0</v>
      </c>
      <c r="BN212">
        <v>0</v>
      </c>
      <c r="BO212" t="s">
        <v>3</v>
      </c>
      <c r="BP212">
        <v>0</v>
      </c>
      <c r="BQ212">
        <v>1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3</v>
      </c>
      <c r="BZ212">
        <v>70</v>
      </c>
      <c r="CA212">
        <v>10</v>
      </c>
      <c r="CE212">
        <v>0</v>
      </c>
      <c r="CF212">
        <v>0</v>
      </c>
      <c r="CG212">
        <v>0</v>
      </c>
      <c r="CM212">
        <v>0</v>
      </c>
      <c r="CN212" t="s">
        <v>3</v>
      </c>
      <c r="CO212">
        <v>0</v>
      </c>
      <c r="CP212">
        <f t="shared" si="193"/>
        <v>66830.64</v>
      </c>
      <c r="CQ212">
        <f t="shared" si="194"/>
        <v>968.56</v>
      </c>
      <c r="CR212">
        <f t="shared" si="195"/>
        <v>0</v>
      </c>
      <c r="CS212">
        <f t="shared" si="196"/>
        <v>0</v>
      </c>
      <c r="CT212">
        <f t="shared" si="197"/>
        <v>0</v>
      </c>
      <c r="CU212">
        <f t="shared" si="198"/>
        <v>0</v>
      </c>
      <c r="CV212">
        <f t="shared" si="199"/>
        <v>0</v>
      </c>
      <c r="CW212">
        <f t="shared" si="200"/>
        <v>0</v>
      </c>
      <c r="CX212">
        <f t="shared" si="200"/>
        <v>0</v>
      </c>
      <c r="CY212">
        <f t="shared" si="201"/>
        <v>0</v>
      </c>
      <c r="CZ212">
        <f t="shared" si="202"/>
        <v>0</v>
      </c>
      <c r="DC212" t="s">
        <v>3</v>
      </c>
      <c r="DD212" t="s">
        <v>3</v>
      </c>
      <c r="DE212" t="s">
        <v>3</v>
      </c>
      <c r="DF212" t="s">
        <v>3</v>
      </c>
      <c r="DG212" t="s">
        <v>3</v>
      </c>
      <c r="DH212" t="s">
        <v>3</v>
      </c>
      <c r="DI212" t="s">
        <v>3</v>
      </c>
      <c r="DJ212" t="s">
        <v>3</v>
      </c>
      <c r="DK212" t="s">
        <v>3</v>
      </c>
      <c r="DL212" t="s">
        <v>3</v>
      </c>
      <c r="DM212" t="s">
        <v>3</v>
      </c>
      <c r="DN212">
        <v>0</v>
      </c>
      <c r="DO212">
        <v>0</v>
      </c>
      <c r="DP212">
        <v>1</v>
      </c>
      <c r="DQ212">
        <v>1</v>
      </c>
      <c r="DU212">
        <v>1005</v>
      </c>
      <c r="DV212" t="s">
        <v>18</v>
      </c>
      <c r="DW212" t="s">
        <v>18</v>
      </c>
      <c r="DX212">
        <v>1</v>
      </c>
      <c r="EE212">
        <v>67874524</v>
      </c>
      <c r="EF212">
        <v>1</v>
      </c>
      <c r="EG212" t="s">
        <v>20</v>
      </c>
      <c r="EH212">
        <v>0</v>
      </c>
      <c r="EI212" t="s">
        <v>3</v>
      </c>
      <c r="EJ212">
        <v>4</v>
      </c>
      <c r="EK212">
        <v>0</v>
      </c>
      <c r="EL212" t="s">
        <v>21</v>
      </c>
      <c r="EM212" t="s">
        <v>22</v>
      </c>
      <c r="EO212" t="s">
        <v>3</v>
      </c>
      <c r="EQ212">
        <v>1024</v>
      </c>
      <c r="ER212">
        <v>968.56</v>
      </c>
      <c r="ES212">
        <v>968.56</v>
      </c>
      <c r="ET212">
        <v>0</v>
      </c>
      <c r="EU212">
        <v>0</v>
      </c>
      <c r="EV212">
        <v>0</v>
      </c>
      <c r="EW212">
        <v>0</v>
      </c>
      <c r="EX212">
        <v>0</v>
      </c>
      <c r="FQ212">
        <v>0</v>
      </c>
      <c r="FR212">
        <f t="shared" si="203"/>
        <v>0</v>
      </c>
      <c r="FS212">
        <v>0</v>
      </c>
      <c r="FX212">
        <v>70</v>
      </c>
      <c r="FY212">
        <v>10</v>
      </c>
      <c r="GA212" t="s">
        <v>3</v>
      </c>
      <c r="GD212">
        <v>0</v>
      </c>
      <c r="GF212">
        <v>503634635</v>
      </c>
      <c r="GG212">
        <v>2</v>
      </c>
      <c r="GH212">
        <v>1</v>
      </c>
      <c r="GI212">
        <v>-2</v>
      </c>
      <c r="GJ212">
        <v>0</v>
      </c>
      <c r="GK212">
        <f>ROUND(R212*(R12)/100,2)</f>
        <v>0</v>
      </c>
      <c r="GL212">
        <f t="shared" si="204"/>
        <v>0</v>
      </c>
      <c r="GM212">
        <f t="shared" si="205"/>
        <v>66830.64</v>
      </c>
      <c r="GN212">
        <f t="shared" si="206"/>
        <v>0</v>
      </c>
      <c r="GO212">
        <f t="shared" si="207"/>
        <v>0</v>
      </c>
      <c r="GP212">
        <f t="shared" si="208"/>
        <v>66830.64</v>
      </c>
      <c r="GR212">
        <v>0</v>
      </c>
      <c r="GS212">
        <v>3</v>
      </c>
      <c r="GT212">
        <v>0</v>
      </c>
      <c r="GU212" t="s">
        <v>3</v>
      </c>
      <c r="GV212">
        <f t="shared" si="209"/>
        <v>0</v>
      </c>
      <c r="GW212">
        <v>1</v>
      </c>
      <c r="GX212">
        <f t="shared" si="210"/>
        <v>0</v>
      </c>
      <c r="HA212">
        <v>0</v>
      </c>
      <c r="HB212">
        <v>0</v>
      </c>
      <c r="HC212">
        <f t="shared" si="211"/>
        <v>0</v>
      </c>
      <c r="IK212">
        <v>0</v>
      </c>
    </row>
    <row r="213" spans="1:245" x14ac:dyDescent="0.2">
      <c r="A213">
        <v>17</v>
      </c>
      <c r="B213">
        <v>1</v>
      </c>
      <c r="C213">
        <f>ROW(SmtRes!A44)</f>
        <v>44</v>
      </c>
      <c r="D213">
        <f>ROW(EtalonRes!A319)</f>
        <v>319</v>
      </c>
      <c r="E213" t="s">
        <v>303</v>
      </c>
      <c r="F213" t="s">
        <v>304</v>
      </c>
      <c r="G213" t="s">
        <v>305</v>
      </c>
      <c r="H213" t="s">
        <v>28</v>
      </c>
      <c r="I213">
        <f>ROUND(69/100,9)</f>
        <v>0.69</v>
      </c>
      <c r="J213">
        <v>0</v>
      </c>
      <c r="O213">
        <f t="shared" si="176"/>
        <v>70462.75</v>
      </c>
      <c r="P213">
        <f t="shared" si="177"/>
        <v>63049.41</v>
      </c>
      <c r="Q213">
        <f t="shared" si="178"/>
        <v>455.61</v>
      </c>
      <c r="R213">
        <f t="shared" si="179"/>
        <v>21.07</v>
      </c>
      <c r="S213">
        <f t="shared" si="180"/>
        <v>6957.73</v>
      </c>
      <c r="T213">
        <f t="shared" si="181"/>
        <v>0</v>
      </c>
      <c r="U213">
        <f t="shared" si="182"/>
        <v>36.342300000000002</v>
      </c>
      <c r="V213">
        <f t="shared" si="183"/>
        <v>0</v>
      </c>
      <c r="W213">
        <f t="shared" si="184"/>
        <v>0</v>
      </c>
      <c r="X213">
        <f t="shared" si="185"/>
        <v>4870.41</v>
      </c>
      <c r="Y213">
        <f t="shared" si="185"/>
        <v>695.77</v>
      </c>
      <c r="AA213">
        <v>71209905</v>
      </c>
      <c r="AB213">
        <f t="shared" si="186"/>
        <v>102119.92</v>
      </c>
      <c r="AC213">
        <f t="shared" si="187"/>
        <v>91375.95</v>
      </c>
      <c r="AD213">
        <f t="shared" si="188"/>
        <v>660.3</v>
      </c>
      <c r="AE213">
        <f t="shared" si="189"/>
        <v>30.54</v>
      </c>
      <c r="AF213">
        <f t="shared" si="189"/>
        <v>10083.67</v>
      </c>
      <c r="AG213">
        <f t="shared" si="190"/>
        <v>0</v>
      </c>
      <c r="AH213">
        <f t="shared" si="191"/>
        <v>52.67</v>
      </c>
      <c r="AI213">
        <f t="shared" si="191"/>
        <v>0</v>
      </c>
      <c r="AJ213">
        <f t="shared" si="192"/>
        <v>0</v>
      </c>
      <c r="AK213">
        <v>102119.92</v>
      </c>
      <c r="AL213">
        <v>91375.95</v>
      </c>
      <c r="AM213">
        <v>660.3</v>
      </c>
      <c r="AN213">
        <v>30.54</v>
      </c>
      <c r="AO213">
        <v>10083.67</v>
      </c>
      <c r="AP213">
        <v>0</v>
      </c>
      <c r="AQ213">
        <v>52.67</v>
      </c>
      <c r="AR213">
        <v>0</v>
      </c>
      <c r="AS213">
        <v>0</v>
      </c>
      <c r="AT213">
        <v>70</v>
      </c>
      <c r="AU213">
        <v>10</v>
      </c>
      <c r="AV213">
        <v>1</v>
      </c>
      <c r="AW213">
        <v>1</v>
      </c>
      <c r="AZ213">
        <v>1</v>
      </c>
      <c r="BA213">
        <v>1</v>
      </c>
      <c r="BB213">
        <v>1</v>
      </c>
      <c r="BC213">
        <v>1</v>
      </c>
      <c r="BD213" t="s">
        <v>3</v>
      </c>
      <c r="BE213" t="s">
        <v>3</v>
      </c>
      <c r="BF213" t="s">
        <v>3</v>
      </c>
      <c r="BG213" t="s">
        <v>3</v>
      </c>
      <c r="BH213">
        <v>0</v>
      </c>
      <c r="BI213">
        <v>4</v>
      </c>
      <c r="BJ213" t="s">
        <v>306</v>
      </c>
      <c r="BM213">
        <v>0</v>
      </c>
      <c r="BN213">
        <v>0</v>
      </c>
      <c r="BO213" t="s">
        <v>3</v>
      </c>
      <c r="BP213">
        <v>0</v>
      </c>
      <c r="BQ213">
        <v>1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 t="s">
        <v>3</v>
      </c>
      <c r="BZ213">
        <v>70</v>
      </c>
      <c r="CA213">
        <v>10</v>
      </c>
      <c r="CE213">
        <v>0</v>
      </c>
      <c r="CF213">
        <v>0</v>
      </c>
      <c r="CG213">
        <v>0</v>
      </c>
      <c r="CM213">
        <v>0</v>
      </c>
      <c r="CN213" t="s">
        <v>3</v>
      </c>
      <c r="CO213">
        <v>0</v>
      </c>
      <c r="CP213">
        <f t="shared" si="193"/>
        <v>70462.75</v>
      </c>
      <c r="CQ213">
        <f t="shared" si="194"/>
        <v>91375.95</v>
      </c>
      <c r="CR213">
        <f t="shared" si="195"/>
        <v>660.3</v>
      </c>
      <c r="CS213">
        <f t="shared" si="196"/>
        <v>30.54</v>
      </c>
      <c r="CT213">
        <f t="shared" si="197"/>
        <v>10083.67</v>
      </c>
      <c r="CU213">
        <f t="shared" si="198"/>
        <v>0</v>
      </c>
      <c r="CV213">
        <f t="shared" si="199"/>
        <v>52.67</v>
      </c>
      <c r="CW213">
        <f t="shared" si="200"/>
        <v>0</v>
      </c>
      <c r="CX213">
        <f t="shared" si="200"/>
        <v>0</v>
      </c>
      <c r="CY213">
        <f t="shared" si="201"/>
        <v>4870.4110000000001</v>
      </c>
      <c r="CZ213">
        <f t="shared" si="202"/>
        <v>695.77299999999991</v>
      </c>
      <c r="DC213" t="s">
        <v>3</v>
      </c>
      <c r="DD213" t="s">
        <v>3</v>
      </c>
      <c r="DE213" t="s">
        <v>3</v>
      </c>
      <c r="DF213" t="s">
        <v>3</v>
      </c>
      <c r="DG213" t="s">
        <v>3</v>
      </c>
      <c r="DH213" t="s">
        <v>3</v>
      </c>
      <c r="DI213" t="s">
        <v>3</v>
      </c>
      <c r="DJ213" t="s">
        <v>3</v>
      </c>
      <c r="DK213" t="s">
        <v>3</v>
      </c>
      <c r="DL213" t="s">
        <v>3</v>
      </c>
      <c r="DM213" t="s">
        <v>3</v>
      </c>
      <c r="DN213">
        <v>0</v>
      </c>
      <c r="DO213">
        <v>0</v>
      </c>
      <c r="DP213">
        <v>1</v>
      </c>
      <c r="DQ213">
        <v>1</v>
      </c>
      <c r="DU213">
        <v>1005</v>
      </c>
      <c r="DV213" t="s">
        <v>28</v>
      </c>
      <c r="DW213" t="s">
        <v>28</v>
      </c>
      <c r="DX213">
        <v>100</v>
      </c>
      <c r="EE213">
        <v>67874524</v>
      </c>
      <c r="EF213">
        <v>1</v>
      </c>
      <c r="EG213" t="s">
        <v>20</v>
      </c>
      <c r="EH213">
        <v>0</v>
      </c>
      <c r="EI213" t="s">
        <v>3</v>
      </c>
      <c r="EJ213">
        <v>4</v>
      </c>
      <c r="EK213">
        <v>0</v>
      </c>
      <c r="EL213" t="s">
        <v>21</v>
      </c>
      <c r="EM213" t="s">
        <v>22</v>
      </c>
      <c r="EO213" t="s">
        <v>3</v>
      </c>
      <c r="EQ213">
        <v>0</v>
      </c>
      <c r="ER213">
        <v>102119.92</v>
      </c>
      <c r="ES213">
        <v>91375.95</v>
      </c>
      <c r="ET213">
        <v>660.3</v>
      </c>
      <c r="EU213">
        <v>30.54</v>
      </c>
      <c r="EV213">
        <v>10083.67</v>
      </c>
      <c r="EW213">
        <v>52.67</v>
      </c>
      <c r="EX213">
        <v>0</v>
      </c>
      <c r="EY213">
        <v>0</v>
      </c>
      <c r="FQ213">
        <v>0</v>
      </c>
      <c r="FR213">
        <f t="shared" si="203"/>
        <v>0</v>
      </c>
      <c r="FS213">
        <v>0</v>
      </c>
      <c r="FX213">
        <v>70</v>
      </c>
      <c r="FY213">
        <v>10</v>
      </c>
      <c r="GA213" t="s">
        <v>3</v>
      </c>
      <c r="GD213">
        <v>0</v>
      </c>
      <c r="GF213">
        <v>700891398</v>
      </c>
      <c r="GG213">
        <v>2</v>
      </c>
      <c r="GH213">
        <v>1</v>
      </c>
      <c r="GI213">
        <v>-2</v>
      </c>
      <c r="GJ213">
        <v>0</v>
      </c>
      <c r="GK213">
        <f>ROUND(R213*(R12)/100,2)</f>
        <v>22.76</v>
      </c>
      <c r="GL213">
        <f t="shared" si="204"/>
        <v>0</v>
      </c>
      <c r="GM213">
        <f t="shared" si="205"/>
        <v>76051.69</v>
      </c>
      <c r="GN213">
        <f t="shared" si="206"/>
        <v>0</v>
      </c>
      <c r="GO213">
        <f t="shared" si="207"/>
        <v>0</v>
      </c>
      <c r="GP213">
        <f t="shared" si="208"/>
        <v>76051.69</v>
      </c>
      <c r="GR213">
        <v>0</v>
      </c>
      <c r="GS213">
        <v>3</v>
      </c>
      <c r="GT213">
        <v>0</v>
      </c>
      <c r="GU213" t="s">
        <v>3</v>
      </c>
      <c r="GV213">
        <f t="shared" si="209"/>
        <v>0</v>
      </c>
      <c r="GW213">
        <v>1</v>
      </c>
      <c r="GX213">
        <f t="shared" si="210"/>
        <v>0</v>
      </c>
      <c r="HA213">
        <v>0</v>
      </c>
      <c r="HB213">
        <v>0</v>
      </c>
      <c r="HC213">
        <f t="shared" si="211"/>
        <v>0</v>
      </c>
      <c r="IK213">
        <v>0</v>
      </c>
    </row>
    <row r="214" spans="1:245" x14ac:dyDescent="0.2">
      <c r="A214">
        <v>18</v>
      </c>
      <c r="B214">
        <v>1</v>
      </c>
      <c r="C214">
        <v>44</v>
      </c>
      <c r="E214" t="s">
        <v>307</v>
      </c>
      <c r="F214" t="s">
        <v>308</v>
      </c>
      <c r="G214" t="s">
        <v>309</v>
      </c>
      <c r="H214" t="s">
        <v>35</v>
      </c>
      <c r="I214">
        <f>I213*J214</f>
        <v>0</v>
      </c>
      <c r="J214">
        <v>0</v>
      </c>
      <c r="O214">
        <f t="shared" si="176"/>
        <v>0</v>
      </c>
      <c r="P214">
        <f t="shared" si="177"/>
        <v>0</v>
      </c>
      <c r="Q214">
        <f t="shared" si="178"/>
        <v>0</v>
      </c>
      <c r="R214">
        <f t="shared" si="179"/>
        <v>0</v>
      </c>
      <c r="S214">
        <f t="shared" si="180"/>
        <v>0</v>
      </c>
      <c r="T214">
        <f t="shared" si="181"/>
        <v>0</v>
      </c>
      <c r="U214">
        <f t="shared" si="182"/>
        <v>0</v>
      </c>
      <c r="V214">
        <f t="shared" si="183"/>
        <v>0</v>
      </c>
      <c r="W214">
        <f t="shared" si="184"/>
        <v>0</v>
      </c>
      <c r="X214">
        <f t="shared" si="185"/>
        <v>0</v>
      </c>
      <c r="Y214">
        <f t="shared" si="185"/>
        <v>0</v>
      </c>
      <c r="AA214">
        <v>71209905</v>
      </c>
      <c r="AB214">
        <f t="shared" si="186"/>
        <v>3907.67</v>
      </c>
      <c r="AC214">
        <f t="shared" si="187"/>
        <v>3907.67</v>
      </c>
      <c r="AD214">
        <f t="shared" si="188"/>
        <v>0</v>
      </c>
      <c r="AE214">
        <f t="shared" si="189"/>
        <v>0</v>
      </c>
      <c r="AF214">
        <f t="shared" si="189"/>
        <v>0</v>
      </c>
      <c r="AG214">
        <f t="shared" si="190"/>
        <v>0</v>
      </c>
      <c r="AH214">
        <f t="shared" si="191"/>
        <v>0</v>
      </c>
      <c r="AI214">
        <f t="shared" si="191"/>
        <v>0</v>
      </c>
      <c r="AJ214">
        <f t="shared" si="192"/>
        <v>0</v>
      </c>
      <c r="AK214">
        <v>3907.67</v>
      </c>
      <c r="AL214">
        <v>3907.67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70</v>
      </c>
      <c r="AU214">
        <v>10</v>
      </c>
      <c r="AV214">
        <v>1</v>
      </c>
      <c r="AW214">
        <v>1</v>
      </c>
      <c r="AZ214">
        <v>1</v>
      </c>
      <c r="BA214">
        <v>1</v>
      </c>
      <c r="BB214">
        <v>1</v>
      </c>
      <c r="BC214">
        <v>1</v>
      </c>
      <c r="BD214" t="s">
        <v>3</v>
      </c>
      <c r="BE214" t="s">
        <v>3</v>
      </c>
      <c r="BF214" t="s">
        <v>3</v>
      </c>
      <c r="BG214" t="s">
        <v>3</v>
      </c>
      <c r="BH214">
        <v>3</v>
      </c>
      <c r="BI214">
        <v>4</v>
      </c>
      <c r="BJ214" t="s">
        <v>310</v>
      </c>
      <c r="BM214">
        <v>0</v>
      </c>
      <c r="BN214">
        <v>0</v>
      </c>
      <c r="BO214" t="s">
        <v>3</v>
      </c>
      <c r="BP214">
        <v>0</v>
      </c>
      <c r="BQ214">
        <v>1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 t="s">
        <v>3</v>
      </c>
      <c r="BZ214">
        <v>70</v>
      </c>
      <c r="CA214">
        <v>10</v>
      </c>
      <c r="CE214">
        <v>0</v>
      </c>
      <c r="CF214">
        <v>0</v>
      </c>
      <c r="CG214">
        <v>0</v>
      </c>
      <c r="CM214">
        <v>0</v>
      </c>
      <c r="CN214" t="s">
        <v>3</v>
      </c>
      <c r="CO214">
        <v>0</v>
      </c>
      <c r="CP214">
        <f t="shared" si="193"/>
        <v>0</v>
      </c>
      <c r="CQ214">
        <f t="shared" si="194"/>
        <v>3907.67</v>
      </c>
      <c r="CR214">
        <f t="shared" si="195"/>
        <v>0</v>
      </c>
      <c r="CS214">
        <f t="shared" si="196"/>
        <v>0</v>
      </c>
      <c r="CT214">
        <f t="shared" si="197"/>
        <v>0</v>
      </c>
      <c r="CU214">
        <f t="shared" si="198"/>
        <v>0</v>
      </c>
      <c r="CV214">
        <f t="shared" si="199"/>
        <v>0</v>
      </c>
      <c r="CW214">
        <f t="shared" si="200"/>
        <v>0</v>
      </c>
      <c r="CX214">
        <f t="shared" si="200"/>
        <v>0</v>
      </c>
      <c r="CY214">
        <f t="shared" si="201"/>
        <v>0</v>
      </c>
      <c r="CZ214">
        <f t="shared" si="202"/>
        <v>0</v>
      </c>
      <c r="DC214" t="s">
        <v>3</v>
      </c>
      <c r="DD214" t="s">
        <v>3</v>
      </c>
      <c r="DE214" t="s">
        <v>3</v>
      </c>
      <c r="DF214" t="s">
        <v>3</v>
      </c>
      <c r="DG214" t="s">
        <v>3</v>
      </c>
      <c r="DH214" t="s">
        <v>3</v>
      </c>
      <c r="DI214" t="s">
        <v>3</v>
      </c>
      <c r="DJ214" t="s">
        <v>3</v>
      </c>
      <c r="DK214" t="s">
        <v>3</v>
      </c>
      <c r="DL214" t="s">
        <v>3</v>
      </c>
      <c r="DM214" t="s">
        <v>3</v>
      </c>
      <c r="DN214">
        <v>0</v>
      </c>
      <c r="DO214">
        <v>0</v>
      </c>
      <c r="DP214">
        <v>1</v>
      </c>
      <c r="DQ214">
        <v>1</v>
      </c>
      <c r="DU214">
        <v>1009</v>
      </c>
      <c r="DV214" t="s">
        <v>35</v>
      </c>
      <c r="DW214" t="s">
        <v>35</v>
      </c>
      <c r="DX214">
        <v>1000</v>
      </c>
      <c r="EE214">
        <v>67874524</v>
      </c>
      <c r="EF214">
        <v>1</v>
      </c>
      <c r="EG214" t="s">
        <v>20</v>
      </c>
      <c r="EH214">
        <v>0</v>
      </c>
      <c r="EI214" t="s">
        <v>3</v>
      </c>
      <c r="EJ214">
        <v>4</v>
      </c>
      <c r="EK214">
        <v>0</v>
      </c>
      <c r="EL214" t="s">
        <v>21</v>
      </c>
      <c r="EM214" t="s">
        <v>22</v>
      </c>
      <c r="EO214" t="s">
        <v>3</v>
      </c>
      <c r="EQ214">
        <v>0</v>
      </c>
      <c r="ER214">
        <v>3907.67</v>
      </c>
      <c r="ES214">
        <v>3907.67</v>
      </c>
      <c r="ET214">
        <v>0</v>
      </c>
      <c r="EU214">
        <v>0</v>
      </c>
      <c r="EV214">
        <v>0</v>
      </c>
      <c r="EW214">
        <v>0</v>
      </c>
      <c r="EX214">
        <v>0</v>
      </c>
      <c r="FQ214">
        <v>0</v>
      </c>
      <c r="FR214">
        <f t="shared" si="203"/>
        <v>0</v>
      </c>
      <c r="FS214">
        <v>0</v>
      </c>
      <c r="FX214">
        <v>70</v>
      </c>
      <c r="FY214">
        <v>10</v>
      </c>
      <c r="GA214" t="s">
        <v>3</v>
      </c>
      <c r="GD214">
        <v>0</v>
      </c>
      <c r="GF214">
        <v>921660342</v>
      </c>
      <c r="GG214">
        <v>2</v>
      </c>
      <c r="GH214">
        <v>1</v>
      </c>
      <c r="GI214">
        <v>-2</v>
      </c>
      <c r="GJ214">
        <v>0</v>
      </c>
      <c r="GK214">
        <f>ROUND(R214*(R12)/100,2)</f>
        <v>0</v>
      </c>
      <c r="GL214">
        <f t="shared" si="204"/>
        <v>0</v>
      </c>
      <c r="GM214">
        <f t="shared" si="205"/>
        <v>0</v>
      </c>
      <c r="GN214">
        <f t="shared" si="206"/>
        <v>0</v>
      </c>
      <c r="GO214">
        <f t="shared" si="207"/>
        <v>0</v>
      </c>
      <c r="GP214">
        <f t="shared" si="208"/>
        <v>0</v>
      </c>
      <c r="GR214">
        <v>0</v>
      </c>
      <c r="GS214">
        <v>3</v>
      </c>
      <c r="GT214">
        <v>0</v>
      </c>
      <c r="GU214" t="s">
        <v>3</v>
      </c>
      <c r="GV214">
        <f t="shared" si="209"/>
        <v>0</v>
      </c>
      <c r="GW214">
        <v>1</v>
      </c>
      <c r="GX214">
        <f t="shared" si="210"/>
        <v>0</v>
      </c>
      <c r="HA214">
        <v>0</v>
      </c>
      <c r="HB214">
        <v>0</v>
      </c>
      <c r="HC214">
        <f t="shared" si="211"/>
        <v>0</v>
      </c>
      <c r="IK214">
        <v>0</v>
      </c>
    </row>
    <row r="216" spans="1:245" x14ac:dyDescent="0.2">
      <c r="A216">
        <v>51</v>
      </c>
      <c r="B216">
        <f>B205</f>
        <v>1</v>
      </c>
      <c r="C216">
        <f>A205</f>
        <v>4</v>
      </c>
      <c r="D216">
        <f>ROW(A205)</f>
        <v>205</v>
      </c>
      <c r="F216" t="str">
        <f>IF(F205&lt;&gt;"",F205,"")</f>
        <v>Новый раздел</v>
      </c>
      <c r="G216" t="str">
        <f>IF(G205&lt;&gt;"",G205,"")</f>
        <v>Ремонт плиточного покрытия (ТИП II)</v>
      </c>
      <c r="H216">
        <v>0</v>
      </c>
      <c r="O216">
        <f t="shared" ref="O216:T216" si="212">ROUND(AB216,2)</f>
        <v>70462.75</v>
      </c>
      <c r="P216">
        <f t="shared" si="212"/>
        <v>63049.41</v>
      </c>
      <c r="Q216">
        <f t="shared" si="212"/>
        <v>455.61</v>
      </c>
      <c r="R216">
        <f t="shared" si="212"/>
        <v>21.07</v>
      </c>
      <c r="S216">
        <f t="shared" si="212"/>
        <v>6957.73</v>
      </c>
      <c r="T216">
        <f t="shared" si="212"/>
        <v>0</v>
      </c>
      <c r="U216">
        <f>AH216</f>
        <v>36.342300000000002</v>
      </c>
      <c r="V216">
        <f>AI216</f>
        <v>0</v>
      </c>
      <c r="W216">
        <f>ROUND(AJ216,2)</f>
        <v>0</v>
      </c>
      <c r="X216">
        <f>ROUND(AK216,2)</f>
        <v>4870.41</v>
      </c>
      <c r="Y216">
        <f>ROUND(AL216,2)</f>
        <v>695.77</v>
      </c>
      <c r="AB216">
        <f>ROUND(SUMIF(AA209:AA214,"=71209905",O209:O214),2)</f>
        <v>70462.75</v>
      </c>
      <c r="AC216">
        <f>ROUND(SUMIF(AA209:AA214,"=71209905",P209:P214),2)</f>
        <v>63049.41</v>
      </c>
      <c r="AD216">
        <f>ROUND(SUMIF(AA209:AA214,"=71209905",Q209:Q214),2)</f>
        <v>455.61</v>
      </c>
      <c r="AE216">
        <f>ROUND(SUMIF(AA209:AA214,"=71209905",R209:R214),2)</f>
        <v>21.07</v>
      </c>
      <c r="AF216">
        <f>ROUND(SUMIF(AA209:AA214,"=71209905",S209:S214),2)</f>
        <v>6957.73</v>
      </c>
      <c r="AG216">
        <f>ROUND(SUMIF(AA209:AA214,"=71209905",T209:T214),2)</f>
        <v>0</v>
      </c>
      <c r="AH216">
        <f>SUMIF(AA209:AA214,"=71209905",U209:U214)</f>
        <v>36.342300000000002</v>
      </c>
      <c r="AI216">
        <f>SUMIF(AA209:AA214,"=71209905",V209:V214)</f>
        <v>0</v>
      </c>
      <c r="AJ216">
        <f>ROUND(SUMIF(AA209:AA214,"=71209905",W209:W214),2)</f>
        <v>0</v>
      </c>
      <c r="AK216">
        <f>ROUND(SUMIF(AA209:AA214,"=71209905",X209:X214),2)</f>
        <v>4870.41</v>
      </c>
      <c r="AL216">
        <f>ROUND(SUMIF(AA209:AA214,"=71209905",Y209:Y214),2)</f>
        <v>695.77</v>
      </c>
      <c r="AO216">
        <f t="shared" ref="AO216:BD216" si="213">ROUND(BX216,2)</f>
        <v>0</v>
      </c>
      <c r="AP216">
        <f t="shared" si="213"/>
        <v>0</v>
      </c>
      <c r="AQ216">
        <f t="shared" si="213"/>
        <v>0</v>
      </c>
      <c r="AR216">
        <f t="shared" si="213"/>
        <v>76051.69</v>
      </c>
      <c r="AS216">
        <f t="shared" si="213"/>
        <v>0</v>
      </c>
      <c r="AT216">
        <f t="shared" si="213"/>
        <v>0</v>
      </c>
      <c r="AU216">
        <f t="shared" si="213"/>
        <v>76051.69</v>
      </c>
      <c r="AV216">
        <f t="shared" si="213"/>
        <v>63049.41</v>
      </c>
      <c r="AW216">
        <f t="shared" si="213"/>
        <v>63049.41</v>
      </c>
      <c r="AX216">
        <f t="shared" si="213"/>
        <v>0</v>
      </c>
      <c r="AY216">
        <f t="shared" si="213"/>
        <v>63049.41</v>
      </c>
      <c r="AZ216">
        <f t="shared" si="213"/>
        <v>0</v>
      </c>
      <c r="BA216">
        <f t="shared" si="213"/>
        <v>0</v>
      </c>
      <c r="BB216">
        <f t="shared" si="213"/>
        <v>0</v>
      </c>
      <c r="BC216">
        <f t="shared" si="213"/>
        <v>0</v>
      </c>
      <c r="BD216">
        <f t="shared" si="213"/>
        <v>0</v>
      </c>
      <c r="BX216">
        <f>ROUND(SUMIF(AA209:AA214,"=71209905",FQ209:FQ214),2)</f>
        <v>0</v>
      </c>
      <c r="BY216">
        <f>ROUND(SUMIF(AA209:AA214,"=71209905",FR209:FR214),2)</f>
        <v>0</v>
      </c>
      <c r="BZ216">
        <f>ROUND(SUMIF(AA209:AA214,"=71209905",GL209:GL214),2)</f>
        <v>0</v>
      </c>
      <c r="CA216">
        <f>ROUND(SUMIF(AA209:AA214,"=71209905",GM209:GM214),2)</f>
        <v>76051.69</v>
      </c>
      <c r="CB216">
        <f>ROUND(SUMIF(AA209:AA214,"=71209905",GN209:GN214),2)</f>
        <v>0</v>
      </c>
      <c r="CC216">
        <f>ROUND(SUMIF(AA209:AA214,"=71209905",GO209:GO214),2)</f>
        <v>0</v>
      </c>
      <c r="CD216">
        <f>ROUND(SUMIF(AA209:AA214,"=71209905",GP209:GP214),2)</f>
        <v>76051.69</v>
      </c>
      <c r="CE216">
        <f>AC216-BX216</f>
        <v>63049.41</v>
      </c>
      <c r="CF216">
        <f>AC216-BY216</f>
        <v>63049.41</v>
      </c>
      <c r="CG216">
        <f>BX216-BZ216</f>
        <v>0</v>
      </c>
      <c r="CH216">
        <f>AC216-BX216-BY216+BZ216</f>
        <v>63049.41</v>
      </c>
      <c r="CI216">
        <f>BY216-BZ216</f>
        <v>0</v>
      </c>
      <c r="CJ216">
        <f>ROUND(SUMIF(AA209:AA214,"=71209905",GX209:GX214),2)</f>
        <v>0</v>
      </c>
      <c r="CK216">
        <f>ROUND(SUMIF(AA209:AA214,"=71209905",GY209:GY214),2)</f>
        <v>0</v>
      </c>
      <c r="CL216">
        <f>ROUND(SUMIF(AA209:AA214,"=71209905",GZ209:GZ214),2)</f>
        <v>0</v>
      </c>
      <c r="CM216">
        <f>ROUND(SUMIF(AA209:AA214,"=71209905",HD209:HD214),2)</f>
        <v>0</v>
      </c>
      <c r="GX216">
        <v>0</v>
      </c>
    </row>
    <row r="218" spans="1:245" x14ac:dyDescent="0.2">
      <c r="A218">
        <v>50</v>
      </c>
      <c r="B218">
        <v>0</v>
      </c>
      <c r="C218">
        <v>0</v>
      </c>
      <c r="D218">
        <v>1</v>
      </c>
      <c r="E218">
        <v>201</v>
      </c>
      <c r="F218">
        <f>ROUND(Source!O216,O218)</f>
        <v>70462.75</v>
      </c>
      <c r="G218" t="s">
        <v>142</v>
      </c>
      <c r="H218" t="s">
        <v>143</v>
      </c>
      <c r="K218">
        <v>201</v>
      </c>
      <c r="L218">
        <v>1</v>
      </c>
      <c r="M218">
        <v>3</v>
      </c>
      <c r="N218" t="s">
        <v>3</v>
      </c>
      <c r="O218">
        <v>2</v>
      </c>
    </row>
    <row r="219" spans="1:245" x14ac:dyDescent="0.2">
      <c r="A219">
        <v>50</v>
      </c>
      <c r="B219">
        <v>0</v>
      </c>
      <c r="C219">
        <v>0</v>
      </c>
      <c r="D219">
        <v>1</v>
      </c>
      <c r="E219">
        <v>202</v>
      </c>
      <c r="F219">
        <f>ROUND(Source!P216,O219)</f>
        <v>63049.41</v>
      </c>
      <c r="G219" t="s">
        <v>144</v>
      </c>
      <c r="H219" t="s">
        <v>145</v>
      </c>
      <c r="K219">
        <v>202</v>
      </c>
      <c r="L219">
        <v>2</v>
      </c>
      <c r="M219">
        <v>3</v>
      </c>
      <c r="N219" t="s">
        <v>3</v>
      </c>
      <c r="O219">
        <v>2</v>
      </c>
    </row>
    <row r="220" spans="1:245" x14ac:dyDescent="0.2">
      <c r="A220">
        <v>50</v>
      </c>
      <c r="B220">
        <v>0</v>
      </c>
      <c r="C220">
        <v>0</v>
      </c>
      <c r="D220">
        <v>1</v>
      </c>
      <c r="E220">
        <v>222</v>
      </c>
      <c r="F220">
        <f>ROUND(Source!AO216,O220)</f>
        <v>0</v>
      </c>
      <c r="G220" t="s">
        <v>146</v>
      </c>
      <c r="H220" t="s">
        <v>147</v>
      </c>
      <c r="K220">
        <v>222</v>
      </c>
      <c r="L220">
        <v>3</v>
      </c>
      <c r="M220">
        <v>3</v>
      </c>
      <c r="N220" t="s">
        <v>3</v>
      </c>
      <c r="O220">
        <v>2</v>
      </c>
    </row>
    <row r="221" spans="1:245" x14ac:dyDescent="0.2">
      <c r="A221">
        <v>50</v>
      </c>
      <c r="B221">
        <v>0</v>
      </c>
      <c r="C221">
        <v>0</v>
      </c>
      <c r="D221">
        <v>1</v>
      </c>
      <c r="E221">
        <v>225</v>
      </c>
      <c r="F221">
        <f>ROUND(Source!AV216,O221)</f>
        <v>63049.41</v>
      </c>
      <c r="G221" t="s">
        <v>148</v>
      </c>
      <c r="H221" t="s">
        <v>149</v>
      </c>
      <c r="K221">
        <v>225</v>
      </c>
      <c r="L221">
        <v>4</v>
      </c>
      <c r="M221">
        <v>3</v>
      </c>
      <c r="N221" t="s">
        <v>3</v>
      </c>
      <c r="O221">
        <v>2</v>
      </c>
    </row>
    <row r="222" spans="1:245" x14ac:dyDescent="0.2">
      <c r="A222">
        <v>50</v>
      </c>
      <c r="B222">
        <v>0</v>
      </c>
      <c r="C222">
        <v>0</v>
      </c>
      <c r="D222">
        <v>1</v>
      </c>
      <c r="E222">
        <v>226</v>
      </c>
      <c r="F222">
        <f>ROUND(Source!AW216,O222)</f>
        <v>63049.41</v>
      </c>
      <c r="G222" t="s">
        <v>150</v>
      </c>
      <c r="H222" t="s">
        <v>151</v>
      </c>
      <c r="K222">
        <v>226</v>
      </c>
      <c r="L222">
        <v>5</v>
      </c>
      <c r="M222">
        <v>3</v>
      </c>
      <c r="N222" t="s">
        <v>3</v>
      </c>
      <c r="O222">
        <v>2</v>
      </c>
    </row>
    <row r="223" spans="1:245" x14ac:dyDescent="0.2">
      <c r="A223">
        <v>50</v>
      </c>
      <c r="B223">
        <v>0</v>
      </c>
      <c r="C223">
        <v>0</v>
      </c>
      <c r="D223">
        <v>1</v>
      </c>
      <c r="E223">
        <v>227</v>
      </c>
      <c r="F223">
        <f>ROUND(Source!AX216,O223)</f>
        <v>0</v>
      </c>
      <c r="G223" t="s">
        <v>152</v>
      </c>
      <c r="H223" t="s">
        <v>153</v>
      </c>
      <c r="K223">
        <v>227</v>
      </c>
      <c r="L223">
        <v>6</v>
      </c>
      <c r="M223">
        <v>3</v>
      </c>
      <c r="N223" t="s">
        <v>3</v>
      </c>
      <c r="O223">
        <v>2</v>
      </c>
    </row>
    <row r="224" spans="1:245" x14ac:dyDescent="0.2">
      <c r="A224">
        <v>50</v>
      </c>
      <c r="B224">
        <v>0</v>
      </c>
      <c r="C224">
        <v>0</v>
      </c>
      <c r="D224">
        <v>1</v>
      </c>
      <c r="E224">
        <v>228</v>
      </c>
      <c r="F224">
        <f>ROUND(Source!AY216,O224)</f>
        <v>63049.41</v>
      </c>
      <c r="G224" t="s">
        <v>154</v>
      </c>
      <c r="H224" t="s">
        <v>155</v>
      </c>
      <c r="K224">
        <v>228</v>
      </c>
      <c r="L224">
        <v>7</v>
      </c>
      <c r="M224">
        <v>3</v>
      </c>
      <c r="N224" t="s">
        <v>3</v>
      </c>
      <c r="O224">
        <v>2</v>
      </c>
    </row>
    <row r="225" spans="1:15" x14ac:dyDescent="0.2">
      <c r="A225">
        <v>50</v>
      </c>
      <c r="B225">
        <v>0</v>
      </c>
      <c r="C225">
        <v>0</v>
      </c>
      <c r="D225">
        <v>1</v>
      </c>
      <c r="E225">
        <v>216</v>
      </c>
      <c r="F225">
        <f>ROUND(Source!AP216,O225)</f>
        <v>0</v>
      </c>
      <c r="G225" t="s">
        <v>156</v>
      </c>
      <c r="H225" t="s">
        <v>157</v>
      </c>
      <c r="K225">
        <v>216</v>
      </c>
      <c r="L225">
        <v>8</v>
      </c>
      <c r="M225">
        <v>3</v>
      </c>
      <c r="N225" t="s">
        <v>3</v>
      </c>
      <c r="O225">
        <v>2</v>
      </c>
    </row>
    <row r="226" spans="1:15" x14ac:dyDescent="0.2">
      <c r="A226">
        <v>50</v>
      </c>
      <c r="B226">
        <v>0</v>
      </c>
      <c r="C226">
        <v>0</v>
      </c>
      <c r="D226">
        <v>1</v>
      </c>
      <c r="E226">
        <v>223</v>
      </c>
      <c r="F226">
        <f>ROUND(Source!AQ216,O226)</f>
        <v>0</v>
      </c>
      <c r="G226" t="s">
        <v>158</v>
      </c>
      <c r="H226" t="s">
        <v>159</v>
      </c>
      <c r="K226">
        <v>223</v>
      </c>
      <c r="L226">
        <v>9</v>
      </c>
      <c r="M226">
        <v>3</v>
      </c>
      <c r="N226" t="s">
        <v>3</v>
      </c>
      <c r="O226">
        <v>2</v>
      </c>
    </row>
    <row r="227" spans="1:15" x14ac:dyDescent="0.2">
      <c r="A227">
        <v>50</v>
      </c>
      <c r="B227">
        <v>0</v>
      </c>
      <c r="C227">
        <v>0</v>
      </c>
      <c r="D227">
        <v>1</v>
      </c>
      <c r="E227">
        <v>229</v>
      </c>
      <c r="F227">
        <f>ROUND(Source!AZ216,O227)</f>
        <v>0</v>
      </c>
      <c r="G227" t="s">
        <v>160</v>
      </c>
      <c r="H227" t="s">
        <v>161</v>
      </c>
      <c r="K227">
        <v>229</v>
      </c>
      <c r="L227">
        <v>10</v>
      </c>
      <c r="M227">
        <v>3</v>
      </c>
      <c r="N227" t="s">
        <v>3</v>
      </c>
      <c r="O227">
        <v>2</v>
      </c>
    </row>
    <row r="228" spans="1:15" x14ac:dyDescent="0.2">
      <c r="A228">
        <v>50</v>
      </c>
      <c r="B228">
        <v>0</v>
      </c>
      <c r="C228">
        <v>0</v>
      </c>
      <c r="D228">
        <v>1</v>
      </c>
      <c r="E228">
        <v>203</v>
      </c>
      <c r="F228">
        <f>ROUND(Source!Q216,O228)</f>
        <v>455.61</v>
      </c>
      <c r="G228" t="s">
        <v>162</v>
      </c>
      <c r="H228" t="s">
        <v>163</v>
      </c>
      <c r="K228">
        <v>203</v>
      </c>
      <c r="L228">
        <v>11</v>
      </c>
      <c r="M228">
        <v>3</v>
      </c>
      <c r="N228" t="s">
        <v>3</v>
      </c>
      <c r="O228">
        <v>2</v>
      </c>
    </row>
    <row r="229" spans="1:15" x14ac:dyDescent="0.2">
      <c r="A229">
        <v>50</v>
      </c>
      <c r="B229">
        <v>0</v>
      </c>
      <c r="C229">
        <v>0</v>
      </c>
      <c r="D229">
        <v>1</v>
      </c>
      <c r="E229">
        <v>231</v>
      </c>
      <c r="F229">
        <f>ROUND(Source!BB216,O229)</f>
        <v>0</v>
      </c>
      <c r="G229" t="s">
        <v>164</v>
      </c>
      <c r="H229" t="s">
        <v>165</v>
      </c>
      <c r="K229">
        <v>231</v>
      </c>
      <c r="L229">
        <v>12</v>
      </c>
      <c r="M229">
        <v>3</v>
      </c>
      <c r="N229" t="s">
        <v>3</v>
      </c>
      <c r="O229">
        <v>2</v>
      </c>
    </row>
    <row r="230" spans="1:15" x14ac:dyDescent="0.2">
      <c r="A230">
        <v>50</v>
      </c>
      <c r="B230">
        <v>0</v>
      </c>
      <c r="C230">
        <v>0</v>
      </c>
      <c r="D230">
        <v>1</v>
      </c>
      <c r="E230">
        <v>204</v>
      </c>
      <c r="F230">
        <f>ROUND(Source!R216,O230)</f>
        <v>21.07</v>
      </c>
      <c r="G230" t="s">
        <v>166</v>
      </c>
      <c r="H230" t="s">
        <v>167</v>
      </c>
      <c r="K230">
        <v>204</v>
      </c>
      <c r="L230">
        <v>13</v>
      </c>
      <c r="M230">
        <v>3</v>
      </c>
      <c r="N230" t="s">
        <v>3</v>
      </c>
      <c r="O230">
        <v>2</v>
      </c>
    </row>
    <row r="231" spans="1:15" x14ac:dyDescent="0.2">
      <c r="A231">
        <v>50</v>
      </c>
      <c r="B231">
        <v>0</v>
      </c>
      <c r="C231">
        <v>0</v>
      </c>
      <c r="D231">
        <v>1</v>
      </c>
      <c r="E231">
        <v>205</v>
      </c>
      <c r="F231">
        <f>ROUND(Source!S216,O231)</f>
        <v>6957.73</v>
      </c>
      <c r="G231" t="s">
        <v>168</v>
      </c>
      <c r="H231" t="s">
        <v>169</v>
      </c>
      <c r="K231">
        <v>205</v>
      </c>
      <c r="L231">
        <v>14</v>
      </c>
      <c r="M231">
        <v>3</v>
      </c>
      <c r="N231" t="s">
        <v>3</v>
      </c>
      <c r="O231">
        <v>2</v>
      </c>
    </row>
    <row r="232" spans="1:15" x14ac:dyDescent="0.2">
      <c r="A232">
        <v>50</v>
      </c>
      <c r="B232">
        <v>0</v>
      </c>
      <c r="C232">
        <v>0</v>
      </c>
      <c r="D232">
        <v>1</v>
      </c>
      <c r="E232">
        <v>232</v>
      </c>
      <c r="F232">
        <f>ROUND(Source!BC216,O232)</f>
        <v>0</v>
      </c>
      <c r="G232" t="s">
        <v>170</v>
      </c>
      <c r="H232" t="s">
        <v>171</v>
      </c>
      <c r="K232">
        <v>232</v>
      </c>
      <c r="L232">
        <v>15</v>
      </c>
      <c r="M232">
        <v>3</v>
      </c>
      <c r="N232" t="s">
        <v>3</v>
      </c>
      <c r="O232">
        <v>2</v>
      </c>
    </row>
    <row r="233" spans="1:15" x14ac:dyDescent="0.2">
      <c r="A233">
        <v>50</v>
      </c>
      <c r="B233">
        <v>0</v>
      </c>
      <c r="C233">
        <v>0</v>
      </c>
      <c r="D233">
        <v>1</v>
      </c>
      <c r="E233">
        <v>214</v>
      </c>
      <c r="F233">
        <f>ROUND(Source!AS216,O233)</f>
        <v>0</v>
      </c>
      <c r="G233" t="s">
        <v>172</v>
      </c>
      <c r="H233" t="s">
        <v>173</v>
      </c>
      <c r="K233">
        <v>214</v>
      </c>
      <c r="L233">
        <v>16</v>
      </c>
      <c r="M233">
        <v>3</v>
      </c>
      <c r="N233" t="s">
        <v>3</v>
      </c>
      <c r="O233">
        <v>2</v>
      </c>
    </row>
    <row r="234" spans="1:15" x14ac:dyDescent="0.2">
      <c r="A234">
        <v>50</v>
      </c>
      <c r="B234">
        <v>0</v>
      </c>
      <c r="C234">
        <v>0</v>
      </c>
      <c r="D234">
        <v>1</v>
      </c>
      <c r="E234">
        <v>215</v>
      </c>
      <c r="F234">
        <f>ROUND(Source!AT216,O234)</f>
        <v>0</v>
      </c>
      <c r="G234" t="s">
        <v>174</v>
      </c>
      <c r="H234" t="s">
        <v>175</v>
      </c>
      <c r="K234">
        <v>215</v>
      </c>
      <c r="L234">
        <v>17</v>
      </c>
      <c r="M234">
        <v>3</v>
      </c>
      <c r="N234" t="s">
        <v>3</v>
      </c>
      <c r="O234">
        <v>2</v>
      </c>
    </row>
    <row r="235" spans="1:15" x14ac:dyDescent="0.2">
      <c r="A235">
        <v>50</v>
      </c>
      <c r="B235">
        <v>0</v>
      </c>
      <c r="C235">
        <v>0</v>
      </c>
      <c r="D235">
        <v>1</v>
      </c>
      <c r="E235">
        <v>217</v>
      </c>
      <c r="F235">
        <f>ROUND(Source!AU216,O235)</f>
        <v>76051.69</v>
      </c>
      <c r="G235" t="s">
        <v>176</v>
      </c>
      <c r="H235" t="s">
        <v>177</v>
      </c>
      <c r="K235">
        <v>217</v>
      </c>
      <c r="L235">
        <v>18</v>
      </c>
      <c r="M235">
        <v>3</v>
      </c>
      <c r="N235" t="s">
        <v>3</v>
      </c>
      <c r="O235">
        <v>2</v>
      </c>
    </row>
    <row r="236" spans="1:15" x14ac:dyDescent="0.2">
      <c r="A236">
        <v>50</v>
      </c>
      <c r="B236">
        <v>0</v>
      </c>
      <c r="C236">
        <v>0</v>
      </c>
      <c r="D236">
        <v>1</v>
      </c>
      <c r="E236">
        <v>230</v>
      </c>
      <c r="F236">
        <f>ROUND(Source!BA216,O236)</f>
        <v>0</v>
      </c>
      <c r="G236" t="s">
        <v>178</v>
      </c>
      <c r="H236" t="s">
        <v>179</v>
      </c>
      <c r="K236">
        <v>230</v>
      </c>
      <c r="L236">
        <v>19</v>
      </c>
      <c r="M236">
        <v>3</v>
      </c>
      <c r="N236" t="s">
        <v>3</v>
      </c>
      <c r="O236">
        <v>2</v>
      </c>
    </row>
    <row r="237" spans="1:15" x14ac:dyDescent="0.2">
      <c r="A237">
        <v>50</v>
      </c>
      <c r="B237">
        <v>0</v>
      </c>
      <c r="C237">
        <v>0</v>
      </c>
      <c r="D237">
        <v>1</v>
      </c>
      <c r="E237">
        <v>206</v>
      </c>
      <c r="F237">
        <f>ROUND(Source!T216,O237)</f>
        <v>0</v>
      </c>
      <c r="G237" t="s">
        <v>180</v>
      </c>
      <c r="H237" t="s">
        <v>181</v>
      </c>
      <c r="K237">
        <v>206</v>
      </c>
      <c r="L237">
        <v>20</v>
      </c>
      <c r="M237">
        <v>3</v>
      </c>
      <c r="N237" t="s">
        <v>3</v>
      </c>
      <c r="O237">
        <v>2</v>
      </c>
    </row>
    <row r="238" spans="1:15" x14ac:dyDescent="0.2">
      <c r="A238">
        <v>50</v>
      </c>
      <c r="B238">
        <v>0</v>
      </c>
      <c r="C238">
        <v>0</v>
      </c>
      <c r="D238">
        <v>1</v>
      </c>
      <c r="E238">
        <v>207</v>
      </c>
      <c r="F238">
        <f>Source!U216</f>
        <v>36.342300000000002</v>
      </c>
      <c r="G238" t="s">
        <v>182</v>
      </c>
      <c r="H238" t="s">
        <v>183</v>
      </c>
      <c r="K238">
        <v>207</v>
      </c>
      <c r="L238">
        <v>21</v>
      </c>
      <c r="M238">
        <v>3</v>
      </c>
      <c r="N238" t="s">
        <v>3</v>
      </c>
      <c r="O238">
        <v>-1</v>
      </c>
    </row>
    <row r="239" spans="1:15" x14ac:dyDescent="0.2">
      <c r="A239">
        <v>50</v>
      </c>
      <c r="B239">
        <v>0</v>
      </c>
      <c r="C239">
        <v>0</v>
      </c>
      <c r="D239">
        <v>1</v>
      </c>
      <c r="E239">
        <v>208</v>
      </c>
      <c r="F239">
        <f>Source!V216</f>
        <v>0</v>
      </c>
      <c r="G239" t="s">
        <v>184</v>
      </c>
      <c r="H239" t="s">
        <v>185</v>
      </c>
      <c r="K239">
        <v>208</v>
      </c>
      <c r="L239">
        <v>22</v>
      </c>
      <c r="M239">
        <v>3</v>
      </c>
      <c r="N239" t="s">
        <v>3</v>
      </c>
      <c r="O239">
        <v>-1</v>
      </c>
    </row>
    <row r="240" spans="1:15" x14ac:dyDescent="0.2">
      <c r="A240">
        <v>50</v>
      </c>
      <c r="B240">
        <v>0</v>
      </c>
      <c r="C240">
        <v>0</v>
      </c>
      <c r="D240">
        <v>1</v>
      </c>
      <c r="E240">
        <v>209</v>
      </c>
      <c r="F240">
        <f>ROUND(Source!W216,O240)</f>
        <v>0</v>
      </c>
      <c r="G240" t="s">
        <v>186</v>
      </c>
      <c r="H240" t="s">
        <v>187</v>
      </c>
      <c r="K240">
        <v>209</v>
      </c>
      <c r="L240">
        <v>23</v>
      </c>
      <c r="M240">
        <v>3</v>
      </c>
      <c r="N240" t="s">
        <v>3</v>
      </c>
      <c r="O240">
        <v>2</v>
      </c>
    </row>
    <row r="241" spans="1:245" x14ac:dyDescent="0.2">
      <c r="A241">
        <v>50</v>
      </c>
      <c r="B241">
        <v>0</v>
      </c>
      <c r="C241">
        <v>0</v>
      </c>
      <c r="D241">
        <v>1</v>
      </c>
      <c r="E241">
        <v>233</v>
      </c>
      <c r="F241">
        <f>ROUND(Source!BD216,O241)</f>
        <v>0</v>
      </c>
      <c r="G241" t="s">
        <v>188</v>
      </c>
      <c r="H241" t="s">
        <v>189</v>
      </c>
      <c r="K241">
        <v>233</v>
      </c>
      <c r="L241">
        <v>24</v>
      </c>
      <c r="M241">
        <v>3</v>
      </c>
      <c r="N241" t="s">
        <v>3</v>
      </c>
      <c r="O241">
        <v>2</v>
      </c>
    </row>
    <row r="242" spans="1:245" x14ac:dyDescent="0.2">
      <c r="A242">
        <v>50</v>
      </c>
      <c r="B242">
        <v>0</v>
      </c>
      <c r="C242">
        <v>0</v>
      </c>
      <c r="D242">
        <v>1</v>
      </c>
      <c r="E242">
        <v>210</v>
      </c>
      <c r="F242">
        <f>ROUND(Source!X216,O242)</f>
        <v>4870.41</v>
      </c>
      <c r="G242" t="s">
        <v>190</v>
      </c>
      <c r="H242" t="s">
        <v>191</v>
      </c>
      <c r="K242">
        <v>210</v>
      </c>
      <c r="L242">
        <v>25</v>
      </c>
      <c r="M242">
        <v>3</v>
      </c>
      <c r="N242" t="s">
        <v>3</v>
      </c>
      <c r="O242">
        <v>2</v>
      </c>
    </row>
    <row r="243" spans="1:245" x14ac:dyDescent="0.2">
      <c r="A243">
        <v>50</v>
      </c>
      <c r="B243">
        <v>0</v>
      </c>
      <c r="C243">
        <v>0</v>
      </c>
      <c r="D243">
        <v>1</v>
      </c>
      <c r="E243">
        <v>211</v>
      </c>
      <c r="F243">
        <f>ROUND(Source!Y216,O243)</f>
        <v>695.77</v>
      </c>
      <c r="G243" t="s">
        <v>192</v>
      </c>
      <c r="H243" t="s">
        <v>193</v>
      </c>
      <c r="K243">
        <v>211</v>
      </c>
      <c r="L243">
        <v>26</v>
      </c>
      <c r="M243">
        <v>3</v>
      </c>
      <c r="N243" t="s">
        <v>3</v>
      </c>
      <c r="O243">
        <v>2</v>
      </c>
    </row>
    <row r="244" spans="1:245" x14ac:dyDescent="0.2">
      <c r="A244">
        <v>50</v>
      </c>
      <c r="B244">
        <v>0</v>
      </c>
      <c r="C244">
        <v>0</v>
      </c>
      <c r="D244">
        <v>1</v>
      </c>
      <c r="E244">
        <v>224</v>
      </c>
      <c r="F244">
        <f>ROUND(Source!AR216,O244)</f>
        <v>76051.69</v>
      </c>
      <c r="G244" t="s">
        <v>194</v>
      </c>
      <c r="H244" t="s">
        <v>195</v>
      </c>
      <c r="K244">
        <v>224</v>
      </c>
      <c r="L244">
        <v>27</v>
      </c>
      <c r="M244">
        <v>3</v>
      </c>
      <c r="N244" t="s">
        <v>3</v>
      </c>
      <c r="O244">
        <v>2</v>
      </c>
    </row>
    <row r="246" spans="1:245" x14ac:dyDescent="0.2">
      <c r="A246">
        <v>4</v>
      </c>
      <c r="B246">
        <v>1</v>
      </c>
      <c r="D246">
        <f>ROW(A255)</f>
        <v>255</v>
      </c>
      <c r="F246" t="s">
        <v>14</v>
      </c>
      <c r="G246" t="s">
        <v>311</v>
      </c>
      <c r="H246" t="s">
        <v>3</v>
      </c>
      <c r="I246">
        <v>0</v>
      </c>
      <c r="K246">
        <v>0</v>
      </c>
      <c r="U246" t="s">
        <v>3</v>
      </c>
      <c r="V246">
        <v>0</v>
      </c>
      <c r="AB246" t="s">
        <v>3</v>
      </c>
      <c r="AC246" t="s">
        <v>3</v>
      </c>
      <c r="AD246" t="s">
        <v>3</v>
      </c>
      <c r="AE246" t="s">
        <v>3</v>
      </c>
      <c r="AF246" t="s">
        <v>3</v>
      </c>
      <c r="AG246" t="s">
        <v>3</v>
      </c>
      <c r="AP246" t="s">
        <v>3</v>
      </c>
      <c r="AQ246" t="s">
        <v>3</v>
      </c>
      <c r="AR246" t="s">
        <v>3</v>
      </c>
      <c r="AZ246" t="s">
        <v>3</v>
      </c>
      <c r="BB246" t="s">
        <v>3</v>
      </c>
      <c r="BC246" t="s">
        <v>3</v>
      </c>
      <c r="BD246" t="s">
        <v>3</v>
      </c>
      <c r="BE246" t="s">
        <v>3</v>
      </c>
      <c r="BF246" t="s">
        <v>3</v>
      </c>
      <c r="BG246" t="s">
        <v>3</v>
      </c>
      <c r="BH246" t="s">
        <v>3</v>
      </c>
      <c r="BI246" t="s">
        <v>3</v>
      </c>
      <c r="BJ246" t="s">
        <v>3</v>
      </c>
      <c r="BK246" t="s">
        <v>3</v>
      </c>
      <c r="BL246" t="s">
        <v>3</v>
      </c>
      <c r="BM246" t="s">
        <v>3</v>
      </c>
      <c r="BN246" t="s">
        <v>3</v>
      </c>
      <c r="BO246" t="s">
        <v>3</v>
      </c>
      <c r="BP246" t="s">
        <v>3</v>
      </c>
      <c r="BX246">
        <v>0</v>
      </c>
      <c r="CJ246">
        <v>0</v>
      </c>
    </row>
    <row r="248" spans="1:245" x14ac:dyDescent="0.2">
      <c r="A248">
        <v>52</v>
      </c>
      <c r="B248">
        <f t="shared" ref="B248:G248" si="214">B255</f>
        <v>1</v>
      </c>
      <c r="C248">
        <f t="shared" si="214"/>
        <v>4</v>
      </c>
      <c r="D248">
        <f t="shared" si="214"/>
        <v>246</v>
      </c>
      <c r="E248">
        <f t="shared" si="214"/>
        <v>0</v>
      </c>
      <c r="F248" t="str">
        <f t="shared" si="214"/>
        <v>Новый раздел</v>
      </c>
      <c r="G248" t="str">
        <f t="shared" si="214"/>
        <v>Устройство плиточного покрытия (ТИП  III)</v>
      </c>
      <c r="O248">
        <f t="shared" ref="O248:AT248" si="215">O255</f>
        <v>33436.11</v>
      </c>
      <c r="P248">
        <f t="shared" si="215"/>
        <v>27867.4</v>
      </c>
      <c r="Q248">
        <f t="shared" si="215"/>
        <v>79.73</v>
      </c>
      <c r="R248">
        <f t="shared" si="215"/>
        <v>3.61</v>
      </c>
      <c r="S248">
        <f t="shared" si="215"/>
        <v>5488.98</v>
      </c>
      <c r="T248">
        <f t="shared" si="215"/>
        <v>0</v>
      </c>
      <c r="U248">
        <f t="shared" si="215"/>
        <v>27.084160000000004</v>
      </c>
      <c r="V248">
        <f t="shared" si="215"/>
        <v>0</v>
      </c>
      <c r="W248">
        <f t="shared" si="215"/>
        <v>0</v>
      </c>
      <c r="X248">
        <f t="shared" si="215"/>
        <v>3842.29</v>
      </c>
      <c r="Y248">
        <f t="shared" si="215"/>
        <v>548.9</v>
      </c>
      <c r="Z248">
        <f t="shared" si="215"/>
        <v>0</v>
      </c>
      <c r="AA248">
        <f t="shared" si="215"/>
        <v>0</v>
      </c>
      <c r="AB248">
        <f t="shared" si="215"/>
        <v>33436.11</v>
      </c>
      <c r="AC248">
        <f t="shared" si="215"/>
        <v>27867.4</v>
      </c>
      <c r="AD248">
        <f t="shared" si="215"/>
        <v>79.73</v>
      </c>
      <c r="AE248">
        <f t="shared" si="215"/>
        <v>3.61</v>
      </c>
      <c r="AF248">
        <f t="shared" si="215"/>
        <v>5488.98</v>
      </c>
      <c r="AG248">
        <f t="shared" si="215"/>
        <v>0</v>
      </c>
      <c r="AH248">
        <f t="shared" si="215"/>
        <v>27.084160000000004</v>
      </c>
      <c r="AI248">
        <f t="shared" si="215"/>
        <v>0</v>
      </c>
      <c r="AJ248">
        <f t="shared" si="215"/>
        <v>0</v>
      </c>
      <c r="AK248">
        <f t="shared" si="215"/>
        <v>3842.29</v>
      </c>
      <c r="AL248">
        <f t="shared" si="215"/>
        <v>548.9</v>
      </c>
      <c r="AM248">
        <f t="shared" si="215"/>
        <v>0</v>
      </c>
      <c r="AN248">
        <f t="shared" si="215"/>
        <v>0</v>
      </c>
      <c r="AO248">
        <f t="shared" si="215"/>
        <v>0</v>
      </c>
      <c r="AP248">
        <f t="shared" si="215"/>
        <v>0</v>
      </c>
      <c r="AQ248">
        <f t="shared" si="215"/>
        <v>0</v>
      </c>
      <c r="AR248">
        <f t="shared" si="215"/>
        <v>37831.199999999997</v>
      </c>
      <c r="AS248">
        <f t="shared" si="215"/>
        <v>0</v>
      </c>
      <c r="AT248">
        <f t="shared" si="215"/>
        <v>0</v>
      </c>
      <c r="AU248">
        <f t="shared" ref="AU248:BZ248" si="216">AU255</f>
        <v>37831.199999999997</v>
      </c>
      <c r="AV248">
        <f t="shared" si="216"/>
        <v>27867.4</v>
      </c>
      <c r="AW248">
        <f t="shared" si="216"/>
        <v>27867.4</v>
      </c>
      <c r="AX248">
        <f t="shared" si="216"/>
        <v>0</v>
      </c>
      <c r="AY248">
        <f t="shared" si="216"/>
        <v>27867.4</v>
      </c>
      <c r="AZ248">
        <f t="shared" si="216"/>
        <v>0</v>
      </c>
      <c r="BA248">
        <f t="shared" si="216"/>
        <v>0</v>
      </c>
      <c r="BB248">
        <f t="shared" si="216"/>
        <v>0</v>
      </c>
      <c r="BC248">
        <f t="shared" si="216"/>
        <v>0</v>
      </c>
      <c r="BD248">
        <f t="shared" si="216"/>
        <v>0</v>
      </c>
      <c r="BE248">
        <f t="shared" si="216"/>
        <v>0</v>
      </c>
      <c r="BF248">
        <f t="shared" si="216"/>
        <v>0</v>
      </c>
      <c r="BG248">
        <f t="shared" si="216"/>
        <v>0</v>
      </c>
      <c r="BH248">
        <f t="shared" si="216"/>
        <v>0</v>
      </c>
      <c r="BI248">
        <f t="shared" si="216"/>
        <v>0</v>
      </c>
      <c r="BJ248">
        <f t="shared" si="216"/>
        <v>0</v>
      </c>
      <c r="BK248">
        <f t="shared" si="216"/>
        <v>0</v>
      </c>
      <c r="BL248">
        <f t="shared" si="216"/>
        <v>0</v>
      </c>
      <c r="BM248">
        <f t="shared" si="216"/>
        <v>0</v>
      </c>
      <c r="BN248">
        <f t="shared" si="216"/>
        <v>0</v>
      </c>
      <c r="BO248">
        <f t="shared" si="216"/>
        <v>0</v>
      </c>
      <c r="BP248">
        <f t="shared" si="216"/>
        <v>0</v>
      </c>
      <c r="BQ248">
        <f t="shared" si="216"/>
        <v>0</v>
      </c>
      <c r="BR248">
        <f t="shared" si="216"/>
        <v>0</v>
      </c>
      <c r="BS248">
        <f t="shared" si="216"/>
        <v>0</v>
      </c>
      <c r="BT248">
        <f t="shared" si="216"/>
        <v>0</v>
      </c>
      <c r="BU248">
        <f t="shared" si="216"/>
        <v>0</v>
      </c>
      <c r="BV248">
        <f t="shared" si="216"/>
        <v>0</v>
      </c>
      <c r="BW248">
        <f t="shared" si="216"/>
        <v>0</v>
      </c>
      <c r="BX248">
        <f t="shared" si="216"/>
        <v>0</v>
      </c>
      <c r="BY248">
        <f t="shared" si="216"/>
        <v>0</v>
      </c>
      <c r="BZ248">
        <f t="shared" si="216"/>
        <v>0</v>
      </c>
      <c r="CA248">
        <f t="shared" ref="CA248:DF248" si="217">CA255</f>
        <v>37831.199999999997</v>
      </c>
      <c r="CB248">
        <f t="shared" si="217"/>
        <v>0</v>
      </c>
      <c r="CC248">
        <f t="shared" si="217"/>
        <v>0</v>
      </c>
      <c r="CD248">
        <f t="shared" si="217"/>
        <v>37831.199999999997</v>
      </c>
      <c r="CE248">
        <f t="shared" si="217"/>
        <v>27867.4</v>
      </c>
      <c r="CF248">
        <f t="shared" si="217"/>
        <v>27867.4</v>
      </c>
      <c r="CG248">
        <f t="shared" si="217"/>
        <v>0</v>
      </c>
      <c r="CH248">
        <f t="shared" si="217"/>
        <v>27867.4</v>
      </c>
      <c r="CI248">
        <f t="shared" si="217"/>
        <v>0</v>
      </c>
      <c r="CJ248">
        <f t="shared" si="217"/>
        <v>0</v>
      </c>
      <c r="CK248">
        <f t="shared" si="217"/>
        <v>0</v>
      </c>
      <c r="CL248">
        <f t="shared" si="217"/>
        <v>0</v>
      </c>
      <c r="CM248">
        <f t="shared" si="217"/>
        <v>0</v>
      </c>
      <c r="CN248">
        <f t="shared" si="217"/>
        <v>0</v>
      </c>
      <c r="CO248">
        <f t="shared" si="217"/>
        <v>0</v>
      </c>
      <c r="CP248">
        <f t="shared" si="217"/>
        <v>0</v>
      </c>
      <c r="CQ248">
        <f t="shared" si="217"/>
        <v>0</v>
      </c>
      <c r="CR248">
        <f t="shared" si="217"/>
        <v>0</v>
      </c>
      <c r="CS248">
        <f t="shared" si="217"/>
        <v>0</v>
      </c>
      <c r="CT248">
        <f t="shared" si="217"/>
        <v>0</v>
      </c>
      <c r="CU248">
        <f t="shared" si="217"/>
        <v>0</v>
      </c>
      <c r="CV248">
        <f t="shared" si="217"/>
        <v>0</v>
      </c>
      <c r="CW248">
        <f t="shared" si="217"/>
        <v>0</v>
      </c>
      <c r="CX248">
        <f t="shared" si="217"/>
        <v>0</v>
      </c>
      <c r="CY248">
        <f t="shared" si="217"/>
        <v>0</v>
      </c>
      <c r="CZ248">
        <f t="shared" si="217"/>
        <v>0</v>
      </c>
      <c r="DA248">
        <f t="shared" si="217"/>
        <v>0</v>
      </c>
      <c r="DB248">
        <f t="shared" si="217"/>
        <v>0</v>
      </c>
      <c r="DC248">
        <f t="shared" si="217"/>
        <v>0</v>
      </c>
      <c r="DD248">
        <f t="shared" si="217"/>
        <v>0</v>
      </c>
      <c r="DE248">
        <f t="shared" si="217"/>
        <v>0</v>
      </c>
      <c r="DF248">
        <f t="shared" si="217"/>
        <v>0</v>
      </c>
      <c r="DG248">
        <f t="shared" ref="DG248:EL248" si="218">DG255</f>
        <v>0</v>
      </c>
      <c r="DH248">
        <f t="shared" si="218"/>
        <v>0</v>
      </c>
      <c r="DI248">
        <f t="shared" si="218"/>
        <v>0</v>
      </c>
      <c r="DJ248">
        <f t="shared" si="218"/>
        <v>0</v>
      </c>
      <c r="DK248">
        <f t="shared" si="218"/>
        <v>0</v>
      </c>
      <c r="DL248">
        <f t="shared" si="218"/>
        <v>0</v>
      </c>
      <c r="DM248">
        <f t="shared" si="218"/>
        <v>0</v>
      </c>
      <c r="DN248">
        <f t="shared" si="218"/>
        <v>0</v>
      </c>
      <c r="DO248">
        <f t="shared" si="218"/>
        <v>0</v>
      </c>
      <c r="DP248">
        <f t="shared" si="218"/>
        <v>0</v>
      </c>
      <c r="DQ248">
        <f t="shared" si="218"/>
        <v>0</v>
      </c>
      <c r="DR248">
        <f t="shared" si="218"/>
        <v>0</v>
      </c>
      <c r="DS248">
        <f t="shared" si="218"/>
        <v>0</v>
      </c>
      <c r="DT248">
        <f t="shared" si="218"/>
        <v>0</v>
      </c>
      <c r="DU248">
        <f t="shared" si="218"/>
        <v>0</v>
      </c>
      <c r="DV248">
        <f t="shared" si="218"/>
        <v>0</v>
      </c>
      <c r="DW248">
        <f t="shared" si="218"/>
        <v>0</v>
      </c>
      <c r="DX248">
        <f t="shared" si="218"/>
        <v>0</v>
      </c>
      <c r="DY248">
        <f t="shared" si="218"/>
        <v>0</v>
      </c>
      <c r="DZ248">
        <f t="shared" si="218"/>
        <v>0</v>
      </c>
      <c r="EA248">
        <f t="shared" si="218"/>
        <v>0</v>
      </c>
      <c r="EB248">
        <f t="shared" si="218"/>
        <v>0</v>
      </c>
      <c r="EC248">
        <f t="shared" si="218"/>
        <v>0</v>
      </c>
      <c r="ED248">
        <f t="shared" si="218"/>
        <v>0</v>
      </c>
      <c r="EE248">
        <f t="shared" si="218"/>
        <v>0</v>
      </c>
      <c r="EF248">
        <f t="shared" si="218"/>
        <v>0</v>
      </c>
      <c r="EG248">
        <f t="shared" si="218"/>
        <v>0</v>
      </c>
      <c r="EH248">
        <f t="shared" si="218"/>
        <v>0</v>
      </c>
      <c r="EI248">
        <f t="shared" si="218"/>
        <v>0</v>
      </c>
      <c r="EJ248">
        <f t="shared" si="218"/>
        <v>0</v>
      </c>
      <c r="EK248">
        <f t="shared" si="218"/>
        <v>0</v>
      </c>
      <c r="EL248">
        <f t="shared" si="218"/>
        <v>0</v>
      </c>
      <c r="EM248">
        <f t="shared" ref="EM248:FR248" si="219">EM255</f>
        <v>0</v>
      </c>
      <c r="EN248">
        <f t="shared" si="219"/>
        <v>0</v>
      </c>
      <c r="EO248">
        <f t="shared" si="219"/>
        <v>0</v>
      </c>
      <c r="EP248">
        <f t="shared" si="219"/>
        <v>0</v>
      </c>
      <c r="EQ248">
        <f t="shared" si="219"/>
        <v>0</v>
      </c>
      <c r="ER248">
        <f t="shared" si="219"/>
        <v>0</v>
      </c>
      <c r="ES248">
        <f t="shared" si="219"/>
        <v>0</v>
      </c>
      <c r="ET248">
        <f t="shared" si="219"/>
        <v>0</v>
      </c>
      <c r="EU248">
        <f t="shared" si="219"/>
        <v>0</v>
      </c>
      <c r="EV248">
        <f t="shared" si="219"/>
        <v>0</v>
      </c>
      <c r="EW248">
        <f t="shared" si="219"/>
        <v>0</v>
      </c>
      <c r="EX248">
        <f t="shared" si="219"/>
        <v>0</v>
      </c>
      <c r="EY248">
        <f t="shared" si="219"/>
        <v>0</v>
      </c>
      <c r="EZ248">
        <f t="shared" si="219"/>
        <v>0</v>
      </c>
      <c r="FA248">
        <f t="shared" si="219"/>
        <v>0</v>
      </c>
      <c r="FB248">
        <f t="shared" si="219"/>
        <v>0</v>
      </c>
      <c r="FC248">
        <f t="shared" si="219"/>
        <v>0</v>
      </c>
      <c r="FD248">
        <f t="shared" si="219"/>
        <v>0</v>
      </c>
      <c r="FE248">
        <f t="shared" si="219"/>
        <v>0</v>
      </c>
      <c r="FF248">
        <f t="shared" si="219"/>
        <v>0</v>
      </c>
      <c r="FG248">
        <f t="shared" si="219"/>
        <v>0</v>
      </c>
      <c r="FH248">
        <f t="shared" si="219"/>
        <v>0</v>
      </c>
      <c r="FI248">
        <f t="shared" si="219"/>
        <v>0</v>
      </c>
      <c r="FJ248">
        <f t="shared" si="219"/>
        <v>0</v>
      </c>
      <c r="FK248">
        <f t="shared" si="219"/>
        <v>0</v>
      </c>
      <c r="FL248">
        <f t="shared" si="219"/>
        <v>0</v>
      </c>
      <c r="FM248">
        <f t="shared" si="219"/>
        <v>0</v>
      </c>
      <c r="FN248">
        <f t="shared" si="219"/>
        <v>0</v>
      </c>
      <c r="FO248">
        <f t="shared" si="219"/>
        <v>0</v>
      </c>
      <c r="FP248">
        <f t="shared" si="219"/>
        <v>0</v>
      </c>
      <c r="FQ248">
        <f t="shared" si="219"/>
        <v>0</v>
      </c>
      <c r="FR248">
        <f t="shared" si="219"/>
        <v>0</v>
      </c>
      <c r="FS248">
        <f t="shared" ref="FS248:GX248" si="220">FS255</f>
        <v>0</v>
      </c>
      <c r="FT248">
        <f t="shared" si="220"/>
        <v>0</v>
      </c>
      <c r="FU248">
        <f t="shared" si="220"/>
        <v>0</v>
      </c>
      <c r="FV248">
        <f t="shared" si="220"/>
        <v>0</v>
      </c>
      <c r="FW248">
        <f t="shared" si="220"/>
        <v>0</v>
      </c>
      <c r="FX248">
        <f t="shared" si="220"/>
        <v>0</v>
      </c>
      <c r="FY248">
        <f t="shared" si="220"/>
        <v>0</v>
      </c>
      <c r="FZ248">
        <f t="shared" si="220"/>
        <v>0</v>
      </c>
      <c r="GA248">
        <f t="shared" si="220"/>
        <v>0</v>
      </c>
      <c r="GB248">
        <f t="shared" si="220"/>
        <v>0</v>
      </c>
      <c r="GC248">
        <f t="shared" si="220"/>
        <v>0</v>
      </c>
      <c r="GD248">
        <f t="shared" si="220"/>
        <v>0</v>
      </c>
      <c r="GE248">
        <f t="shared" si="220"/>
        <v>0</v>
      </c>
      <c r="GF248">
        <f t="shared" si="220"/>
        <v>0</v>
      </c>
      <c r="GG248">
        <f t="shared" si="220"/>
        <v>0</v>
      </c>
      <c r="GH248">
        <f t="shared" si="220"/>
        <v>0</v>
      </c>
      <c r="GI248">
        <f t="shared" si="220"/>
        <v>0</v>
      </c>
      <c r="GJ248">
        <f t="shared" si="220"/>
        <v>0</v>
      </c>
      <c r="GK248">
        <f t="shared" si="220"/>
        <v>0</v>
      </c>
      <c r="GL248">
        <f t="shared" si="220"/>
        <v>0</v>
      </c>
      <c r="GM248">
        <f t="shared" si="220"/>
        <v>0</v>
      </c>
      <c r="GN248">
        <f t="shared" si="220"/>
        <v>0</v>
      </c>
      <c r="GO248">
        <f t="shared" si="220"/>
        <v>0</v>
      </c>
      <c r="GP248">
        <f t="shared" si="220"/>
        <v>0</v>
      </c>
      <c r="GQ248">
        <f t="shared" si="220"/>
        <v>0</v>
      </c>
      <c r="GR248">
        <f t="shared" si="220"/>
        <v>0</v>
      </c>
      <c r="GS248">
        <f t="shared" si="220"/>
        <v>0</v>
      </c>
      <c r="GT248">
        <f t="shared" si="220"/>
        <v>0</v>
      </c>
      <c r="GU248">
        <f t="shared" si="220"/>
        <v>0</v>
      </c>
      <c r="GV248">
        <f t="shared" si="220"/>
        <v>0</v>
      </c>
      <c r="GW248">
        <f t="shared" si="220"/>
        <v>0</v>
      </c>
      <c r="GX248">
        <f t="shared" si="220"/>
        <v>0</v>
      </c>
    </row>
    <row r="250" spans="1:245" x14ac:dyDescent="0.2">
      <c r="A250">
        <v>17</v>
      </c>
      <c r="B250">
        <v>1</v>
      </c>
      <c r="D250">
        <f>ROW(EtalonRes!A327)</f>
        <v>327</v>
      </c>
      <c r="E250" t="s">
        <v>3</v>
      </c>
      <c r="F250" t="s">
        <v>252</v>
      </c>
      <c r="G250" t="s">
        <v>312</v>
      </c>
      <c r="H250" t="s">
        <v>47</v>
      </c>
      <c r="I250">
        <f>ROUND(I252*100*0.2/100,9)</f>
        <v>4.0399999999999998E-2</v>
      </c>
      <c r="J250">
        <v>0</v>
      </c>
      <c r="O250">
        <f>ROUND(CP250,2)</f>
        <v>3064.9</v>
      </c>
      <c r="P250">
        <f>ROUND(CQ250*I250,2)</f>
        <v>2632.55</v>
      </c>
      <c r="Q250">
        <f>ROUND(CR250*I250,2)</f>
        <v>307.13</v>
      </c>
      <c r="R250">
        <f>ROUND(CS250*I250,2)</f>
        <v>130.21</v>
      </c>
      <c r="S250">
        <f>ROUND(CT250*I250,2)</f>
        <v>125.22</v>
      </c>
      <c r="T250">
        <f>ROUND(CU250*I250,2)</f>
        <v>0</v>
      </c>
      <c r="U250">
        <f>CV250*I250</f>
        <v>0.66902399999999995</v>
      </c>
      <c r="V250">
        <f>CW250*I250</f>
        <v>0</v>
      </c>
      <c r="W250">
        <f>ROUND(CX250*I250,2)</f>
        <v>0</v>
      </c>
      <c r="X250">
        <f t="shared" ref="X250:Y253" si="221">ROUND(CY250,2)</f>
        <v>87.65</v>
      </c>
      <c r="Y250">
        <f t="shared" si="221"/>
        <v>12.52</v>
      </c>
      <c r="AA250">
        <v>-1</v>
      </c>
      <c r="AB250">
        <f>ROUND((AC250+AD250+AF250),6)</f>
        <v>75863.820000000007</v>
      </c>
      <c r="AC250">
        <f>ROUND((ES250),6)</f>
        <v>65162.05</v>
      </c>
      <c r="AD250">
        <f>ROUND((((ET250)-(EU250))+AE250),6)</f>
        <v>7602.23</v>
      </c>
      <c r="AE250">
        <f t="shared" ref="AE250:AF253" si="222">ROUND((EU250),6)</f>
        <v>3222.98</v>
      </c>
      <c r="AF250">
        <f t="shared" si="222"/>
        <v>3099.54</v>
      </c>
      <c r="AG250">
        <f>ROUND((AP250),6)</f>
        <v>0</v>
      </c>
      <c r="AH250">
        <f t="shared" ref="AH250:AI253" si="223">(EW250)</f>
        <v>16.559999999999999</v>
      </c>
      <c r="AI250">
        <f t="shared" si="223"/>
        <v>0</v>
      </c>
      <c r="AJ250">
        <f>(AS250)</f>
        <v>0</v>
      </c>
      <c r="AK250">
        <v>75863.820000000007</v>
      </c>
      <c r="AL250">
        <v>65162.05</v>
      </c>
      <c r="AM250">
        <v>7602.23</v>
      </c>
      <c r="AN250">
        <v>3222.98</v>
      </c>
      <c r="AO250">
        <v>3099.54</v>
      </c>
      <c r="AP250">
        <v>0</v>
      </c>
      <c r="AQ250">
        <v>16.559999999999999</v>
      </c>
      <c r="AR250">
        <v>0</v>
      </c>
      <c r="AS250">
        <v>0</v>
      </c>
      <c r="AT250">
        <v>70</v>
      </c>
      <c r="AU250">
        <v>10</v>
      </c>
      <c r="AV250">
        <v>1</v>
      </c>
      <c r="AW250">
        <v>1</v>
      </c>
      <c r="AZ250">
        <v>1</v>
      </c>
      <c r="BA250">
        <v>1</v>
      </c>
      <c r="BB250">
        <v>1</v>
      </c>
      <c r="BC250">
        <v>1</v>
      </c>
      <c r="BD250" t="s">
        <v>3</v>
      </c>
      <c r="BE250" t="s">
        <v>3</v>
      </c>
      <c r="BF250" t="s">
        <v>3</v>
      </c>
      <c r="BG250" t="s">
        <v>3</v>
      </c>
      <c r="BH250">
        <v>0</v>
      </c>
      <c r="BI250">
        <v>4</v>
      </c>
      <c r="BJ250" t="s">
        <v>254</v>
      </c>
      <c r="BM250">
        <v>0</v>
      </c>
      <c r="BN250">
        <v>0</v>
      </c>
      <c r="BO250" t="s">
        <v>3</v>
      </c>
      <c r="BP250">
        <v>0</v>
      </c>
      <c r="BQ250">
        <v>1</v>
      </c>
      <c r="BR250">
        <v>0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 t="s">
        <v>3</v>
      </c>
      <c r="BZ250">
        <v>70</v>
      </c>
      <c r="CA250">
        <v>10</v>
      </c>
      <c r="CE250">
        <v>0</v>
      </c>
      <c r="CF250">
        <v>0</v>
      </c>
      <c r="CG250">
        <v>0</v>
      </c>
      <c r="CM250">
        <v>0</v>
      </c>
      <c r="CN250" t="s">
        <v>3</v>
      </c>
      <c r="CO250">
        <v>0</v>
      </c>
      <c r="CP250">
        <f>(P250+Q250+S250)</f>
        <v>3064.9</v>
      </c>
      <c r="CQ250">
        <f>(AC250*BC250*AW250)</f>
        <v>65162.05</v>
      </c>
      <c r="CR250">
        <f>((((ET250)*BB250-(EU250)*BS250)+AE250*BS250)*AV250)</f>
        <v>7602.23</v>
      </c>
      <c r="CS250">
        <f>(AE250*BS250*AV250)</f>
        <v>3222.98</v>
      </c>
      <c r="CT250">
        <f>(AF250*BA250*AV250)</f>
        <v>3099.54</v>
      </c>
      <c r="CU250">
        <f>AG250</f>
        <v>0</v>
      </c>
      <c r="CV250">
        <f>(AH250*AV250)</f>
        <v>16.559999999999999</v>
      </c>
      <c r="CW250">
        <f t="shared" ref="CW250:CX253" si="224">AI250</f>
        <v>0</v>
      </c>
      <c r="CX250">
        <f t="shared" si="224"/>
        <v>0</v>
      </c>
      <c r="CY250">
        <f>((S250*BZ250)/100)</f>
        <v>87.653999999999996</v>
      </c>
      <c r="CZ250">
        <f>((S250*CA250)/100)</f>
        <v>12.522</v>
      </c>
      <c r="DC250" t="s">
        <v>3</v>
      </c>
      <c r="DD250" t="s">
        <v>3</v>
      </c>
      <c r="DE250" t="s">
        <v>3</v>
      </c>
      <c r="DF250" t="s">
        <v>3</v>
      </c>
      <c r="DG250" t="s">
        <v>3</v>
      </c>
      <c r="DH250" t="s">
        <v>3</v>
      </c>
      <c r="DI250" t="s">
        <v>3</v>
      </c>
      <c r="DJ250" t="s">
        <v>3</v>
      </c>
      <c r="DK250" t="s">
        <v>3</v>
      </c>
      <c r="DL250" t="s">
        <v>3</v>
      </c>
      <c r="DM250" t="s">
        <v>3</v>
      </c>
      <c r="DN250">
        <v>0</v>
      </c>
      <c r="DO250">
        <v>0</v>
      </c>
      <c r="DP250">
        <v>1</v>
      </c>
      <c r="DQ250">
        <v>1</v>
      </c>
      <c r="DU250">
        <v>1007</v>
      </c>
      <c r="DV250" t="s">
        <v>47</v>
      </c>
      <c r="DW250" t="s">
        <v>47</v>
      </c>
      <c r="DX250">
        <v>100</v>
      </c>
      <c r="EE250">
        <v>67874524</v>
      </c>
      <c r="EF250">
        <v>1</v>
      </c>
      <c r="EG250" t="s">
        <v>20</v>
      </c>
      <c r="EH250">
        <v>0</v>
      </c>
      <c r="EI250" t="s">
        <v>3</v>
      </c>
      <c r="EJ250">
        <v>4</v>
      </c>
      <c r="EK250">
        <v>0</v>
      </c>
      <c r="EL250" t="s">
        <v>21</v>
      </c>
      <c r="EM250" t="s">
        <v>22</v>
      </c>
      <c r="EO250" t="s">
        <v>3</v>
      </c>
      <c r="EQ250">
        <v>1024</v>
      </c>
      <c r="ER250">
        <v>75863.820000000007</v>
      </c>
      <c r="ES250">
        <v>65162.05</v>
      </c>
      <c r="ET250">
        <v>7602.23</v>
      </c>
      <c r="EU250">
        <v>3222.98</v>
      </c>
      <c r="EV250">
        <v>3099.54</v>
      </c>
      <c r="EW250">
        <v>16.559999999999999</v>
      </c>
      <c r="EX250">
        <v>0</v>
      </c>
      <c r="EY250">
        <v>0</v>
      </c>
      <c r="FQ250">
        <v>0</v>
      </c>
      <c r="FR250">
        <f>ROUND(IF(AND(BH250=3,BI250=3),P250,0),2)</f>
        <v>0</v>
      </c>
      <c r="FS250">
        <v>0</v>
      </c>
      <c r="FX250">
        <v>70</v>
      </c>
      <c r="FY250">
        <v>10</v>
      </c>
      <c r="GA250" t="s">
        <v>3</v>
      </c>
      <c r="GD250">
        <v>0</v>
      </c>
      <c r="GF250">
        <v>-1529981997</v>
      </c>
      <c r="GG250">
        <v>2</v>
      </c>
      <c r="GH250">
        <v>1</v>
      </c>
      <c r="GI250">
        <v>-2</v>
      </c>
      <c r="GJ250">
        <v>0</v>
      </c>
      <c r="GK250">
        <f>ROUND(R250*(R12)/100,2)</f>
        <v>140.63</v>
      </c>
      <c r="GL250">
        <f>ROUND(IF(AND(BH250=3,BI250=3,FS250&lt;&gt;0),P250,0),2)</f>
        <v>0</v>
      </c>
      <c r="GM250">
        <f>ROUND(O250+X250+Y250+GK250,2)+GX250</f>
        <v>3305.7</v>
      </c>
      <c r="GN250">
        <f>IF(OR(BI250=0,BI250=1),ROUND(O250+X250+Y250+GK250,2),0)</f>
        <v>0</v>
      </c>
      <c r="GO250">
        <f>IF(BI250=2,ROUND(O250+X250+Y250+GK250,2),0)</f>
        <v>0</v>
      </c>
      <c r="GP250">
        <f>IF(BI250=4,ROUND(O250+X250+Y250+GK250,2)+GX250,0)</f>
        <v>3305.7</v>
      </c>
      <c r="GR250">
        <v>0</v>
      </c>
      <c r="GS250">
        <v>3</v>
      </c>
      <c r="GT250">
        <v>0</v>
      </c>
      <c r="GU250" t="s">
        <v>3</v>
      </c>
      <c r="GV250">
        <f>ROUND((GT250),6)</f>
        <v>0</v>
      </c>
      <c r="GW250">
        <v>1</v>
      </c>
      <c r="GX250">
        <f>ROUND(HC250*I250,2)</f>
        <v>0</v>
      </c>
      <c r="HA250">
        <v>0</v>
      </c>
      <c r="HB250">
        <v>0</v>
      </c>
      <c r="HC250">
        <f>GV250*GW250</f>
        <v>0</v>
      </c>
      <c r="IK250">
        <v>0</v>
      </c>
    </row>
    <row r="251" spans="1:245" x14ac:dyDescent="0.2">
      <c r="A251">
        <v>17</v>
      </c>
      <c r="B251">
        <v>1</v>
      </c>
      <c r="D251">
        <f>ROW(EtalonRes!A336)</f>
        <v>336</v>
      </c>
      <c r="E251" t="s">
        <v>3</v>
      </c>
      <c r="F251" t="s">
        <v>256</v>
      </c>
      <c r="G251" t="s">
        <v>313</v>
      </c>
      <c r="H251" t="s">
        <v>47</v>
      </c>
      <c r="I251">
        <f>ROUND(I252*100*0.12/100,9)</f>
        <v>2.4240000000000001E-2</v>
      </c>
      <c r="J251">
        <v>0</v>
      </c>
      <c r="O251">
        <f>ROUND(CP251,2)</f>
        <v>6808.16</v>
      </c>
      <c r="P251">
        <f>ROUND(CQ251*I251,2)</f>
        <v>5392.9</v>
      </c>
      <c r="Q251">
        <f>ROUND(CR251*I251,2)</f>
        <v>1302.56</v>
      </c>
      <c r="R251">
        <f>ROUND(CS251*I251,2)</f>
        <v>514.25</v>
      </c>
      <c r="S251">
        <f>ROUND(CT251*I251,2)</f>
        <v>112.7</v>
      </c>
      <c r="T251">
        <f>ROUND(CU251*I251,2)</f>
        <v>0</v>
      </c>
      <c r="U251">
        <f>CV251*I251</f>
        <v>0.60212160000000003</v>
      </c>
      <c r="V251">
        <f>CW251*I251</f>
        <v>0</v>
      </c>
      <c r="W251">
        <f>ROUND(CX251*I251,2)</f>
        <v>0</v>
      </c>
      <c r="X251">
        <f t="shared" si="221"/>
        <v>78.89</v>
      </c>
      <c r="Y251">
        <f t="shared" si="221"/>
        <v>11.27</v>
      </c>
      <c r="AA251">
        <v>-1</v>
      </c>
      <c r="AB251">
        <f>ROUND((AC251+AD251+AF251),6)</f>
        <v>280864.57</v>
      </c>
      <c r="AC251">
        <f>ROUND((ES251),6)</f>
        <v>222479.25</v>
      </c>
      <c r="AD251">
        <f>ROUND((((ET251)-(EU251))+AE251),6)</f>
        <v>53736.02</v>
      </c>
      <c r="AE251">
        <f t="shared" si="222"/>
        <v>21215.13</v>
      </c>
      <c r="AF251">
        <f t="shared" si="222"/>
        <v>4649.3</v>
      </c>
      <c r="AG251">
        <f>ROUND((AP251),6)</f>
        <v>0</v>
      </c>
      <c r="AH251">
        <f t="shared" si="223"/>
        <v>24.84</v>
      </c>
      <c r="AI251">
        <f t="shared" si="223"/>
        <v>0</v>
      </c>
      <c r="AJ251">
        <f>(AS251)</f>
        <v>0</v>
      </c>
      <c r="AK251">
        <v>280864.57</v>
      </c>
      <c r="AL251">
        <v>222479.25</v>
      </c>
      <c r="AM251">
        <v>53736.02</v>
      </c>
      <c r="AN251">
        <v>21215.13</v>
      </c>
      <c r="AO251">
        <v>4649.3</v>
      </c>
      <c r="AP251">
        <v>0</v>
      </c>
      <c r="AQ251">
        <v>24.84</v>
      </c>
      <c r="AR251">
        <v>0</v>
      </c>
      <c r="AS251">
        <v>0</v>
      </c>
      <c r="AT251">
        <v>70</v>
      </c>
      <c r="AU251">
        <v>10</v>
      </c>
      <c r="AV251">
        <v>1</v>
      </c>
      <c r="AW251">
        <v>1</v>
      </c>
      <c r="AZ251">
        <v>1</v>
      </c>
      <c r="BA251">
        <v>1</v>
      </c>
      <c r="BB251">
        <v>1</v>
      </c>
      <c r="BC251">
        <v>1</v>
      </c>
      <c r="BD251" t="s">
        <v>3</v>
      </c>
      <c r="BE251" t="s">
        <v>3</v>
      </c>
      <c r="BF251" t="s">
        <v>3</v>
      </c>
      <c r="BG251" t="s">
        <v>3</v>
      </c>
      <c r="BH251">
        <v>0</v>
      </c>
      <c r="BI251">
        <v>4</v>
      </c>
      <c r="BJ251" t="s">
        <v>258</v>
      </c>
      <c r="BM251">
        <v>0</v>
      </c>
      <c r="BN251">
        <v>0</v>
      </c>
      <c r="BO251" t="s">
        <v>3</v>
      </c>
      <c r="BP251">
        <v>0</v>
      </c>
      <c r="BQ251">
        <v>1</v>
      </c>
      <c r="BR251">
        <v>0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 t="s">
        <v>3</v>
      </c>
      <c r="BZ251">
        <v>70</v>
      </c>
      <c r="CA251">
        <v>10</v>
      </c>
      <c r="CE251">
        <v>0</v>
      </c>
      <c r="CF251">
        <v>0</v>
      </c>
      <c r="CG251">
        <v>0</v>
      </c>
      <c r="CM251">
        <v>0</v>
      </c>
      <c r="CN251" t="s">
        <v>3</v>
      </c>
      <c r="CO251">
        <v>0</v>
      </c>
      <c r="CP251">
        <f>(P251+Q251+S251)</f>
        <v>6808.1599999999989</v>
      </c>
      <c r="CQ251">
        <f>(AC251*BC251*AW251)</f>
        <v>222479.25</v>
      </c>
      <c r="CR251">
        <f>((((ET251)*BB251-(EU251)*BS251)+AE251*BS251)*AV251)</f>
        <v>53736.02</v>
      </c>
      <c r="CS251">
        <f>(AE251*BS251*AV251)</f>
        <v>21215.13</v>
      </c>
      <c r="CT251">
        <f>(AF251*BA251*AV251)</f>
        <v>4649.3</v>
      </c>
      <c r="CU251">
        <f>AG251</f>
        <v>0</v>
      </c>
      <c r="CV251">
        <f>(AH251*AV251)</f>
        <v>24.84</v>
      </c>
      <c r="CW251">
        <f t="shared" si="224"/>
        <v>0</v>
      </c>
      <c r="CX251">
        <f t="shared" si="224"/>
        <v>0</v>
      </c>
      <c r="CY251">
        <f>((S251*BZ251)/100)</f>
        <v>78.89</v>
      </c>
      <c r="CZ251">
        <f>((S251*CA251)/100)</f>
        <v>11.27</v>
      </c>
      <c r="DC251" t="s">
        <v>3</v>
      </c>
      <c r="DD251" t="s">
        <v>3</v>
      </c>
      <c r="DE251" t="s">
        <v>3</v>
      </c>
      <c r="DF251" t="s">
        <v>3</v>
      </c>
      <c r="DG251" t="s">
        <v>3</v>
      </c>
      <c r="DH251" t="s">
        <v>3</v>
      </c>
      <c r="DI251" t="s">
        <v>3</v>
      </c>
      <c r="DJ251" t="s">
        <v>3</v>
      </c>
      <c r="DK251" t="s">
        <v>3</v>
      </c>
      <c r="DL251" t="s">
        <v>3</v>
      </c>
      <c r="DM251" t="s">
        <v>3</v>
      </c>
      <c r="DN251">
        <v>0</v>
      </c>
      <c r="DO251">
        <v>0</v>
      </c>
      <c r="DP251">
        <v>1</v>
      </c>
      <c r="DQ251">
        <v>1</v>
      </c>
      <c r="DU251">
        <v>1007</v>
      </c>
      <c r="DV251" t="s">
        <v>47</v>
      </c>
      <c r="DW251" t="s">
        <v>47</v>
      </c>
      <c r="DX251">
        <v>100</v>
      </c>
      <c r="EE251">
        <v>67874524</v>
      </c>
      <c r="EF251">
        <v>1</v>
      </c>
      <c r="EG251" t="s">
        <v>20</v>
      </c>
      <c r="EH251">
        <v>0</v>
      </c>
      <c r="EI251" t="s">
        <v>3</v>
      </c>
      <c r="EJ251">
        <v>4</v>
      </c>
      <c r="EK251">
        <v>0</v>
      </c>
      <c r="EL251" t="s">
        <v>21</v>
      </c>
      <c r="EM251" t="s">
        <v>22</v>
      </c>
      <c r="EO251" t="s">
        <v>3</v>
      </c>
      <c r="EQ251">
        <v>1024</v>
      </c>
      <c r="ER251">
        <v>280864.57</v>
      </c>
      <c r="ES251">
        <v>222479.25</v>
      </c>
      <c r="ET251">
        <v>53736.02</v>
      </c>
      <c r="EU251">
        <v>21215.13</v>
      </c>
      <c r="EV251">
        <v>4649.3</v>
      </c>
      <c r="EW251">
        <v>24.84</v>
      </c>
      <c r="EX251">
        <v>0</v>
      </c>
      <c r="EY251">
        <v>0</v>
      </c>
      <c r="FQ251">
        <v>0</v>
      </c>
      <c r="FR251">
        <f>ROUND(IF(AND(BH251=3,BI251=3),P251,0),2)</f>
        <v>0</v>
      </c>
      <c r="FS251">
        <v>0</v>
      </c>
      <c r="FX251">
        <v>70</v>
      </c>
      <c r="FY251">
        <v>10</v>
      </c>
      <c r="GA251" t="s">
        <v>3</v>
      </c>
      <c r="GD251">
        <v>0</v>
      </c>
      <c r="GF251">
        <v>1983512710</v>
      </c>
      <c r="GG251">
        <v>2</v>
      </c>
      <c r="GH251">
        <v>1</v>
      </c>
      <c r="GI251">
        <v>-2</v>
      </c>
      <c r="GJ251">
        <v>0</v>
      </c>
      <c r="GK251">
        <f>ROUND(R251*(R12)/100,2)</f>
        <v>555.39</v>
      </c>
      <c r="GL251">
        <f>ROUND(IF(AND(BH251=3,BI251=3,FS251&lt;&gt;0),P251,0),2)</f>
        <v>0</v>
      </c>
      <c r="GM251">
        <f>ROUND(O251+X251+Y251+GK251,2)+GX251</f>
        <v>7453.71</v>
      </c>
      <c r="GN251">
        <f>IF(OR(BI251=0,BI251=1),ROUND(O251+X251+Y251+GK251,2),0)</f>
        <v>0</v>
      </c>
      <c r="GO251">
        <f>IF(BI251=2,ROUND(O251+X251+Y251+GK251,2),0)</f>
        <v>0</v>
      </c>
      <c r="GP251">
        <f>IF(BI251=4,ROUND(O251+X251+Y251+GK251,2)+GX251,0)</f>
        <v>7453.71</v>
      </c>
      <c r="GR251">
        <v>0</v>
      </c>
      <c r="GS251">
        <v>3</v>
      </c>
      <c r="GT251">
        <v>0</v>
      </c>
      <c r="GU251" t="s">
        <v>3</v>
      </c>
      <c r="GV251">
        <f>ROUND((GT251),6)</f>
        <v>0</v>
      </c>
      <c r="GW251">
        <v>1</v>
      </c>
      <c r="GX251">
        <f>ROUND(HC251*I251,2)</f>
        <v>0</v>
      </c>
      <c r="HA251">
        <v>0</v>
      </c>
      <c r="HB251">
        <v>0</v>
      </c>
      <c r="HC251">
        <f>GV251*GW251</f>
        <v>0</v>
      </c>
      <c r="IK251">
        <v>0</v>
      </c>
    </row>
    <row r="252" spans="1:245" x14ac:dyDescent="0.2">
      <c r="A252">
        <v>17</v>
      </c>
      <c r="B252">
        <v>1</v>
      </c>
      <c r="C252">
        <f>ROW(SmtRes!A51)</f>
        <v>51</v>
      </c>
      <c r="D252">
        <f>ROW(EtalonRes!A343)</f>
        <v>343</v>
      </c>
      <c r="E252" t="s">
        <v>314</v>
      </c>
      <c r="F252" t="s">
        <v>297</v>
      </c>
      <c r="G252" t="s">
        <v>298</v>
      </c>
      <c r="H252" t="s">
        <v>28</v>
      </c>
      <c r="I252">
        <f>ROUND((20.2)/100,9)</f>
        <v>0.20200000000000001</v>
      </c>
      <c r="J252">
        <v>0</v>
      </c>
      <c r="O252">
        <f>ROUND(CP252,2)</f>
        <v>13871.2</v>
      </c>
      <c r="P252">
        <f>ROUND(CQ252*I252,2)</f>
        <v>8302.49</v>
      </c>
      <c r="Q252">
        <f>ROUND(CR252*I252,2)</f>
        <v>79.73</v>
      </c>
      <c r="R252">
        <f>ROUND(CS252*I252,2)</f>
        <v>3.61</v>
      </c>
      <c r="S252">
        <f>ROUND(CT252*I252,2)</f>
        <v>5488.98</v>
      </c>
      <c r="T252">
        <f>ROUND(CU252*I252,2)</f>
        <v>0</v>
      </c>
      <c r="U252">
        <f>CV252*I252</f>
        <v>27.084160000000004</v>
      </c>
      <c r="V252">
        <f>CW252*I252</f>
        <v>0</v>
      </c>
      <c r="W252">
        <f>ROUND(CX252*I252,2)</f>
        <v>0</v>
      </c>
      <c r="X252">
        <f t="shared" si="221"/>
        <v>3842.29</v>
      </c>
      <c r="Y252">
        <f t="shared" si="221"/>
        <v>548.9</v>
      </c>
      <c r="AA252">
        <v>71209905</v>
      </c>
      <c r="AB252">
        <f>ROUND((AC252+AD252+AF252),6)</f>
        <v>68669.279999999999</v>
      </c>
      <c r="AC252">
        <f>ROUND((ES252),6)</f>
        <v>41101.42</v>
      </c>
      <c r="AD252">
        <f>ROUND((((ET252)-(EU252))+AE252),6)</f>
        <v>394.71</v>
      </c>
      <c r="AE252">
        <f t="shared" si="222"/>
        <v>17.86</v>
      </c>
      <c r="AF252">
        <f t="shared" si="222"/>
        <v>27173.15</v>
      </c>
      <c r="AG252">
        <f>ROUND((AP252),6)</f>
        <v>0</v>
      </c>
      <c r="AH252">
        <f t="shared" si="223"/>
        <v>134.08000000000001</v>
      </c>
      <c r="AI252">
        <f t="shared" si="223"/>
        <v>0</v>
      </c>
      <c r="AJ252">
        <f>(AS252)</f>
        <v>0</v>
      </c>
      <c r="AK252">
        <v>68669.279999999999</v>
      </c>
      <c r="AL252">
        <v>41101.42</v>
      </c>
      <c r="AM252">
        <v>394.71</v>
      </c>
      <c r="AN252">
        <v>17.86</v>
      </c>
      <c r="AO252">
        <v>27173.15</v>
      </c>
      <c r="AP252">
        <v>0</v>
      </c>
      <c r="AQ252">
        <v>134.08000000000001</v>
      </c>
      <c r="AR252">
        <v>0</v>
      </c>
      <c r="AS252">
        <v>0</v>
      </c>
      <c r="AT252">
        <v>70</v>
      </c>
      <c r="AU252">
        <v>10</v>
      </c>
      <c r="AV252">
        <v>1</v>
      </c>
      <c r="AW252">
        <v>1</v>
      </c>
      <c r="AZ252">
        <v>1</v>
      </c>
      <c r="BA252">
        <v>1</v>
      </c>
      <c r="BB252">
        <v>1</v>
      </c>
      <c r="BC252">
        <v>1</v>
      </c>
      <c r="BD252" t="s">
        <v>3</v>
      </c>
      <c r="BE252" t="s">
        <v>3</v>
      </c>
      <c r="BF252" t="s">
        <v>3</v>
      </c>
      <c r="BG252" t="s">
        <v>3</v>
      </c>
      <c r="BH252">
        <v>0</v>
      </c>
      <c r="BI252">
        <v>4</v>
      </c>
      <c r="BJ252" t="s">
        <v>299</v>
      </c>
      <c r="BM252">
        <v>0</v>
      </c>
      <c r="BN252">
        <v>0</v>
      </c>
      <c r="BO252" t="s">
        <v>3</v>
      </c>
      <c r="BP252">
        <v>0</v>
      </c>
      <c r="BQ252">
        <v>1</v>
      </c>
      <c r="BR252">
        <v>0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 t="s">
        <v>3</v>
      </c>
      <c r="BZ252">
        <v>70</v>
      </c>
      <c r="CA252">
        <v>10</v>
      </c>
      <c r="CE252">
        <v>0</v>
      </c>
      <c r="CF252">
        <v>0</v>
      </c>
      <c r="CG252">
        <v>0</v>
      </c>
      <c r="CM252">
        <v>0</v>
      </c>
      <c r="CN252" t="s">
        <v>3</v>
      </c>
      <c r="CO252">
        <v>0</v>
      </c>
      <c r="CP252">
        <f>(P252+Q252+S252)</f>
        <v>13871.199999999999</v>
      </c>
      <c r="CQ252">
        <f>(AC252*BC252*AW252)</f>
        <v>41101.42</v>
      </c>
      <c r="CR252">
        <f>((((ET252)*BB252-(EU252)*BS252)+AE252*BS252)*AV252)</f>
        <v>394.71</v>
      </c>
      <c r="CS252">
        <f>(AE252*BS252*AV252)</f>
        <v>17.86</v>
      </c>
      <c r="CT252">
        <f>(AF252*BA252*AV252)</f>
        <v>27173.15</v>
      </c>
      <c r="CU252">
        <f>AG252</f>
        <v>0</v>
      </c>
      <c r="CV252">
        <f>(AH252*AV252)</f>
        <v>134.08000000000001</v>
      </c>
      <c r="CW252">
        <f t="shared" si="224"/>
        <v>0</v>
      </c>
      <c r="CX252">
        <f t="shared" si="224"/>
        <v>0</v>
      </c>
      <c r="CY252">
        <f>((S252*BZ252)/100)</f>
        <v>3842.2859999999996</v>
      </c>
      <c r="CZ252">
        <f>((S252*CA252)/100)</f>
        <v>548.89799999999991</v>
      </c>
      <c r="DC252" t="s">
        <v>3</v>
      </c>
      <c r="DD252" t="s">
        <v>3</v>
      </c>
      <c r="DE252" t="s">
        <v>3</v>
      </c>
      <c r="DF252" t="s">
        <v>3</v>
      </c>
      <c r="DG252" t="s">
        <v>3</v>
      </c>
      <c r="DH252" t="s">
        <v>3</v>
      </c>
      <c r="DI252" t="s">
        <v>3</v>
      </c>
      <c r="DJ252" t="s">
        <v>3</v>
      </c>
      <c r="DK252" t="s">
        <v>3</v>
      </c>
      <c r="DL252" t="s">
        <v>3</v>
      </c>
      <c r="DM252" t="s">
        <v>3</v>
      </c>
      <c r="DN252">
        <v>0</v>
      </c>
      <c r="DO252">
        <v>0</v>
      </c>
      <c r="DP252">
        <v>1</v>
      </c>
      <c r="DQ252">
        <v>1</v>
      </c>
      <c r="DU252">
        <v>1005</v>
      </c>
      <c r="DV252" t="s">
        <v>28</v>
      </c>
      <c r="DW252" t="s">
        <v>28</v>
      </c>
      <c r="DX252">
        <v>100</v>
      </c>
      <c r="EE252">
        <v>67874524</v>
      </c>
      <c r="EF252">
        <v>1</v>
      </c>
      <c r="EG252" t="s">
        <v>20</v>
      </c>
      <c r="EH252">
        <v>0</v>
      </c>
      <c r="EI252" t="s">
        <v>3</v>
      </c>
      <c r="EJ252">
        <v>4</v>
      </c>
      <c r="EK252">
        <v>0</v>
      </c>
      <c r="EL252" t="s">
        <v>21</v>
      </c>
      <c r="EM252" t="s">
        <v>22</v>
      </c>
      <c r="EO252" t="s">
        <v>3</v>
      </c>
      <c r="EQ252">
        <v>0</v>
      </c>
      <c r="ER252">
        <v>68669.279999999999</v>
      </c>
      <c r="ES252">
        <v>41101.42</v>
      </c>
      <c r="ET252">
        <v>394.71</v>
      </c>
      <c r="EU252">
        <v>17.86</v>
      </c>
      <c r="EV252">
        <v>27173.15</v>
      </c>
      <c r="EW252">
        <v>134.08000000000001</v>
      </c>
      <c r="EX252">
        <v>0</v>
      </c>
      <c r="EY252">
        <v>0</v>
      </c>
      <c r="FQ252">
        <v>0</v>
      </c>
      <c r="FR252">
        <f>ROUND(IF(AND(BH252=3,BI252=3),P252,0),2)</f>
        <v>0</v>
      </c>
      <c r="FS252">
        <v>0</v>
      </c>
      <c r="FX252">
        <v>70</v>
      </c>
      <c r="FY252">
        <v>10</v>
      </c>
      <c r="GA252" t="s">
        <v>3</v>
      </c>
      <c r="GD252">
        <v>0</v>
      </c>
      <c r="GF252">
        <v>-1508134128</v>
      </c>
      <c r="GG252">
        <v>2</v>
      </c>
      <c r="GH252">
        <v>1</v>
      </c>
      <c r="GI252">
        <v>-2</v>
      </c>
      <c r="GJ252">
        <v>0</v>
      </c>
      <c r="GK252">
        <f>ROUND(R252*(R12)/100,2)</f>
        <v>3.9</v>
      </c>
      <c r="GL252">
        <f>ROUND(IF(AND(BH252=3,BI252=3,FS252&lt;&gt;0),P252,0),2)</f>
        <v>0</v>
      </c>
      <c r="GM252">
        <f>ROUND(O252+X252+Y252+GK252,2)+GX252</f>
        <v>18266.29</v>
      </c>
      <c r="GN252">
        <f>IF(OR(BI252=0,BI252=1),ROUND(O252+X252+Y252+GK252,2),0)</f>
        <v>0</v>
      </c>
      <c r="GO252">
        <f>IF(BI252=2,ROUND(O252+X252+Y252+GK252,2),0)</f>
        <v>0</v>
      </c>
      <c r="GP252">
        <f>IF(BI252=4,ROUND(O252+X252+Y252+GK252,2)+GX252,0)</f>
        <v>18266.29</v>
      </c>
      <c r="GR252">
        <v>0</v>
      </c>
      <c r="GS252">
        <v>3</v>
      </c>
      <c r="GT252">
        <v>0</v>
      </c>
      <c r="GU252" t="s">
        <v>3</v>
      </c>
      <c r="GV252">
        <f>ROUND((GT252),6)</f>
        <v>0</v>
      </c>
      <c r="GW252">
        <v>1</v>
      </c>
      <c r="GX252">
        <f>ROUND(HC252*I252,2)</f>
        <v>0</v>
      </c>
      <c r="HA252">
        <v>0</v>
      </c>
      <c r="HB252">
        <v>0</v>
      </c>
      <c r="HC252">
        <f>GV252*GW252</f>
        <v>0</v>
      </c>
      <c r="IK252">
        <v>0</v>
      </c>
    </row>
    <row r="253" spans="1:245" x14ac:dyDescent="0.2">
      <c r="A253">
        <v>18</v>
      </c>
      <c r="B253">
        <v>1</v>
      </c>
      <c r="C253">
        <v>50</v>
      </c>
      <c r="E253" t="s">
        <v>315</v>
      </c>
      <c r="F253" t="s">
        <v>300</v>
      </c>
      <c r="G253" t="s">
        <v>301</v>
      </c>
      <c r="H253" t="s">
        <v>18</v>
      </c>
      <c r="I253">
        <f>I252*J253</f>
        <v>20.2</v>
      </c>
      <c r="J253">
        <v>99.999999999999986</v>
      </c>
      <c r="O253">
        <f>ROUND(CP253,2)</f>
        <v>19564.91</v>
      </c>
      <c r="P253">
        <f>ROUND(CQ253*I253,2)</f>
        <v>19564.91</v>
      </c>
      <c r="Q253">
        <f>ROUND(CR253*I253,2)</f>
        <v>0</v>
      </c>
      <c r="R253">
        <f>ROUND(CS253*I253,2)</f>
        <v>0</v>
      </c>
      <c r="S253">
        <f>ROUND(CT253*I253,2)</f>
        <v>0</v>
      </c>
      <c r="T253">
        <f>ROUND(CU253*I253,2)</f>
        <v>0</v>
      </c>
      <c r="U253">
        <f>CV253*I253</f>
        <v>0</v>
      </c>
      <c r="V253">
        <f>CW253*I253</f>
        <v>0</v>
      </c>
      <c r="W253">
        <f>ROUND(CX253*I253,2)</f>
        <v>0</v>
      </c>
      <c r="X253">
        <f t="shared" si="221"/>
        <v>0</v>
      </c>
      <c r="Y253">
        <f t="shared" si="221"/>
        <v>0</v>
      </c>
      <c r="AA253">
        <v>71209905</v>
      </c>
      <c r="AB253">
        <f>ROUND((AC253+AD253+AF253),6)</f>
        <v>968.56</v>
      </c>
      <c r="AC253">
        <f>ROUND((ES253),6)</f>
        <v>968.56</v>
      </c>
      <c r="AD253">
        <f>ROUND((((ET253)-(EU253))+AE253),6)</f>
        <v>0</v>
      </c>
      <c r="AE253">
        <f t="shared" si="222"/>
        <v>0</v>
      </c>
      <c r="AF253">
        <f t="shared" si="222"/>
        <v>0</v>
      </c>
      <c r="AG253">
        <f>ROUND((AP253),6)</f>
        <v>0</v>
      </c>
      <c r="AH253">
        <f t="shared" si="223"/>
        <v>0</v>
      </c>
      <c r="AI253">
        <f t="shared" si="223"/>
        <v>0</v>
      </c>
      <c r="AJ253">
        <f>(AS253)</f>
        <v>0</v>
      </c>
      <c r="AK253">
        <v>968.56</v>
      </c>
      <c r="AL253">
        <v>968.56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70</v>
      </c>
      <c r="AU253">
        <v>10</v>
      </c>
      <c r="AV253">
        <v>1</v>
      </c>
      <c r="AW253">
        <v>1</v>
      </c>
      <c r="AZ253">
        <v>1</v>
      </c>
      <c r="BA253">
        <v>1</v>
      </c>
      <c r="BB253">
        <v>1</v>
      </c>
      <c r="BC253">
        <v>1</v>
      </c>
      <c r="BD253" t="s">
        <v>3</v>
      </c>
      <c r="BE253" t="s">
        <v>3</v>
      </c>
      <c r="BF253" t="s">
        <v>3</v>
      </c>
      <c r="BG253" t="s">
        <v>3</v>
      </c>
      <c r="BH253">
        <v>3</v>
      </c>
      <c r="BI253">
        <v>4</v>
      </c>
      <c r="BJ253" t="s">
        <v>302</v>
      </c>
      <c r="BM253">
        <v>0</v>
      </c>
      <c r="BN253">
        <v>0</v>
      </c>
      <c r="BO253" t="s">
        <v>3</v>
      </c>
      <c r="BP253">
        <v>0</v>
      </c>
      <c r="BQ253">
        <v>1</v>
      </c>
      <c r="BR253">
        <v>0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 t="s">
        <v>3</v>
      </c>
      <c r="BZ253">
        <v>70</v>
      </c>
      <c r="CA253">
        <v>10</v>
      </c>
      <c r="CE253">
        <v>0</v>
      </c>
      <c r="CF253">
        <v>0</v>
      </c>
      <c r="CG253">
        <v>0</v>
      </c>
      <c r="CM253">
        <v>0</v>
      </c>
      <c r="CN253" t="s">
        <v>3</v>
      </c>
      <c r="CO253">
        <v>0</v>
      </c>
      <c r="CP253">
        <f>(P253+Q253+S253)</f>
        <v>19564.91</v>
      </c>
      <c r="CQ253">
        <f>(AC253*BC253*AW253)</f>
        <v>968.56</v>
      </c>
      <c r="CR253">
        <f>((((ET253)*BB253-(EU253)*BS253)+AE253*BS253)*AV253)</f>
        <v>0</v>
      </c>
      <c r="CS253">
        <f>(AE253*BS253*AV253)</f>
        <v>0</v>
      </c>
      <c r="CT253">
        <f>(AF253*BA253*AV253)</f>
        <v>0</v>
      </c>
      <c r="CU253">
        <f>AG253</f>
        <v>0</v>
      </c>
      <c r="CV253">
        <f>(AH253*AV253)</f>
        <v>0</v>
      </c>
      <c r="CW253">
        <f t="shared" si="224"/>
        <v>0</v>
      </c>
      <c r="CX253">
        <f t="shared" si="224"/>
        <v>0</v>
      </c>
      <c r="CY253">
        <f>((S253*BZ253)/100)</f>
        <v>0</v>
      </c>
      <c r="CZ253">
        <f>((S253*CA253)/100)</f>
        <v>0</v>
      </c>
      <c r="DC253" t="s">
        <v>3</v>
      </c>
      <c r="DD253" t="s">
        <v>3</v>
      </c>
      <c r="DE253" t="s">
        <v>3</v>
      </c>
      <c r="DF253" t="s">
        <v>3</v>
      </c>
      <c r="DG253" t="s">
        <v>3</v>
      </c>
      <c r="DH253" t="s">
        <v>3</v>
      </c>
      <c r="DI253" t="s">
        <v>3</v>
      </c>
      <c r="DJ253" t="s">
        <v>3</v>
      </c>
      <c r="DK253" t="s">
        <v>3</v>
      </c>
      <c r="DL253" t="s">
        <v>3</v>
      </c>
      <c r="DM253" t="s">
        <v>3</v>
      </c>
      <c r="DN253">
        <v>0</v>
      </c>
      <c r="DO253">
        <v>0</v>
      </c>
      <c r="DP253">
        <v>1</v>
      </c>
      <c r="DQ253">
        <v>1</v>
      </c>
      <c r="DU253">
        <v>1005</v>
      </c>
      <c r="DV253" t="s">
        <v>18</v>
      </c>
      <c r="DW253" t="s">
        <v>18</v>
      </c>
      <c r="DX253">
        <v>1</v>
      </c>
      <c r="EE253">
        <v>67874524</v>
      </c>
      <c r="EF253">
        <v>1</v>
      </c>
      <c r="EG253" t="s">
        <v>20</v>
      </c>
      <c r="EH253">
        <v>0</v>
      </c>
      <c r="EI253" t="s">
        <v>3</v>
      </c>
      <c r="EJ253">
        <v>4</v>
      </c>
      <c r="EK253">
        <v>0</v>
      </c>
      <c r="EL253" t="s">
        <v>21</v>
      </c>
      <c r="EM253" t="s">
        <v>22</v>
      </c>
      <c r="EO253" t="s">
        <v>3</v>
      </c>
      <c r="EQ253">
        <v>0</v>
      </c>
      <c r="ER253">
        <v>968.56</v>
      </c>
      <c r="ES253">
        <v>968.56</v>
      </c>
      <c r="ET253">
        <v>0</v>
      </c>
      <c r="EU253">
        <v>0</v>
      </c>
      <c r="EV253">
        <v>0</v>
      </c>
      <c r="EW253">
        <v>0</v>
      </c>
      <c r="EX253">
        <v>0</v>
      </c>
      <c r="FQ253">
        <v>0</v>
      </c>
      <c r="FR253">
        <f>ROUND(IF(AND(BH253=3,BI253=3),P253,0),2)</f>
        <v>0</v>
      </c>
      <c r="FS253">
        <v>0</v>
      </c>
      <c r="FX253">
        <v>70</v>
      </c>
      <c r="FY253">
        <v>10</v>
      </c>
      <c r="GA253" t="s">
        <v>3</v>
      </c>
      <c r="GD253">
        <v>0</v>
      </c>
      <c r="GF253">
        <v>503634635</v>
      </c>
      <c r="GG253">
        <v>2</v>
      </c>
      <c r="GH253">
        <v>1</v>
      </c>
      <c r="GI253">
        <v>-2</v>
      </c>
      <c r="GJ253">
        <v>0</v>
      </c>
      <c r="GK253">
        <f>ROUND(R253*(R12)/100,2)</f>
        <v>0</v>
      </c>
      <c r="GL253">
        <f>ROUND(IF(AND(BH253=3,BI253=3,FS253&lt;&gt;0),P253,0),2)</f>
        <v>0</v>
      </c>
      <c r="GM253">
        <f>ROUND(O253+X253+Y253+GK253,2)+GX253</f>
        <v>19564.91</v>
      </c>
      <c r="GN253">
        <f>IF(OR(BI253=0,BI253=1),ROUND(O253+X253+Y253+GK253,2),0)</f>
        <v>0</v>
      </c>
      <c r="GO253">
        <f>IF(BI253=2,ROUND(O253+X253+Y253+GK253,2),0)</f>
        <v>0</v>
      </c>
      <c r="GP253">
        <f>IF(BI253=4,ROUND(O253+X253+Y253+GK253,2)+GX253,0)</f>
        <v>19564.91</v>
      </c>
      <c r="GR253">
        <v>0</v>
      </c>
      <c r="GS253">
        <v>3</v>
      </c>
      <c r="GT253">
        <v>0</v>
      </c>
      <c r="GU253" t="s">
        <v>3</v>
      </c>
      <c r="GV253">
        <f>ROUND((GT253),6)</f>
        <v>0</v>
      </c>
      <c r="GW253">
        <v>1</v>
      </c>
      <c r="GX253">
        <f>ROUND(HC253*I253,2)</f>
        <v>0</v>
      </c>
      <c r="HA253">
        <v>0</v>
      </c>
      <c r="HB253">
        <v>0</v>
      </c>
      <c r="HC253">
        <f>GV253*GW253</f>
        <v>0</v>
      </c>
      <c r="IK253">
        <v>0</v>
      </c>
    </row>
    <row r="255" spans="1:245" x14ac:dyDescent="0.2">
      <c r="A255">
        <v>51</v>
      </c>
      <c r="B255">
        <f>B246</f>
        <v>1</v>
      </c>
      <c r="C255">
        <f>A246</f>
        <v>4</v>
      </c>
      <c r="D255">
        <f>ROW(A246)</f>
        <v>246</v>
      </c>
      <c r="F255" t="str">
        <f>IF(F246&lt;&gt;"",F246,"")</f>
        <v>Новый раздел</v>
      </c>
      <c r="G255" t="str">
        <f>IF(G246&lt;&gt;"",G246,"")</f>
        <v>Устройство плиточного покрытия (ТИП  III)</v>
      </c>
      <c r="H255">
        <v>0</v>
      </c>
      <c r="O255">
        <f t="shared" ref="O255:T255" si="225">ROUND(AB255,2)</f>
        <v>33436.11</v>
      </c>
      <c r="P255">
        <f t="shared" si="225"/>
        <v>27867.4</v>
      </c>
      <c r="Q255">
        <f t="shared" si="225"/>
        <v>79.73</v>
      </c>
      <c r="R255">
        <f t="shared" si="225"/>
        <v>3.61</v>
      </c>
      <c r="S255">
        <f t="shared" si="225"/>
        <v>5488.98</v>
      </c>
      <c r="T255">
        <f t="shared" si="225"/>
        <v>0</v>
      </c>
      <c r="U255">
        <f>AH255</f>
        <v>27.084160000000004</v>
      </c>
      <c r="V255">
        <f>AI255</f>
        <v>0</v>
      </c>
      <c r="W255">
        <f>ROUND(AJ255,2)</f>
        <v>0</v>
      </c>
      <c r="X255">
        <f>ROUND(AK255,2)</f>
        <v>3842.29</v>
      </c>
      <c r="Y255">
        <f>ROUND(AL255,2)</f>
        <v>548.9</v>
      </c>
      <c r="AB255">
        <f>ROUND(SUMIF(AA250:AA253,"=71209905",O250:O253),2)</f>
        <v>33436.11</v>
      </c>
      <c r="AC255">
        <f>ROUND(SUMIF(AA250:AA253,"=71209905",P250:P253),2)</f>
        <v>27867.4</v>
      </c>
      <c r="AD255">
        <f>ROUND(SUMIF(AA250:AA253,"=71209905",Q250:Q253),2)</f>
        <v>79.73</v>
      </c>
      <c r="AE255">
        <f>ROUND(SUMIF(AA250:AA253,"=71209905",R250:R253),2)</f>
        <v>3.61</v>
      </c>
      <c r="AF255">
        <f>ROUND(SUMIF(AA250:AA253,"=71209905",S250:S253),2)</f>
        <v>5488.98</v>
      </c>
      <c r="AG255">
        <f>ROUND(SUMIF(AA250:AA253,"=71209905",T250:T253),2)</f>
        <v>0</v>
      </c>
      <c r="AH255">
        <f>SUMIF(AA250:AA253,"=71209905",U250:U253)</f>
        <v>27.084160000000004</v>
      </c>
      <c r="AI255">
        <f>SUMIF(AA250:AA253,"=71209905",V250:V253)</f>
        <v>0</v>
      </c>
      <c r="AJ255">
        <f>ROUND(SUMIF(AA250:AA253,"=71209905",W250:W253),2)</f>
        <v>0</v>
      </c>
      <c r="AK255">
        <f>ROUND(SUMIF(AA250:AA253,"=71209905",X250:X253),2)</f>
        <v>3842.29</v>
      </c>
      <c r="AL255">
        <f>ROUND(SUMIF(AA250:AA253,"=71209905",Y250:Y253),2)</f>
        <v>548.9</v>
      </c>
      <c r="AO255">
        <f t="shared" ref="AO255:BD255" si="226">ROUND(BX255,2)</f>
        <v>0</v>
      </c>
      <c r="AP255">
        <f t="shared" si="226"/>
        <v>0</v>
      </c>
      <c r="AQ255">
        <f t="shared" si="226"/>
        <v>0</v>
      </c>
      <c r="AR255">
        <f t="shared" si="226"/>
        <v>37831.199999999997</v>
      </c>
      <c r="AS255">
        <f t="shared" si="226"/>
        <v>0</v>
      </c>
      <c r="AT255">
        <f t="shared" si="226"/>
        <v>0</v>
      </c>
      <c r="AU255">
        <f t="shared" si="226"/>
        <v>37831.199999999997</v>
      </c>
      <c r="AV255">
        <f t="shared" si="226"/>
        <v>27867.4</v>
      </c>
      <c r="AW255">
        <f t="shared" si="226"/>
        <v>27867.4</v>
      </c>
      <c r="AX255">
        <f t="shared" si="226"/>
        <v>0</v>
      </c>
      <c r="AY255">
        <f t="shared" si="226"/>
        <v>27867.4</v>
      </c>
      <c r="AZ255">
        <f t="shared" si="226"/>
        <v>0</v>
      </c>
      <c r="BA255">
        <f t="shared" si="226"/>
        <v>0</v>
      </c>
      <c r="BB255">
        <f t="shared" si="226"/>
        <v>0</v>
      </c>
      <c r="BC255">
        <f t="shared" si="226"/>
        <v>0</v>
      </c>
      <c r="BD255">
        <f t="shared" si="226"/>
        <v>0</v>
      </c>
      <c r="BX255">
        <f>ROUND(SUMIF(AA250:AA253,"=71209905",FQ250:FQ253),2)</f>
        <v>0</v>
      </c>
      <c r="BY255">
        <f>ROUND(SUMIF(AA250:AA253,"=71209905",FR250:FR253),2)</f>
        <v>0</v>
      </c>
      <c r="BZ255">
        <f>ROUND(SUMIF(AA250:AA253,"=71209905",GL250:GL253),2)</f>
        <v>0</v>
      </c>
      <c r="CA255">
        <f>ROUND(SUMIF(AA250:AA253,"=71209905",GM250:GM253),2)</f>
        <v>37831.199999999997</v>
      </c>
      <c r="CB255">
        <f>ROUND(SUMIF(AA250:AA253,"=71209905",GN250:GN253),2)</f>
        <v>0</v>
      </c>
      <c r="CC255">
        <f>ROUND(SUMIF(AA250:AA253,"=71209905",GO250:GO253),2)</f>
        <v>0</v>
      </c>
      <c r="CD255">
        <f>ROUND(SUMIF(AA250:AA253,"=71209905",GP250:GP253),2)</f>
        <v>37831.199999999997</v>
      </c>
      <c r="CE255">
        <f>AC255-BX255</f>
        <v>27867.4</v>
      </c>
      <c r="CF255">
        <f>AC255-BY255</f>
        <v>27867.4</v>
      </c>
      <c r="CG255">
        <f>BX255-BZ255</f>
        <v>0</v>
      </c>
      <c r="CH255">
        <f>AC255-BX255-BY255+BZ255</f>
        <v>27867.4</v>
      </c>
      <c r="CI255">
        <f>BY255-BZ255</f>
        <v>0</v>
      </c>
      <c r="CJ255">
        <f>ROUND(SUMIF(AA250:AA253,"=71209905",GX250:GX253),2)</f>
        <v>0</v>
      </c>
      <c r="CK255">
        <f>ROUND(SUMIF(AA250:AA253,"=71209905",GY250:GY253),2)</f>
        <v>0</v>
      </c>
      <c r="CL255">
        <f>ROUND(SUMIF(AA250:AA253,"=71209905",GZ250:GZ253),2)</f>
        <v>0</v>
      </c>
      <c r="CM255">
        <f>ROUND(SUMIF(AA250:AA253,"=71209905",HD250:HD253),2)</f>
        <v>0</v>
      </c>
      <c r="GX255">
        <v>0</v>
      </c>
    </row>
    <row r="257" spans="1:15" x14ac:dyDescent="0.2">
      <c r="A257">
        <v>50</v>
      </c>
      <c r="B257">
        <v>0</v>
      </c>
      <c r="C257">
        <v>0</v>
      </c>
      <c r="D257">
        <v>1</v>
      </c>
      <c r="E257">
        <v>201</v>
      </c>
      <c r="F257">
        <f>ROUND(Source!O255,O257)</f>
        <v>33436.11</v>
      </c>
      <c r="G257" t="s">
        <v>142</v>
      </c>
      <c r="H257" t="s">
        <v>143</v>
      </c>
      <c r="K257">
        <v>201</v>
      </c>
      <c r="L257">
        <v>1</v>
      </c>
      <c r="M257">
        <v>3</v>
      </c>
      <c r="N257" t="s">
        <v>3</v>
      </c>
      <c r="O257">
        <v>2</v>
      </c>
    </row>
    <row r="258" spans="1:15" x14ac:dyDescent="0.2">
      <c r="A258">
        <v>50</v>
      </c>
      <c r="B258">
        <v>0</v>
      </c>
      <c r="C258">
        <v>0</v>
      </c>
      <c r="D258">
        <v>1</v>
      </c>
      <c r="E258">
        <v>202</v>
      </c>
      <c r="F258">
        <f>ROUND(Source!P255,O258)</f>
        <v>27867.4</v>
      </c>
      <c r="G258" t="s">
        <v>144</v>
      </c>
      <c r="H258" t="s">
        <v>145</v>
      </c>
      <c r="K258">
        <v>202</v>
      </c>
      <c r="L258">
        <v>2</v>
      </c>
      <c r="M258">
        <v>3</v>
      </c>
      <c r="N258" t="s">
        <v>3</v>
      </c>
      <c r="O258">
        <v>2</v>
      </c>
    </row>
    <row r="259" spans="1:15" x14ac:dyDescent="0.2">
      <c r="A259">
        <v>50</v>
      </c>
      <c r="B259">
        <v>0</v>
      </c>
      <c r="C259">
        <v>0</v>
      </c>
      <c r="D259">
        <v>1</v>
      </c>
      <c r="E259">
        <v>222</v>
      </c>
      <c r="F259">
        <f>ROUND(Source!AO255,O259)</f>
        <v>0</v>
      </c>
      <c r="G259" t="s">
        <v>146</v>
      </c>
      <c r="H259" t="s">
        <v>147</v>
      </c>
      <c r="K259">
        <v>222</v>
      </c>
      <c r="L259">
        <v>3</v>
      </c>
      <c r="M259">
        <v>3</v>
      </c>
      <c r="N259" t="s">
        <v>3</v>
      </c>
      <c r="O259">
        <v>2</v>
      </c>
    </row>
    <row r="260" spans="1:15" x14ac:dyDescent="0.2">
      <c r="A260">
        <v>50</v>
      </c>
      <c r="B260">
        <v>0</v>
      </c>
      <c r="C260">
        <v>0</v>
      </c>
      <c r="D260">
        <v>1</v>
      </c>
      <c r="E260">
        <v>225</v>
      </c>
      <c r="F260">
        <f>ROUND(Source!AV255,O260)</f>
        <v>27867.4</v>
      </c>
      <c r="G260" t="s">
        <v>148</v>
      </c>
      <c r="H260" t="s">
        <v>149</v>
      </c>
      <c r="K260">
        <v>225</v>
      </c>
      <c r="L260">
        <v>4</v>
      </c>
      <c r="M260">
        <v>3</v>
      </c>
      <c r="N260" t="s">
        <v>3</v>
      </c>
      <c r="O260">
        <v>2</v>
      </c>
    </row>
    <row r="261" spans="1:15" x14ac:dyDescent="0.2">
      <c r="A261">
        <v>50</v>
      </c>
      <c r="B261">
        <v>0</v>
      </c>
      <c r="C261">
        <v>0</v>
      </c>
      <c r="D261">
        <v>1</v>
      </c>
      <c r="E261">
        <v>226</v>
      </c>
      <c r="F261">
        <f>ROUND(Source!AW255,O261)</f>
        <v>27867.4</v>
      </c>
      <c r="G261" t="s">
        <v>150</v>
      </c>
      <c r="H261" t="s">
        <v>151</v>
      </c>
      <c r="K261">
        <v>226</v>
      </c>
      <c r="L261">
        <v>5</v>
      </c>
      <c r="M261">
        <v>3</v>
      </c>
      <c r="N261" t="s">
        <v>3</v>
      </c>
      <c r="O261">
        <v>2</v>
      </c>
    </row>
    <row r="262" spans="1:15" x14ac:dyDescent="0.2">
      <c r="A262">
        <v>50</v>
      </c>
      <c r="B262">
        <v>0</v>
      </c>
      <c r="C262">
        <v>0</v>
      </c>
      <c r="D262">
        <v>1</v>
      </c>
      <c r="E262">
        <v>227</v>
      </c>
      <c r="F262">
        <f>ROUND(Source!AX255,O262)</f>
        <v>0</v>
      </c>
      <c r="G262" t="s">
        <v>152</v>
      </c>
      <c r="H262" t="s">
        <v>153</v>
      </c>
      <c r="K262">
        <v>227</v>
      </c>
      <c r="L262">
        <v>6</v>
      </c>
      <c r="M262">
        <v>3</v>
      </c>
      <c r="N262" t="s">
        <v>3</v>
      </c>
      <c r="O262">
        <v>2</v>
      </c>
    </row>
    <row r="263" spans="1:15" x14ac:dyDescent="0.2">
      <c r="A263">
        <v>50</v>
      </c>
      <c r="B263">
        <v>0</v>
      </c>
      <c r="C263">
        <v>0</v>
      </c>
      <c r="D263">
        <v>1</v>
      </c>
      <c r="E263">
        <v>228</v>
      </c>
      <c r="F263">
        <f>ROUND(Source!AY255,O263)</f>
        <v>27867.4</v>
      </c>
      <c r="G263" t="s">
        <v>154</v>
      </c>
      <c r="H263" t="s">
        <v>155</v>
      </c>
      <c r="K263">
        <v>228</v>
      </c>
      <c r="L263">
        <v>7</v>
      </c>
      <c r="M263">
        <v>3</v>
      </c>
      <c r="N263" t="s">
        <v>3</v>
      </c>
      <c r="O263">
        <v>2</v>
      </c>
    </row>
    <row r="264" spans="1:15" x14ac:dyDescent="0.2">
      <c r="A264">
        <v>50</v>
      </c>
      <c r="B264">
        <v>0</v>
      </c>
      <c r="C264">
        <v>0</v>
      </c>
      <c r="D264">
        <v>1</v>
      </c>
      <c r="E264">
        <v>216</v>
      </c>
      <c r="F264">
        <f>ROUND(Source!AP255,O264)</f>
        <v>0</v>
      </c>
      <c r="G264" t="s">
        <v>156</v>
      </c>
      <c r="H264" t="s">
        <v>157</v>
      </c>
      <c r="K264">
        <v>216</v>
      </c>
      <c r="L264">
        <v>8</v>
      </c>
      <c r="M264">
        <v>3</v>
      </c>
      <c r="N264" t="s">
        <v>3</v>
      </c>
      <c r="O264">
        <v>2</v>
      </c>
    </row>
    <row r="265" spans="1:15" x14ac:dyDescent="0.2">
      <c r="A265">
        <v>50</v>
      </c>
      <c r="B265">
        <v>0</v>
      </c>
      <c r="C265">
        <v>0</v>
      </c>
      <c r="D265">
        <v>1</v>
      </c>
      <c r="E265">
        <v>223</v>
      </c>
      <c r="F265">
        <f>ROUND(Source!AQ255,O265)</f>
        <v>0</v>
      </c>
      <c r="G265" t="s">
        <v>158</v>
      </c>
      <c r="H265" t="s">
        <v>159</v>
      </c>
      <c r="K265">
        <v>223</v>
      </c>
      <c r="L265">
        <v>9</v>
      </c>
      <c r="M265">
        <v>3</v>
      </c>
      <c r="N265" t="s">
        <v>3</v>
      </c>
      <c r="O265">
        <v>2</v>
      </c>
    </row>
    <row r="266" spans="1:15" x14ac:dyDescent="0.2">
      <c r="A266">
        <v>50</v>
      </c>
      <c r="B266">
        <v>0</v>
      </c>
      <c r="C266">
        <v>0</v>
      </c>
      <c r="D266">
        <v>1</v>
      </c>
      <c r="E266">
        <v>229</v>
      </c>
      <c r="F266">
        <f>ROUND(Source!AZ255,O266)</f>
        <v>0</v>
      </c>
      <c r="G266" t="s">
        <v>160</v>
      </c>
      <c r="H266" t="s">
        <v>161</v>
      </c>
      <c r="K266">
        <v>229</v>
      </c>
      <c r="L266">
        <v>10</v>
      </c>
      <c r="M266">
        <v>3</v>
      </c>
      <c r="N266" t="s">
        <v>3</v>
      </c>
      <c r="O266">
        <v>2</v>
      </c>
    </row>
    <row r="267" spans="1:15" x14ac:dyDescent="0.2">
      <c r="A267">
        <v>50</v>
      </c>
      <c r="B267">
        <v>0</v>
      </c>
      <c r="C267">
        <v>0</v>
      </c>
      <c r="D267">
        <v>1</v>
      </c>
      <c r="E267">
        <v>203</v>
      </c>
      <c r="F267">
        <f>ROUND(Source!Q255,O267)</f>
        <v>79.73</v>
      </c>
      <c r="G267" t="s">
        <v>162</v>
      </c>
      <c r="H267" t="s">
        <v>163</v>
      </c>
      <c r="K267">
        <v>203</v>
      </c>
      <c r="L267">
        <v>11</v>
      </c>
      <c r="M267">
        <v>3</v>
      </c>
      <c r="N267" t="s">
        <v>3</v>
      </c>
      <c r="O267">
        <v>2</v>
      </c>
    </row>
    <row r="268" spans="1:15" x14ac:dyDescent="0.2">
      <c r="A268">
        <v>50</v>
      </c>
      <c r="B268">
        <v>0</v>
      </c>
      <c r="C268">
        <v>0</v>
      </c>
      <c r="D268">
        <v>1</v>
      </c>
      <c r="E268">
        <v>231</v>
      </c>
      <c r="F268">
        <f>ROUND(Source!BB255,O268)</f>
        <v>0</v>
      </c>
      <c r="G268" t="s">
        <v>164</v>
      </c>
      <c r="H268" t="s">
        <v>165</v>
      </c>
      <c r="K268">
        <v>231</v>
      </c>
      <c r="L268">
        <v>12</v>
      </c>
      <c r="M268">
        <v>3</v>
      </c>
      <c r="N268" t="s">
        <v>3</v>
      </c>
      <c r="O268">
        <v>2</v>
      </c>
    </row>
    <row r="269" spans="1:15" x14ac:dyDescent="0.2">
      <c r="A269">
        <v>50</v>
      </c>
      <c r="B269">
        <v>0</v>
      </c>
      <c r="C269">
        <v>0</v>
      </c>
      <c r="D269">
        <v>1</v>
      </c>
      <c r="E269">
        <v>204</v>
      </c>
      <c r="F269">
        <f>ROUND(Source!R255,O269)</f>
        <v>3.61</v>
      </c>
      <c r="G269" t="s">
        <v>166</v>
      </c>
      <c r="H269" t="s">
        <v>167</v>
      </c>
      <c r="K269">
        <v>204</v>
      </c>
      <c r="L269">
        <v>13</v>
      </c>
      <c r="M269">
        <v>3</v>
      </c>
      <c r="N269" t="s">
        <v>3</v>
      </c>
      <c r="O269">
        <v>2</v>
      </c>
    </row>
    <row r="270" spans="1:15" x14ac:dyDescent="0.2">
      <c r="A270">
        <v>50</v>
      </c>
      <c r="B270">
        <v>0</v>
      </c>
      <c r="C270">
        <v>0</v>
      </c>
      <c r="D270">
        <v>1</v>
      </c>
      <c r="E270">
        <v>205</v>
      </c>
      <c r="F270">
        <f>ROUND(Source!S255,O270)</f>
        <v>5488.98</v>
      </c>
      <c r="G270" t="s">
        <v>168</v>
      </c>
      <c r="H270" t="s">
        <v>169</v>
      </c>
      <c r="K270">
        <v>205</v>
      </c>
      <c r="L270">
        <v>14</v>
      </c>
      <c r="M270">
        <v>3</v>
      </c>
      <c r="N270" t="s">
        <v>3</v>
      </c>
      <c r="O270">
        <v>2</v>
      </c>
    </row>
    <row r="271" spans="1:15" x14ac:dyDescent="0.2">
      <c r="A271">
        <v>50</v>
      </c>
      <c r="B271">
        <v>0</v>
      </c>
      <c r="C271">
        <v>0</v>
      </c>
      <c r="D271">
        <v>1</v>
      </c>
      <c r="E271">
        <v>232</v>
      </c>
      <c r="F271">
        <f>ROUND(Source!BC255,O271)</f>
        <v>0</v>
      </c>
      <c r="G271" t="s">
        <v>170</v>
      </c>
      <c r="H271" t="s">
        <v>171</v>
      </c>
      <c r="K271">
        <v>232</v>
      </c>
      <c r="L271">
        <v>15</v>
      </c>
      <c r="M271">
        <v>3</v>
      </c>
      <c r="N271" t="s">
        <v>3</v>
      </c>
      <c r="O271">
        <v>2</v>
      </c>
    </row>
    <row r="272" spans="1:15" x14ac:dyDescent="0.2">
      <c r="A272">
        <v>50</v>
      </c>
      <c r="B272">
        <v>0</v>
      </c>
      <c r="C272">
        <v>0</v>
      </c>
      <c r="D272">
        <v>1</v>
      </c>
      <c r="E272">
        <v>214</v>
      </c>
      <c r="F272">
        <f>ROUND(Source!AS255,O272)</f>
        <v>0</v>
      </c>
      <c r="G272" t="s">
        <v>172</v>
      </c>
      <c r="H272" t="s">
        <v>173</v>
      </c>
      <c r="K272">
        <v>214</v>
      </c>
      <c r="L272">
        <v>16</v>
      </c>
      <c r="M272">
        <v>3</v>
      </c>
      <c r="N272" t="s">
        <v>3</v>
      </c>
      <c r="O272">
        <v>2</v>
      </c>
    </row>
    <row r="273" spans="1:206" x14ac:dyDescent="0.2">
      <c r="A273">
        <v>50</v>
      </c>
      <c r="B273">
        <v>0</v>
      </c>
      <c r="C273">
        <v>0</v>
      </c>
      <c r="D273">
        <v>1</v>
      </c>
      <c r="E273">
        <v>215</v>
      </c>
      <c r="F273">
        <f>ROUND(Source!AT255,O273)</f>
        <v>0</v>
      </c>
      <c r="G273" t="s">
        <v>174</v>
      </c>
      <c r="H273" t="s">
        <v>175</v>
      </c>
      <c r="K273">
        <v>215</v>
      </c>
      <c r="L273">
        <v>17</v>
      </c>
      <c r="M273">
        <v>3</v>
      </c>
      <c r="N273" t="s">
        <v>3</v>
      </c>
      <c r="O273">
        <v>2</v>
      </c>
    </row>
    <row r="274" spans="1:206" x14ac:dyDescent="0.2">
      <c r="A274">
        <v>50</v>
      </c>
      <c r="B274">
        <v>0</v>
      </c>
      <c r="C274">
        <v>0</v>
      </c>
      <c r="D274">
        <v>1</v>
      </c>
      <c r="E274">
        <v>217</v>
      </c>
      <c r="F274">
        <f>ROUND(Source!AU255,O274)</f>
        <v>37831.199999999997</v>
      </c>
      <c r="G274" t="s">
        <v>176</v>
      </c>
      <c r="H274" t="s">
        <v>177</v>
      </c>
      <c r="K274">
        <v>217</v>
      </c>
      <c r="L274">
        <v>18</v>
      </c>
      <c r="M274">
        <v>3</v>
      </c>
      <c r="N274" t="s">
        <v>3</v>
      </c>
      <c r="O274">
        <v>2</v>
      </c>
    </row>
    <row r="275" spans="1:206" x14ac:dyDescent="0.2">
      <c r="A275">
        <v>50</v>
      </c>
      <c r="B275">
        <v>0</v>
      </c>
      <c r="C275">
        <v>0</v>
      </c>
      <c r="D275">
        <v>1</v>
      </c>
      <c r="E275">
        <v>230</v>
      </c>
      <c r="F275">
        <f>ROUND(Source!BA255,O275)</f>
        <v>0</v>
      </c>
      <c r="G275" t="s">
        <v>178</v>
      </c>
      <c r="H275" t="s">
        <v>179</v>
      </c>
      <c r="K275">
        <v>230</v>
      </c>
      <c r="L275">
        <v>19</v>
      </c>
      <c r="M275">
        <v>3</v>
      </c>
      <c r="N275" t="s">
        <v>3</v>
      </c>
      <c r="O275">
        <v>2</v>
      </c>
    </row>
    <row r="276" spans="1:206" x14ac:dyDescent="0.2">
      <c r="A276">
        <v>50</v>
      </c>
      <c r="B276">
        <v>0</v>
      </c>
      <c r="C276">
        <v>0</v>
      </c>
      <c r="D276">
        <v>1</v>
      </c>
      <c r="E276">
        <v>206</v>
      </c>
      <c r="F276">
        <f>ROUND(Source!T255,O276)</f>
        <v>0</v>
      </c>
      <c r="G276" t="s">
        <v>180</v>
      </c>
      <c r="H276" t="s">
        <v>181</v>
      </c>
      <c r="K276">
        <v>206</v>
      </c>
      <c r="L276">
        <v>20</v>
      </c>
      <c r="M276">
        <v>3</v>
      </c>
      <c r="N276" t="s">
        <v>3</v>
      </c>
      <c r="O276">
        <v>2</v>
      </c>
    </row>
    <row r="277" spans="1:206" x14ac:dyDescent="0.2">
      <c r="A277">
        <v>50</v>
      </c>
      <c r="B277">
        <v>0</v>
      </c>
      <c r="C277">
        <v>0</v>
      </c>
      <c r="D277">
        <v>1</v>
      </c>
      <c r="E277">
        <v>207</v>
      </c>
      <c r="F277">
        <f>Source!U255</f>
        <v>27.084160000000004</v>
      </c>
      <c r="G277" t="s">
        <v>182</v>
      </c>
      <c r="H277" t="s">
        <v>183</v>
      </c>
      <c r="K277">
        <v>207</v>
      </c>
      <c r="L277">
        <v>21</v>
      </c>
      <c r="M277">
        <v>3</v>
      </c>
      <c r="N277" t="s">
        <v>3</v>
      </c>
      <c r="O277">
        <v>-1</v>
      </c>
    </row>
    <row r="278" spans="1:206" x14ac:dyDescent="0.2">
      <c r="A278">
        <v>50</v>
      </c>
      <c r="B278">
        <v>0</v>
      </c>
      <c r="C278">
        <v>0</v>
      </c>
      <c r="D278">
        <v>1</v>
      </c>
      <c r="E278">
        <v>208</v>
      </c>
      <c r="F278">
        <f>Source!V255</f>
        <v>0</v>
      </c>
      <c r="G278" t="s">
        <v>184</v>
      </c>
      <c r="H278" t="s">
        <v>185</v>
      </c>
      <c r="K278">
        <v>208</v>
      </c>
      <c r="L278">
        <v>22</v>
      </c>
      <c r="M278">
        <v>3</v>
      </c>
      <c r="N278" t="s">
        <v>3</v>
      </c>
      <c r="O278">
        <v>-1</v>
      </c>
    </row>
    <row r="279" spans="1:206" x14ac:dyDescent="0.2">
      <c r="A279">
        <v>50</v>
      </c>
      <c r="B279">
        <v>0</v>
      </c>
      <c r="C279">
        <v>0</v>
      </c>
      <c r="D279">
        <v>1</v>
      </c>
      <c r="E279">
        <v>209</v>
      </c>
      <c r="F279">
        <f>ROUND(Source!W255,O279)</f>
        <v>0</v>
      </c>
      <c r="G279" t="s">
        <v>186</v>
      </c>
      <c r="H279" t="s">
        <v>187</v>
      </c>
      <c r="K279">
        <v>209</v>
      </c>
      <c r="L279">
        <v>23</v>
      </c>
      <c r="M279">
        <v>3</v>
      </c>
      <c r="N279" t="s">
        <v>3</v>
      </c>
      <c r="O279">
        <v>2</v>
      </c>
    </row>
    <row r="280" spans="1:206" x14ac:dyDescent="0.2">
      <c r="A280">
        <v>50</v>
      </c>
      <c r="B280">
        <v>0</v>
      </c>
      <c r="C280">
        <v>0</v>
      </c>
      <c r="D280">
        <v>1</v>
      </c>
      <c r="E280">
        <v>233</v>
      </c>
      <c r="F280">
        <f>ROUND(Source!BD255,O280)</f>
        <v>0</v>
      </c>
      <c r="G280" t="s">
        <v>188</v>
      </c>
      <c r="H280" t="s">
        <v>189</v>
      </c>
      <c r="K280">
        <v>233</v>
      </c>
      <c r="L280">
        <v>24</v>
      </c>
      <c r="M280">
        <v>3</v>
      </c>
      <c r="N280" t="s">
        <v>3</v>
      </c>
      <c r="O280">
        <v>2</v>
      </c>
    </row>
    <row r="281" spans="1:206" x14ac:dyDescent="0.2">
      <c r="A281">
        <v>50</v>
      </c>
      <c r="B281">
        <v>0</v>
      </c>
      <c r="C281">
        <v>0</v>
      </c>
      <c r="D281">
        <v>1</v>
      </c>
      <c r="E281">
        <v>210</v>
      </c>
      <c r="F281">
        <f>ROUND(Source!X255,O281)</f>
        <v>3842.29</v>
      </c>
      <c r="G281" t="s">
        <v>190</v>
      </c>
      <c r="H281" t="s">
        <v>191</v>
      </c>
      <c r="K281">
        <v>210</v>
      </c>
      <c r="L281">
        <v>25</v>
      </c>
      <c r="M281">
        <v>3</v>
      </c>
      <c r="N281" t="s">
        <v>3</v>
      </c>
      <c r="O281">
        <v>2</v>
      </c>
    </row>
    <row r="282" spans="1:206" x14ac:dyDescent="0.2">
      <c r="A282">
        <v>50</v>
      </c>
      <c r="B282">
        <v>0</v>
      </c>
      <c r="C282">
        <v>0</v>
      </c>
      <c r="D282">
        <v>1</v>
      </c>
      <c r="E282">
        <v>211</v>
      </c>
      <c r="F282">
        <f>ROUND(Source!Y255,O282)</f>
        <v>548.9</v>
      </c>
      <c r="G282" t="s">
        <v>192</v>
      </c>
      <c r="H282" t="s">
        <v>193</v>
      </c>
      <c r="K282">
        <v>211</v>
      </c>
      <c r="L282">
        <v>26</v>
      </c>
      <c r="M282">
        <v>3</v>
      </c>
      <c r="N282" t="s">
        <v>3</v>
      </c>
      <c r="O282">
        <v>2</v>
      </c>
    </row>
    <row r="283" spans="1:206" x14ac:dyDescent="0.2">
      <c r="A283">
        <v>50</v>
      </c>
      <c r="B283">
        <v>0</v>
      </c>
      <c r="C283">
        <v>0</v>
      </c>
      <c r="D283">
        <v>1</v>
      </c>
      <c r="E283">
        <v>224</v>
      </c>
      <c r="F283">
        <f>ROUND(Source!AR255,O283)</f>
        <v>37831.199999999997</v>
      </c>
      <c r="G283" t="s">
        <v>194</v>
      </c>
      <c r="H283" t="s">
        <v>195</v>
      </c>
      <c r="K283">
        <v>224</v>
      </c>
      <c r="L283">
        <v>27</v>
      </c>
      <c r="M283">
        <v>3</v>
      </c>
      <c r="N283" t="s">
        <v>3</v>
      </c>
      <c r="O283">
        <v>2</v>
      </c>
    </row>
    <row r="285" spans="1:206" x14ac:dyDescent="0.2">
      <c r="A285">
        <v>4</v>
      </c>
      <c r="B285">
        <v>1</v>
      </c>
      <c r="D285">
        <f>ROW(A298)</f>
        <v>298</v>
      </c>
      <c r="F285" t="s">
        <v>14</v>
      </c>
      <c r="G285" t="s">
        <v>316</v>
      </c>
      <c r="H285" t="s">
        <v>3</v>
      </c>
      <c r="I285">
        <v>0</v>
      </c>
      <c r="K285">
        <v>-1</v>
      </c>
      <c r="U285" t="s">
        <v>3</v>
      </c>
      <c r="V285">
        <v>0</v>
      </c>
      <c r="AB285" t="s">
        <v>3</v>
      </c>
      <c r="AC285" t="s">
        <v>3</v>
      </c>
      <c r="AD285" t="s">
        <v>3</v>
      </c>
      <c r="AE285" t="s">
        <v>3</v>
      </c>
      <c r="AF285" t="s">
        <v>3</v>
      </c>
      <c r="AG285" t="s">
        <v>3</v>
      </c>
      <c r="AP285" t="s">
        <v>3</v>
      </c>
      <c r="AQ285" t="s">
        <v>3</v>
      </c>
      <c r="AR285" t="s">
        <v>3</v>
      </c>
      <c r="AZ285" t="s">
        <v>3</v>
      </c>
      <c r="BB285" t="s">
        <v>3</v>
      </c>
      <c r="BC285" t="s">
        <v>3</v>
      </c>
      <c r="BD285" t="s">
        <v>3</v>
      </c>
      <c r="BE285" t="s">
        <v>3</v>
      </c>
      <c r="BF285" t="s">
        <v>3</v>
      </c>
      <c r="BG285" t="s">
        <v>3</v>
      </c>
      <c r="BH285" t="s">
        <v>3</v>
      </c>
      <c r="BI285" t="s">
        <v>3</v>
      </c>
      <c r="BJ285" t="s">
        <v>3</v>
      </c>
      <c r="BK285" t="s">
        <v>3</v>
      </c>
      <c r="BL285" t="s">
        <v>3</v>
      </c>
      <c r="BM285" t="s">
        <v>3</v>
      </c>
      <c r="BN285" t="s">
        <v>3</v>
      </c>
      <c r="BO285" t="s">
        <v>3</v>
      </c>
      <c r="BP285" t="s">
        <v>3</v>
      </c>
      <c r="BX285">
        <v>0</v>
      </c>
      <c r="CJ285">
        <v>0</v>
      </c>
    </row>
    <row r="287" spans="1:206" x14ac:dyDescent="0.2">
      <c r="A287">
        <v>52</v>
      </c>
      <c r="B287">
        <f t="shared" ref="B287:G287" si="227">B298</f>
        <v>1</v>
      </c>
      <c r="C287">
        <f t="shared" si="227"/>
        <v>4</v>
      </c>
      <c r="D287">
        <f t="shared" si="227"/>
        <v>285</v>
      </c>
      <c r="E287">
        <f t="shared" si="227"/>
        <v>0</v>
      </c>
      <c r="F287" t="str">
        <f t="shared" si="227"/>
        <v>Новый раздел</v>
      </c>
      <c r="G287" t="str">
        <f t="shared" si="227"/>
        <v>Ремонт лестницы</v>
      </c>
      <c r="O287">
        <f t="shared" ref="O287:AT287" si="228">O298</f>
        <v>22649.91</v>
      </c>
      <c r="P287">
        <f t="shared" si="228"/>
        <v>18170.88</v>
      </c>
      <c r="Q287">
        <f t="shared" si="228"/>
        <v>20.92</v>
      </c>
      <c r="R287">
        <f t="shared" si="228"/>
        <v>0.95</v>
      </c>
      <c r="S287">
        <f t="shared" si="228"/>
        <v>4458.1099999999997</v>
      </c>
      <c r="T287">
        <f t="shared" si="228"/>
        <v>0</v>
      </c>
      <c r="U287">
        <f t="shared" si="228"/>
        <v>22.35754</v>
      </c>
      <c r="V287">
        <f t="shared" si="228"/>
        <v>0</v>
      </c>
      <c r="W287">
        <f t="shared" si="228"/>
        <v>0</v>
      </c>
      <c r="X287">
        <f t="shared" si="228"/>
        <v>3120.68</v>
      </c>
      <c r="Y287">
        <f t="shared" si="228"/>
        <v>445.81</v>
      </c>
      <c r="Z287">
        <f t="shared" si="228"/>
        <v>0</v>
      </c>
      <c r="AA287">
        <f t="shared" si="228"/>
        <v>0</v>
      </c>
      <c r="AB287">
        <f t="shared" si="228"/>
        <v>22649.91</v>
      </c>
      <c r="AC287">
        <f t="shared" si="228"/>
        <v>18170.88</v>
      </c>
      <c r="AD287">
        <f t="shared" si="228"/>
        <v>20.92</v>
      </c>
      <c r="AE287">
        <f t="shared" si="228"/>
        <v>0.95</v>
      </c>
      <c r="AF287">
        <f t="shared" si="228"/>
        <v>4458.1099999999997</v>
      </c>
      <c r="AG287">
        <f t="shared" si="228"/>
        <v>0</v>
      </c>
      <c r="AH287">
        <f t="shared" si="228"/>
        <v>22.35754</v>
      </c>
      <c r="AI287">
        <f t="shared" si="228"/>
        <v>0</v>
      </c>
      <c r="AJ287">
        <f t="shared" si="228"/>
        <v>0</v>
      </c>
      <c r="AK287">
        <f t="shared" si="228"/>
        <v>3120.68</v>
      </c>
      <c r="AL287">
        <f t="shared" si="228"/>
        <v>445.81</v>
      </c>
      <c r="AM287">
        <f t="shared" si="228"/>
        <v>0</v>
      </c>
      <c r="AN287">
        <f t="shared" si="228"/>
        <v>0</v>
      </c>
      <c r="AO287">
        <f t="shared" si="228"/>
        <v>0</v>
      </c>
      <c r="AP287">
        <f t="shared" si="228"/>
        <v>0</v>
      </c>
      <c r="AQ287">
        <f t="shared" si="228"/>
        <v>0</v>
      </c>
      <c r="AR287">
        <f t="shared" si="228"/>
        <v>26217.43</v>
      </c>
      <c r="AS287">
        <f t="shared" si="228"/>
        <v>0</v>
      </c>
      <c r="AT287">
        <f t="shared" si="228"/>
        <v>0</v>
      </c>
      <c r="AU287">
        <f t="shared" ref="AU287:BZ287" si="229">AU298</f>
        <v>26217.43</v>
      </c>
      <c r="AV287">
        <f t="shared" si="229"/>
        <v>18170.88</v>
      </c>
      <c r="AW287">
        <f t="shared" si="229"/>
        <v>18170.88</v>
      </c>
      <c r="AX287">
        <f t="shared" si="229"/>
        <v>0</v>
      </c>
      <c r="AY287">
        <f t="shared" si="229"/>
        <v>18170.88</v>
      </c>
      <c r="AZ287">
        <f t="shared" si="229"/>
        <v>0</v>
      </c>
      <c r="BA287">
        <f t="shared" si="229"/>
        <v>0</v>
      </c>
      <c r="BB287">
        <f t="shared" si="229"/>
        <v>0</v>
      </c>
      <c r="BC287">
        <f t="shared" si="229"/>
        <v>0</v>
      </c>
      <c r="BD287">
        <f t="shared" si="229"/>
        <v>0</v>
      </c>
      <c r="BE287">
        <f t="shared" si="229"/>
        <v>0</v>
      </c>
      <c r="BF287">
        <f t="shared" si="229"/>
        <v>0</v>
      </c>
      <c r="BG287">
        <f t="shared" si="229"/>
        <v>0</v>
      </c>
      <c r="BH287">
        <f t="shared" si="229"/>
        <v>0</v>
      </c>
      <c r="BI287">
        <f t="shared" si="229"/>
        <v>0</v>
      </c>
      <c r="BJ287">
        <f t="shared" si="229"/>
        <v>0</v>
      </c>
      <c r="BK287">
        <f t="shared" si="229"/>
        <v>0</v>
      </c>
      <c r="BL287">
        <f t="shared" si="229"/>
        <v>0</v>
      </c>
      <c r="BM287">
        <f t="shared" si="229"/>
        <v>0</v>
      </c>
      <c r="BN287">
        <f t="shared" si="229"/>
        <v>0</v>
      </c>
      <c r="BO287">
        <f t="shared" si="229"/>
        <v>0</v>
      </c>
      <c r="BP287">
        <f t="shared" si="229"/>
        <v>0</v>
      </c>
      <c r="BQ287">
        <f t="shared" si="229"/>
        <v>0</v>
      </c>
      <c r="BR287">
        <f t="shared" si="229"/>
        <v>0</v>
      </c>
      <c r="BS287">
        <f t="shared" si="229"/>
        <v>0</v>
      </c>
      <c r="BT287">
        <f t="shared" si="229"/>
        <v>0</v>
      </c>
      <c r="BU287">
        <f t="shared" si="229"/>
        <v>0</v>
      </c>
      <c r="BV287">
        <f t="shared" si="229"/>
        <v>0</v>
      </c>
      <c r="BW287">
        <f t="shared" si="229"/>
        <v>0</v>
      </c>
      <c r="BX287">
        <f t="shared" si="229"/>
        <v>0</v>
      </c>
      <c r="BY287">
        <f t="shared" si="229"/>
        <v>0</v>
      </c>
      <c r="BZ287">
        <f t="shared" si="229"/>
        <v>0</v>
      </c>
      <c r="CA287">
        <f t="shared" ref="CA287:DF287" si="230">CA298</f>
        <v>26217.43</v>
      </c>
      <c r="CB287">
        <f t="shared" si="230"/>
        <v>0</v>
      </c>
      <c r="CC287">
        <f t="shared" si="230"/>
        <v>0</v>
      </c>
      <c r="CD287">
        <f t="shared" si="230"/>
        <v>26217.43</v>
      </c>
      <c r="CE287">
        <f t="shared" si="230"/>
        <v>18170.88</v>
      </c>
      <c r="CF287">
        <f t="shared" si="230"/>
        <v>18170.88</v>
      </c>
      <c r="CG287">
        <f t="shared" si="230"/>
        <v>0</v>
      </c>
      <c r="CH287">
        <f t="shared" si="230"/>
        <v>18170.88</v>
      </c>
      <c r="CI287">
        <f t="shared" si="230"/>
        <v>0</v>
      </c>
      <c r="CJ287">
        <f t="shared" si="230"/>
        <v>0</v>
      </c>
      <c r="CK287">
        <f t="shared" si="230"/>
        <v>0</v>
      </c>
      <c r="CL287">
        <f t="shared" si="230"/>
        <v>0</v>
      </c>
      <c r="CM287">
        <f t="shared" si="230"/>
        <v>0</v>
      </c>
      <c r="CN287">
        <f t="shared" si="230"/>
        <v>0</v>
      </c>
      <c r="CO287">
        <f t="shared" si="230"/>
        <v>0</v>
      </c>
      <c r="CP287">
        <f t="shared" si="230"/>
        <v>0</v>
      </c>
      <c r="CQ287">
        <f t="shared" si="230"/>
        <v>0</v>
      </c>
      <c r="CR287">
        <f t="shared" si="230"/>
        <v>0</v>
      </c>
      <c r="CS287">
        <f t="shared" si="230"/>
        <v>0</v>
      </c>
      <c r="CT287">
        <f t="shared" si="230"/>
        <v>0</v>
      </c>
      <c r="CU287">
        <f t="shared" si="230"/>
        <v>0</v>
      </c>
      <c r="CV287">
        <f t="shared" si="230"/>
        <v>0</v>
      </c>
      <c r="CW287">
        <f t="shared" si="230"/>
        <v>0</v>
      </c>
      <c r="CX287">
        <f t="shared" si="230"/>
        <v>0</v>
      </c>
      <c r="CY287">
        <f t="shared" si="230"/>
        <v>0</v>
      </c>
      <c r="CZ287">
        <f t="shared" si="230"/>
        <v>0</v>
      </c>
      <c r="DA287">
        <f t="shared" si="230"/>
        <v>0</v>
      </c>
      <c r="DB287">
        <f t="shared" si="230"/>
        <v>0</v>
      </c>
      <c r="DC287">
        <f t="shared" si="230"/>
        <v>0</v>
      </c>
      <c r="DD287">
        <f t="shared" si="230"/>
        <v>0</v>
      </c>
      <c r="DE287">
        <f t="shared" si="230"/>
        <v>0</v>
      </c>
      <c r="DF287">
        <f t="shared" si="230"/>
        <v>0</v>
      </c>
      <c r="DG287">
        <f t="shared" ref="DG287:EL287" si="231">DG298</f>
        <v>0</v>
      </c>
      <c r="DH287">
        <f t="shared" si="231"/>
        <v>0</v>
      </c>
      <c r="DI287">
        <f t="shared" si="231"/>
        <v>0</v>
      </c>
      <c r="DJ287">
        <f t="shared" si="231"/>
        <v>0</v>
      </c>
      <c r="DK287">
        <f t="shared" si="231"/>
        <v>0</v>
      </c>
      <c r="DL287">
        <f t="shared" si="231"/>
        <v>0</v>
      </c>
      <c r="DM287">
        <f t="shared" si="231"/>
        <v>0</v>
      </c>
      <c r="DN287">
        <f t="shared" si="231"/>
        <v>0</v>
      </c>
      <c r="DO287">
        <f t="shared" si="231"/>
        <v>0</v>
      </c>
      <c r="DP287">
        <f t="shared" si="231"/>
        <v>0</v>
      </c>
      <c r="DQ287">
        <f t="shared" si="231"/>
        <v>0</v>
      </c>
      <c r="DR287">
        <f t="shared" si="231"/>
        <v>0</v>
      </c>
      <c r="DS287">
        <f t="shared" si="231"/>
        <v>0</v>
      </c>
      <c r="DT287">
        <f t="shared" si="231"/>
        <v>0</v>
      </c>
      <c r="DU287">
        <f t="shared" si="231"/>
        <v>0</v>
      </c>
      <c r="DV287">
        <f t="shared" si="231"/>
        <v>0</v>
      </c>
      <c r="DW287">
        <f t="shared" si="231"/>
        <v>0</v>
      </c>
      <c r="DX287">
        <f t="shared" si="231"/>
        <v>0</v>
      </c>
      <c r="DY287">
        <f t="shared" si="231"/>
        <v>0</v>
      </c>
      <c r="DZ287">
        <f t="shared" si="231"/>
        <v>0</v>
      </c>
      <c r="EA287">
        <f t="shared" si="231"/>
        <v>0</v>
      </c>
      <c r="EB287">
        <f t="shared" si="231"/>
        <v>0</v>
      </c>
      <c r="EC287">
        <f t="shared" si="231"/>
        <v>0</v>
      </c>
      <c r="ED287">
        <f t="shared" si="231"/>
        <v>0</v>
      </c>
      <c r="EE287">
        <f t="shared" si="231"/>
        <v>0</v>
      </c>
      <c r="EF287">
        <f t="shared" si="231"/>
        <v>0</v>
      </c>
      <c r="EG287">
        <f t="shared" si="231"/>
        <v>0</v>
      </c>
      <c r="EH287">
        <f t="shared" si="231"/>
        <v>0</v>
      </c>
      <c r="EI287">
        <f t="shared" si="231"/>
        <v>0</v>
      </c>
      <c r="EJ287">
        <f t="shared" si="231"/>
        <v>0</v>
      </c>
      <c r="EK287">
        <f t="shared" si="231"/>
        <v>0</v>
      </c>
      <c r="EL287">
        <f t="shared" si="231"/>
        <v>0</v>
      </c>
      <c r="EM287">
        <f t="shared" ref="EM287:FR287" si="232">EM298</f>
        <v>0</v>
      </c>
      <c r="EN287">
        <f t="shared" si="232"/>
        <v>0</v>
      </c>
      <c r="EO287">
        <f t="shared" si="232"/>
        <v>0</v>
      </c>
      <c r="EP287">
        <f t="shared" si="232"/>
        <v>0</v>
      </c>
      <c r="EQ287">
        <f t="shared" si="232"/>
        <v>0</v>
      </c>
      <c r="ER287">
        <f t="shared" si="232"/>
        <v>0</v>
      </c>
      <c r="ES287">
        <f t="shared" si="232"/>
        <v>0</v>
      </c>
      <c r="ET287">
        <f t="shared" si="232"/>
        <v>0</v>
      </c>
      <c r="EU287">
        <f t="shared" si="232"/>
        <v>0</v>
      </c>
      <c r="EV287">
        <f t="shared" si="232"/>
        <v>0</v>
      </c>
      <c r="EW287">
        <f t="shared" si="232"/>
        <v>0</v>
      </c>
      <c r="EX287">
        <f t="shared" si="232"/>
        <v>0</v>
      </c>
      <c r="EY287">
        <f t="shared" si="232"/>
        <v>0</v>
      </c>
      <c r="EZ287">
        <f t="shared" si="232"/>
        <v>0</v>
      </c>
      <c r="FA287">
        <f t="shared" si="232"/>
        <v>0</v>
      </c>
      <c r="FB287">
        <f t="shared" si="232"/>
        <v>0</v>
      </c>
      <c r="FC287">
        <f t="shared" si="232"/>
        <v>0</v>
      </c>
      <c r="FD287">
        <f t="shared" si="232"/>
        <v>0</v>
      </c>
      <c r="FE287">
        <f t="shared" si="232"/>
        <v>0</v>
      </c>
      <c r="FF287">
        <f t="shared" si="232"/>
        <v>0</v>
      </c>
      <c r="FG287">
        <f t="shared" si="232"/>
        <v>0</v>
      </c>
      <c r="FH287">
        <f t="shared" si="232"/>
        <v>0</v>
      </c>
      <c r="FI287">
        <f t="shared" si="232"/>
        <v>0</v>
      </c>
      <c r="FJ287">
        <f t="shared" si="232"/>
        <v>0</v>
      </c>
      <c r="FK287">
        <f t="shared" si="232"/>
        <v>0</v>
      </c>
      <c r="FL287">
        <f t="shared" si="232"/>
        <v>0</v>
      </c>
      <c r="FM287">
        <f t="shared" si="232"/>
        <v>0</v>
      </c>
      <c r="FN287">
        <f t="shared" si="232"/>
        <v>0</v>
      </c>
      <c r="FO287">
        <f t="shared" si="232"/>
        <v>0</v>
      </c>
      <c r="FP287">
        <f t="shared" si="232"/>
        <v>0</v>
      </c>
      <c r="FQ287">
        <f t="shared" si="232"/>
        <v>0</v>
      </c>
      <c r="FR287">
        <f t="shared" si="232"/>
        <v>0</v>
      </c>
      <c r="FS287">
        <f t="shared" ref="FS287:GX287" si="233">FS298</f>
        <v>0</v>
      </c>
      <c r="FT287">
        <f t="shared" si="233"/>
        <v>0</v>
      </c>
      <c r="FU287">
        <f t="shared" si="233"/>
        <v>0</v>
      </c>
      <c r="FV287">
        <f t="shared" si="233"/>
        <v>0</v>
      </c>
      <c r="FW287">
        <f t="shared" si="233"/>
        <v>0</v>
      </c>
      <c r="FX287">
        <f t="shared" si="233"/>
        <v>0</v>
      </c>
      <c r="FY287">
        <f t="shared" si="233"/>
        <v>0</v>
      </c>
      <c r="FZ287">
        <f t="shared" si="233"/>
        <v>0</v>
      </c>
      <c r="GA287">
        <f t="shared" si="233"/>
        <v>0</v>
      </c>
      <c r="GB287">
        <f t="shared" si="233"/>
        <v>0</v>
      </c>
      <c r="GC287">
        <f t="shared" si="233"/>
        <v>0</v>
      </c>
      <c r="GD287">
        <f t="shared" si="233"/>
        <v>0</v>
      </c>
      <c r="GE287">
        <f t="shared" si="233"/>
        <v>0</v>
      </c>
      <c r="GF287">
        <f t="shared" si="233"/>
        <v>0</v>
      </c>
      <c r="GG287">
        <f t="shared" si="233"/>
        <v>0</v>
      </c>
      <c r="GH287">
        <f t="shared" si="233"/>
        <v>0</v>
      </c>
      <c r="GI287">
        <f t="shared" si="233"/>
        <v>0</v>
      </c>
      <c r="GJ287">
        <f t="shared" si="233"/>
        <v>0</v>
      </c>
      <c r="GK287">
        <f t="shared" si="233"/>
        <v>0</v>
      </c>
      <c r="GL287">
        <f t="shared" si="233"/>
        <v>0</v>
      </c>
      <c r="GM287">
        <f t="shared" si="233"/>
        <v>0</v>
      </c>
      <c r="GN287">
        <f t="shared" si="233"/>
        <v>0</v>
      </c>
      <c r="GO287">
        <f t="shared" si="233"/>
        <v>0</v>
      </c>
      <c r="GP287">
        <f t="shared" si="233"/>
        <v>0</v>
      </c>
      <c r="GQ287">
        <f t="shared" si="233"/>
        <v>0</v>
      </c>
      <c r="GR287">
        <f t="shared" si="233"/>
        <v>0</v>
      </c>
      <c r="GS287">
        <f t="shared" si="233"/>
        <v>0</v>
      </c>
      <c r="GT287">
        <f t="shared" si="233"/>
        <v>0</v>
      </c>
      <c r="GU287">
        <f t="shared" si="233"/>
        <v>0</v>
      </c>
      <c r="GV287">
        <f t="shared" si="233"/>
        <v>0</v>
      </c>
      <c r="GW287">
        <f t="shared" si="233"/>
        <v>0</v>
      </c>
      <c r="GX287">
        <f t="shared" si="233"/>
        <v>0</v>
      </c>
    </row>
    <row r="289" spans="1:245" x14ac:dyDescent="0.2">
      <c r="A289">
        <v>17</v>
      </c>
      <c r="B289">
        <v>1</v>
      </c>
      <c r="D289">
        <f>ROW(EtalonRes!A351)</f>
        <v>351</v>
      </c>
      <c r="E289" t="s">
        <v>3</v>
      </c>
      <c r="F289" t="s">
        <v>252</v>
      </c>
      <c r="G289" t="s">
        <v>317</v>
      </c>
      <c r="H289" t="s">
        <v>47</v>
      </c>
      <c r="I289">
        <f>ROUND(I293*100*0.2/100,9)</f>
        <v>1.06E-2</v>
      </c>
      <c r="J289">
        <v>0</v>
      </c>
      <c r="O289">
        <f t="shared" ref="O289:O296" si="234">ROUND(CP289,2)</f>
        <v>804.16</v>
      </c>
      <c r="P289">
        <f t="shared" ref="P289:P296" si="235">ROUND(CQ289*I289,2)</f>
        <v>690.72</v>
      </c>
      <c r="Q289">
        <f t="shared" ref="Q289:Q296" si="236">ROUND(CR289*I289,2)</f>
        <v>80.58</v>
      </c>
      <c r="R289">
        <f t="shared" ref="R289:R296" si="237">ROUND(CS289*I289,2)</f>
        <v>34.159999999999997</v>
      </c>
      <c r="S289">
        <f t="shared" ref="S289:S296" si="238">ROUND(CT289*I289,2)</f>
        <v>32.86</v>
      </c>
      <c r="T289">
        <f t="shared" ref="T289:T296" si="239">ROUND(CU289*I289,2)</f>
        <v>0</v>
      </c>
      <c r="U289">
        <f t="shared" ref="U289:U296" si="240">CV289*I289</f>
        <v>0.175536</v>
      </c>
      <c r="V289">
        <f t="shared" ref="V289:V296" si="241">CW289*I289</f>
        <v>0</v>
      </c>
      <c r="W289">
        <f t="shared" ref="W289:W296" si="242">ROUND(CX289*I289,2)</f>
        <v>0</v>
      </c>
      <c r="X289">
        <f t="shared" ref="X289:Y296" si="243">ROUND(CY289,2)</f>
        <v>23</v>
      </c>
      <c r="Y289">
        <f t="shared" si="243"/>
        <v>3.29</v>
      </c>
      <c r="AA289">
        <v>-1</v>
      </c>
      <c r="AB289">
        <f t="shared" ref="AB289:AB296" si="244">ROUND((AC289+AD289+AF289),6)</f>
        <v>75863.820000000007</v>
      </c>
      <c r="AC289">
        <f t="shared" ref="AC289:AC296" si="245">ROUND((ES289),6)</f>
        <v>65162.05</v>
      </c>
      <c r="AD289">
        <f t="shared" ref="AD289:AD296" si="246">ROUND((((ET289)-(EU289))+AE289),6)</f>
        <v>7602.23</v>
      </c>
      <c r="AE289">
        <f t="shared" ref="AE289:AF296" si="247">ROUND((EU289),6)</f>
        <v>3222.98</v>
      </c>
      <c r="AF289">
        <f t="shared" si="247"/>
        <v>3099.54</v>
      </c>
      <c r="AG289">
        <f t="shared" ref="AG289:AG296" si="248">ROUND((AP289),6)</f>
        <v>0</v>
      </c>
      <c r="AH289">
        <f t="shared" ref="AH289:AI296" si="249">(EW289)</f>
        <v>16.559999999999999</v>
      </c>
      <c r="AI289">
        <f t="shared" si="249"/>
        <v>0</v>
      </c>
      <c r="AJ289">
        <f t="shared" ref="AJ289:AJ296" si="250">(AS289)</f>
        <v>0</v>
      </c>
      <c r="AK289">
        <v>75863.820000000007</v>
      </c>
      <c r="AL289">
        <v>65162.05</v>
      </c>
      <c r="AM289">
        <v>7602.23</v>
      </c>
      <c r="AN289">
        <v>3222.98</v>
      </c>
      <c r="AO289">
        <v>3099.54</v>
      </c>
      <c r="AP289">
        <v>0</v>
      </c>
      <c r="AQ289">
        <v>16.559999999999999</v>
      </c>
      <c r="AR289">
        <v>0</v>
      </c>
      <c r="AS289">
        <v>0</v>
      </c>
      <c r="AT289">
        <v>70</v>
      </c>
      <c r="AU289">
        <v>10</v>
      </c>
      <c r="AV289">
        <v>1</v>
      </c>
      <c r="AW289">
        <v>1</v>
      </c>
      <c r="AZ289">
        <v>1</v>
      </c>
      <c r="BA289">
        <v>1</v>
      </c>
      <c r="BB289">
        <v>1</v>
      </c>
      <c r="BC289">
        <v>1</v>
      </c>
      <c r="BD289" t="s">
        <v>3</v>
      </c>
      <c r="BE289" t="s">
        <v>3</v>
      </c>
      <c r="BF289" t="s">
        <v>3</v>
      </c>
      <c r="BG289" t="s">
        <v>3</v>
      </c>
      <c r="BH289">
        <v>0</v>
      </c>
      <c r="BI289">
        <v>4</v>
      </c>
      <c r="BJ289" t="s">
        <v>254</v>
      </c>
      <c r="BM289">
        <v>0</v>
      </c>
      <c r="BN289">
        <v>0</v>
      </c>
      <c r="BO289" t="s">
        <v>3</v>
      </c>
      <c r="BP289">
        <v>0</v>
      </c>
      <c r="BQ289">
        <v>1</v>
      </c>
      <c r="BR289">
        <v>0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 t="s">
        <v>3</v>
      </c>
      <c r="BZ289">
        <v>70</v>
      </c>
      <c r="CA289">
        <v>10</v>
      </c>
      <c r="CE289">
        <v>0</v>
      </c>
      <c r="CF289">
        <v>0</v>
      </c>
      <c r="CG289">
        <v>0</v>
      </c>
      <c r="CM289">
        <v>0</v>
      </c>
      <c r="CN289" t="s">
        <v>3</v>
      </c>
      <c r="CO289">
        <v>0</v>
      </c>
      <c r="CP289">
        <f t="shared" ref="CP289:CP296" si="251">(P289+Q289+S289)</f>
        <v>804.16000000000008</v>
      </c>
      <c r="CQ289">
        <f t="shared" ref="CQ289:CQ296" si="252">(AC289*BC289*AW289)</f>
        <v>65162.05</v>
      </c>
      <c r="CR289">
        <f t="shared" ref="CR289:CR296" si="253">((((ET289)*BB289-(EU289)*BS289)+AE289*BS289)*AV289)</f>
        <v>7602.23</v>
      </c>
      <c r="CS289">
        <f t="shared" ref="CS289:CS296" si="254">(AE289*BS289*AV289)</f>
        <v>3222.98</v>
      </c>
      <c r="CT289">
        <f t="shared" ref="CT289:CT296" si="255">(AF289*BA289*AV289)</f>
        <v>3099.54</v>
      </c>
      <c r="CU289">
        <f t="shared" ref="CU289:CU296" si="256">AG289</f>
        <v>0</v>
      </c>
      <c r="CV289">
        <f t="shared" ref="CV289:CV296" si="257">(AH289*AV289)</f>
        <v>16.559999999999999</v>
      </c>
      <c r="CW289">
        <f t="shared" ref="CW289:CX296" si="258">AI289</f>
        <v>0</v>
      </c>
      <c r="CX289">
        <f t="shared" si="258"/>
        <v>0</v>
      </c>
      <c r="CY289">
        <f t="shared" ref="CY289:CY296" si="259">((S289*BZ289)/100)</f>
        <v>23.001999999999999</v>
      </c>
      <c r="CZ289">
        <f t="shared" ref="CZ289:CZ296" si="260">((S289*CA289)/100)</f>
        <v>3.286</v>
      </c>
      <c r="DC289" t="s">
        <v>3</v>
      </c>
      <c r="DD289" t="s">
        <v>3</v>
      </c>
      <c r="DE289" t="s">
        <v>3</v>
      </c>
      <c r="DF289" t="s">
        <v>3</v>
      </c>
      <c r="DG289" t="s">
        <v>3</v>
      </c>
      <c r="DH289" t="s">
        <v>3</v>
      </c>
      <c r="DI289" t="s">
        <v>3</v>
      </c>
      <c r="DJ289" t="s">
        <v>3</v>
      </c>
      <c r="DK289" t="s">
        <v>3</v>
      </c>
      <c r="DL289" t="s">
        <v>3</v>
      </c>
      <c r="DM289" t="s">
        <v>3</v>
      </c>
      <c r="DN289">
        <v>0</v>
      </c>
      <c r="DO289">
        <v>0</v>
      </c>
      <c r="DP289">
        <v>1</v>
      </c>
      <c r="DQ289">
        <v>1</v>
      </c>
      <c r="DU289">
        <v>1007</v>
      </c>
      <c r="DV289" t="s">
        <v>47</v>
      </c>
      <c r="DW289" t="s">
        <v>47</v>
      </c>
      <c r="DX289">
        <v>100</v>
      </c>
      <c r="EE289">
        <v>67874524</v>
      </c>
      <c r="EF289">
        <v>1</v>
      </c>
      <c r="EG289" t="s">
        <v>20</v>
      </c>
      <c r="EH289">
        <v>0</v>
      </c>
      <c r="EI289" t="s">
        <v>3</v>
      </c>
      <c r="EJ289">
        <v>4</v>
      </c>
      <c r="EK289">
        <v>0</v>
      </c>
      <c r="EL289" t="s">
        <v>21</v>
      </c>
      <c r="EM289" t="s">
        <v>22</v>
      </c>
      <c r="EO289" t="s">
        <v>3</v>
      </c>
      <c r="EQ289">
        <v>1024</v>
      </c>
      <c r="ER289">
        <v>75863.820000000007</v>
      </c>
      <c r="ES289">
        <v>65162.05</v>
      </c>
      <c r="ET289">
        <v>7602.23</v>
      </c>
      <c r="EU289">
        <v>3222.98</v>
      </c>
      <c r="EV289">
        <v>3099.54</v>
      </c>
      <c r="EW289">
        <v>16.559999999999999</v>
      </c>
      <c r="EX289">
        <v>0</v>
      </c>
      <c r="EY289">
        <v>0</v>
      </c>
      <c r="FQ289">
        <v>0</v>
      </c>
      <c r="FR289">
        <f t="shared" ref="FR289:FR296" si="261">ROUND(IF(AND(BH289=3,BI289=3),P289,0),2)</f>
        <v>0</v>
      </c>
      <c r="FS289">
        <v>0</v>
      </c>
      <c r="FX289">
        <v>70</v>
      </c>
      <c r="FY289">
        <v>10</v>
      </c>
      <c r="GA289" t="s">
        <v>3</v>
      </c>
      <c r="GD289">
        <v>0</v>
      </c>
      <c r="GF289">
        <v>-34609793</v>
      </c>
      <c r="GG289">
        <v>2</v>
      </c>
      <c r="GH289">
        <v>1</v>
      </c>
      <c r="GI289">
        <v>-2</v>
      </c>
      <c r="GJ289">
        <v>0</v>
      </c>
      <c r="GK289">
        <f>ROUND(R289*(R12)/100,2)</f>
        <v>36.89</v>
      </c>
      <c r="GL289">
        <f t="shared" ref="GL289:GL296" si="262">ROUND(IF(AND(BH289=3,BI289=3,FS289&lt;&gt;0),P289,0),2)</f>
        <v>0</v>
      </c>
      <c r="GM289">
        <f t="shared" ref="GM289:GM296" si="263">ROUND(O289+X289+Y289+GK289,2)+GX289</f>
        <v>867.34</v>
      </c>
      <c r="GN289">
        <f t="shared" ref="GN289:GN296" si="264">IF(OR(BI289=0,BI289=1),ROUND(O289+X289+Y289+GK289,2),0)</f>
        <v>0</v>
      </c>
      <c r="GO289">
        <f t="shared" ref="GO289:GO296" si="265">IF(BI289=2,ROUND(O289+X289+Y289+GK289,2),0)</f>
        <v>0</v>
      </c>
      <c r="GP289">
        <f t="shared" ref="GP289:GP296" si="266">IF(BI289=4,ROUND(O289+X289+Y289+GK289,2)+GX289,0)</f>
        <v>867.34</v>
      </c>
      <c r="GR289">
        <v>0</v>
      </c>
      <c r="GS289">
        <v>3</v>
      </c>
      <c r="GT289">
        <v>0</v>
      </c>
      <c r="GU289" t="s">
        <v>3</v>
      </c>
      <c r="GV289">
        <f t="shared" ref="GV289:GV296" si="267">ROUND((GT289),6)</f>
        <v>0</v>
      </c>
      <c r="GW289">
        <v>1</v>
      </c>
      <c r="GX289">
        <f t="shared" ref="GX289:GX296" si="268">ROUND(HC289*I289,2)</f>
        <v>0</v>
      </c>
      <c r="HA289">
        <v>0</v>
      </c>
      <c r="HB289">
        <v>0</v>
      </c>
      <c r="HC289">
        <f t="shared" ref="HC289:HC296" si="269">GV289*GW289</f>
        <v>0</v>
      </c>
      <c r="IK289">
        <v>0</v>
      </c>
    </row>
    <row r="290" spans="1:245" x14ac:dyDescent="0.2">
      <c r="A290">
        <v>17</v>
      </c>
      <c r="B290">
        <v>1</v>
      </c>
      <c r="D290">
        <f>ROW(EtalonRes!A360)</f>
        <v>360</v>
      </c>
      <c r="E290" t="s">
        <v>3</v>
      </c>
      <c r="F290" t="s">
        <v>256</v>
      </c>
      <c r="G290" t="s">
        <v>318</v>
      </c>
      <c r="H290" t="s">
        <v>47</v>
      </c>
      <c r="I290">
        <f>ROUND(I293*100*0.12/100,9)</f>
        <v>6.3600000000000002E-3</v>
      </c>
      <c r="J290">
        <v>0</v>
      </c>
      <c r="O290">
        <f t="shared" si="234"/>
        <v>1786.3</v>
      </c>
      <c r="P290">
        <f t="shared" si="235"/>
        <v>1414.97</v>
      </c>
      <c r="Q290">
        <f t="shared" si="236"/>
        <v>341.76</v>
      </c>
      <c r="R290">
        <f t="shared" si="237"/>
        <v>134.93</v>
      </c>
      <c r="S290">
        <f t="shared" si="238"/>
        <v>29.57</v>
      </c>
      <c r="T290">
        <f t="shared" si="239"/>
        <v>0</v>
      </c>
      <c r="U290">
        <f t="shared" si="240"/>
        <v>0.1579824</v>
      </c>
      <c r="V290">
        <f t="shared" si="241"/>
        <v>0</v>
      </c>
      <c r="W290">
        <f t="shared" si="242"/>
        <v>0</v>
      </c>
      <c r="X290">
        <f t="shared" si="243"/>
        <v>20.7</v>
      </c>
      <c r="Y290">
        <f t="shared" si="243"/>
        <v>2.96</v>
      </c>
      <c r="AA290">
        <v>-1</v>
      </c>
      <c r="AB290">
        <f t="shared" si="244"/>
        <v>280864.57</v>
      </c>
      <c r="AC290">
        <f t="shared" si="245"/>
        <v>222479.25</v>
      </c>
      <c r="AD290">
        <f t="shared" si="246"/>
        <v>53736.02</v>
      </c>
      <c r="AE290">
        <f t="shared" si="247"/>
        <v>21215.13</v>
      </c>
      <c r="AF290">
        <f t="shared" si="247"/>
        <v>4649.3</v>
      </c>
      <c r="AG290">
        <f t="shared" si="248"/>
        <v>0</v>
      </c>
      <c r="AH290">
        <f t="shared" si="249"/>
        <v>24.84</v>
      </c>
      <c r="AI290">
        <f t="shared" si="249"/>
        <v>0</v>
      </c>
      <c r="AJ290">
        <f t="shared" si="250"/>
        <v>0</v>
      </c>
      <c r="AK290">
        <v>280864.57</v>
      </c>
      <c r="AL290">
        <v>222479.25</v>
      </c>
      <c r="AM290">
        <v>53736.02</v>
      </c>
      <c r="AN290">
        <v>21215.13</v>
      </c>
      <c r="AO290">
        <v>4649.3</v>
      </c>
      <c r="AP290">
        <v>0</v>
      </c>
      <c r="AQ290">
        <v>24.84</v>
      </c>
      <c r="AR290">
        <v>0</v>
      </c>
      <c r="AS290">
        <v>0</v>
      </c>
      <c r="AT290">
        <v>70</v>
      </c>
      <c r="AU290">
        <v>10</v>
      </c>
      <c r="AV290">
        <v>1</v>
      </c>
      <c r="AW290">
        <v>1</v>
      </c>
      <c r="AZ290">
        <v>1</v>
      </c>
      <c r="BA290">
        <v>1</v>
      </c>
      <c r="BB290">
        <v>1</v>
      </c>
      <c r="BC290">
        <v>1</v>
      </c>
      <c r="BD290" t="s">
        <v>3</v>
      </c>
      <c r="BE290" t="s">
        <v>3</v>
      </c>
      <c r="BF290" t="s">
        <v>3</v>
      </c>
      <c r="BG290" t="s">
        <v>3</v>
      </c>
      <c r="BH290">
        <v>0</v>
      </c>
      <c r="BI290">
        <v>4</v>
      </c>
      <c r="BJ290" t="s">
        <v>258</v>
      </c>
      <c r="BM290">
        <v>0</v>
      </c>
      <c r="BN290">
        <v>0</v>
      </c>
      <c r="BO290" t="s">
        <v>3</v>
      </c>
      <c r="BP290">
        <v>0</v>
      </c>
      <c r="BQ290">
        <v>1</v>
      </c>
      <c r="BR290">
        <v>0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 t="s">
        <v>3</v>
      </c>
      <c r="BZ290">
        <v>70</v>
      </c>
      <c r="CA290">
        <v>10</v>
      </c>
      <c r="CE290">
        <v>0</v>
      </c>
      <c r="CF290">
        <v>0</v>
      </c>
      <c r="CG290">
        <v>0</v>
      </c>
      <c r="CM290">
        <v>0</v>
      </c>
      <c r="CN290" t="s">
        <v>3</v>
      </c>
      <c r="CO290">
        <v>0</v>
      </c>
      <c r="CP290">
        <f t="shared" si="251"/>
        <v>1786.3</v>
      </c>
      <c r="CQ290">
        <f t="shared" si="252"/>
        <v>222479.25</v>
      </c>
      <c r="CR290">
        <f t="shared" si="253"/>
        <v>53736.02</v>
      </c>
      <c r="CS290">
        <f t="shared" si="254"/>
        <v>21215.13</v>
      </c>
      <c r="CT290">
        <f t="shared" si="255"/>
        <v>4649.3</v>
      </c>
      <c r="CU290">
        <f t="shared" si="256"/>
        <v>0</v>
      </c>
      <c r="CV290">
        <f t="shared" si="257"/>
        <v>24.84</v>
      </c>
      <c r="CW290">
        <f t="shared" si="258"/>
        <v>0</v>
      </c>
      <c r="CX290">
        <f t="shared" si="258"/>
        <v>0</v>
      </c>
      <c r="CY290">
        <f t="shared" si="259"/>
        <v>20.699000000000002</v>
      </c>
      <c r="CZ290">
        <f t="shared" si="260"/>
        <v>2.9569999999999999</v>
      </c>
      <c r="DC290" t="s">
        <v>3</v>
      </c>
      <c r="DD290" t="s">
        <v>3</v>
      </c>
      <c r="DE290" t="s">
        <v>3</v>
      </c>
      <c r="DF290" t="s">
        <v>3</v>
      </c>
      <c r="DG290" t="s">
        <v>3</v>
      </c>
      <c r="DH290" t="s">
        <v>3</v>
      </c>
      <c r="DI290" t="s">
        <v>3</v>
      </c>
      <c r="DJ290" t="s">
        <v>3</v>
      </c>
      <c r="DK290" t="s">
        <v>3</v>
      </c>
      <c r="DL290" t="s">
        <v>3</v>
      </c>
      <c r="DM290" t="s">
        <v>3</v>
      </c>
      <c r="DN290">
        <v>0</v>
      </c>
      <c r="DO290">
        <v>0</v>
      </c>
      <c r="DP290">
        <v>1</v>
      </c>
      <c r="DQ290">
        <v>1</v>
      </c>
      <c r="DU290">
        <v>1007</v>
      </c>
      <c r="DV290" t="s">
        <v>47</v>
      </c>
      <c r="DW290" t="s">
        <v>47</v>
      </c>
      <c r="DX290">
        <v>100</v>
      </c>
      <c r="EE290">
        <v>67874524</v>
      </c>
      <c r="EF290">
        <v>1</v>
      </c>
      <c r="EG290" t="s">
        <v>20</v>
      </c>
      <c r="EH290">
        <v>0</v>
      </c>
      <c r="EI290" t="s">
        <v>3</v>
      </c>
      <c r="EJ290">
        <v>4</v>
      </c>
      <c r="EK290">
        <v>0</v>
      </c>
      <c r="EL290" t="s">
        <v>21</v>
      </c>
      <c r="EM290" t="s">
        <v>22</v>
      </c>
      <c r="EO290" t="s">
        <v>3</v>
      </c>
      <c r="EQ290">
        <v>1024</v>
      </c>
      <c r="ER290">
        <v>280864.57</v>
      </c>
      <c r="ES290">
        <v>222479.25</v>
      </c>
      <c r="ET290">
        <v>53736.02</v>
      </c>
      <c r="EU290">
        <v>21215.13</v>
      </c>
      <c r="EV290">
        <v>4649.3</v>
      </c>
      <c r="EW290">
        <v>24.84</v>
      </c>
      <c r="EX290">
        <v>0</v>
      </c>
      <c r="EY290">
        <v>0</v>
      </c>
      <c r="FQ290">
        <v>0</v>
      </c>
      <c r="FR290">
        <f t="shared" si="261"/>
        <v>0</v>
      </c>
      <c r="FS290">
        <v>0</v>
      </c>
      <c r="FX290">
        <v>70</v>
      </c>
      <c r="FY290">
        <v>10</v>
      </c>
      <c r="GA290" t="s">
        <v>3</v>
      </c>
      <c r="GD290">
        <v>0</v>
      </c>
      <c r="GF290">
        <v>-257723257</v>
      </c>
      <c r="GG290">
        <v>2</v>
      </c>
      <c r="GH290">
        <v>1</v>
      </c>
      <c r="GI290">
        <v>-2</v>
      </c>
      <c r="GJ290">
        <v>0</v>
      </c>
      <c r="GK290">
        <f>ROUND(R290*(R12)/100,2)</f>
        <v>145.72</v>
      </c>
      <c r="GL290">
        <f t="shared" si="262"/>
        <v>0</v>
      </c>
      <c r="GM290">
        <f t="shared" si="263"/>
        <v>1955.68</v>
      </c>
      <c r="GN290">
        <f t="shared" si="264"/>
        <v>0</v>
      </c>
      <c r="GO290">
        <f t="shared" si="265"/>
        <v>0</v>
      </c>
      <c r="GP290">
        <f t="shared" si="266"/>
        <v>1955.68</v>
      </c>
      <c r="GR290">
        <v>0</v>
      </c>
      <c r="GS290">
        <v>3</v>
      </c>
      <c r="GT290">
        <v>0</v>
      </c>
      <c r="GU290" t="s">
        <v>3</v>
      </c>
      <c r="GV290">
        <f t="shared" si="267"/>
        <v>0</v>
      </c>
      <c r="GW290">
        <v>1</v>
      </c>
      <c r="GX290">
        <f t="shared" si="268"/>
        <v>0</v>
      </c>
      <c r="HA290">
        <v>0</v>
      </c>
      <c r="HB290">
        <v>0</v>
      </c>
      <c r="HC290">
        <f t="shared" si="269"/>
        <v>0</v>
      </c>
      <c r="IK290">
        <v>0</v>
      </c>
    </row>
    <row r="291" spans="1:245" x14ac:dyDescent="0.2">
      <c r="A291">
        <v>17</v>
      </c>
      <c r="B291">
        <v>1</v>
      </c>
      <c r="C291">
        <f>ROW(SmtRes!A58)</f>
        <v>58</v>
      </c>
      <c r="D291">
        <f>ROW(EtalonRes!A367)</f>
        <v>367</v>
      </c>
      <c r="E291" t="s">
        <v>319</v>
      </c>
      <c r="F291" t="s">
        <v>297</v>
      </c>
      <c r="G291" t="s">
        <v>298</v>
      </c>
      <c r="H291" t="s">
        <v>28</v>
      </c>
      <c r="I291">
        <f>ROUND((5.3)/100,9)</f>
        <v>5.2999999999999999E-2</v>
      </c>
      <c r="J291">
        <v>0</v>
      </c>
      <c r="O291">
        <f t="shared" si="234"/>
        <v>3639.48</v>
      </c>
      <c r="P291">
        <f t="shared" si="235"/>
        <v>2178.38</v>
      </c>
      <c r="Q291">
        <f t="shared" si="236"/>
        <v>20.92</v>
      </c>
      <c r="R291">
        <f t="shared" si="237"/>
        <v>0.95</v>
      </c>
      <c r="S291">
        <f t="shared" si="238"/>
        <v>1440.18</v>
      </c>
      <c r="T291">
        <f t="shared" si="239"/>
        <v>0</v>
      </c>
      <c r="U291">
        <f t="shared" si="240"/>
        <v>7.1062400000000006</v>
      </c>
      <c r="V291">
        <f t="shared" si="241"/>
        <v>0</v>
      </c>
      <c r="W291">
        <f t="shared" si="242"/>
        <v>0</v>
      </c>
      <c r="X291">
        <f t="shared" si="243"/>
        <v>1008.13</v>
      </c>
      <c r="Y291">
        <f t="shared" si="243"/>
        <v>144.02000000000001</v>
      </c>
      <c r="AA291">
        <v>71209905</v>
      </c>
      <c r="AB291">
        <f t="shared" si="244"/>
        <v>68669.279999999999</v>
      </c>
      <c r="AC291">
        <f t="shared" si="245"/>
        <v>41101.42</v>
      </c>
      <c r="AD291">
        <f t="shared" si="246"/>
        <v>394.71</v>
      </c>
      <c r="AE291">
        <f t="shared" si="247"/>
        <v>17.86</v>
      </c>
      <c r="AF291">
        <f t="shared" si="247"/>
        <v>27173.15</v>
      </c>
      <c r="AG291">
        <f t="shared" si="248"/>
        <v>0</v>
      </c>
      <c r="AH291">
        <f t="shared" si="249"/>
        <v>134.08000000000001</v>
      </c>
      <c r="AI291">
        <f t="shared" si="249"/>
        <v>0</v>
      </c>
      <c r="AJ291">
        <f t="shared" si="250"/>
        <v>0</v>
      </c>
      <c r="AK291">
        <v>68669.279999999999</v>
      </c>
      <c r="AL291">
        <v>41101.42</v>
      </c>
      <c r="AM291">
        <v>394.71</v>
      </c>
      <c r="AN291">
        <v>17.86</v>
      </c>
      <c r="AO291">
        <v>27173.15</v>
      </c>
      <c r="AP291">
        <v>0</v>
      </c>
      <c r="AQ291">
        <v>134.08000000000001</v>
      </c>
      <c r="AR291">
        <v>0</v>
      </c>
      <c r="AS291">
        <v>0</v>
      </c>
      <c r="AT291">
        <v>70</v>
      </c>
      <c r="AU291">
        <v>10</v>
      </c>
      <c r="AV291">
        <v>1</v>
      </c>
      <c r="AW291">
        <v>1</v>
      </c>
      <c r="AZ291">
        <v>1</v>
      </c>
      <c r="BA291">
        <v>1</v>
      </c>
      <c r="BB291">
        <v>1</v>
      </c>
      <c r="BC291">
        <v>1</v>
      </c>
      <c r="BD291" t="s">
        <v>3</v>
      </c>
      <c r="BE291" t="s">
        <v>3</v>
      </c>
      <c r="BF291" t="s">
        <v>3</v>
      </c>
      <c r="BG291" t="s">
        <v>3</v>
      </c>
      <c r="BH291">
        <v>0</v>
      </c>
      <c r="BI291">
        <v>4</v>
      </c>
      <c r="BJ291" t="s">
        <v>299</v>
      </c>
      <c r="BM291">
        <v>0</v>
      </c>
      <c r="BN291">
        <v>0</v>
      </c>
      <c r="BO291" t="s">
        <v>3</v>
      </c>
      <c r="BP291">
        <v>0</v>
      </c>
      <c r="BQ291">
        <v>1</v>
      </c>
      <c r="BR291">
        <v>0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 t="s">
        <v>3</v>
      </c>
      <c r="BZ291">
        <v>70</v>
      </c>
      <c r="CA291">
        <v>10</v>
      </c>
      <c r="CE291">
        <v>0</v>
      </c>
      <c r="CF291">
        <v>0</v>
      </c>
      <c r="CG291">
        <v>0</v>
      </c>
      <c r="CM291">
        <v>0</v>
      </c>
      <c r="CN291" t="s">
        <v>3</v>
      </c>
      <c r="CO291">
        <v>0</v>
      </c>
      <c r="CP291">
        <f t="shared" si="251"/>
        <v>3639.4800000000005</v>
      </c>
      <c r="CQ291">
        <f t="shared" si="252"/>
        <v>41101.42</v>
      </c>
      <c r="CR291">
        <f t="shared" si="253"/>
        <v>394.71</v>
      </c>
      <c r="CS291">
        <f t="shared" si="254"/>
        <v>17.86</v>
      </c>
      <c r="CT291">
        <f t="shared" si="255"/>
        <v>27173.15</v>
      </c>
      <c r="CU291">
        <f t="shared" si="256"/>
        <v>0</v>
      </c>
      <c r="CV291">
        <f t="shared" si="257"/>
        <v>134.08000000000001</v>
      </c>
      <c r="CW291">
        <f t="shared" si="258"/>
        <v>0</v>
      </c>
      <c r="CX291">
        <f t="shared" si="258"/>
        <v>0</v>
      </c>
      <c r="CY291">
        <f t="shared" si="259"/>
        <v>1008.1260000000001</v>
      </c>
      <c r="CZ291">
        <f t="shared" si="260"/>
        <v>144.018</v>
      </c>
      <c r="DC291" t="s">
        <v>3</v>
      </c>
      <c r="DD291" t="s">
        <v>3</v>
      </c>
      <c r="DE291" t="s">
        <v>3</v>
      </c>
      <c r="DF291" t="s">
        <v>3</v>
      </c>
      <c r="DG291" t="s">
        <v>3</v>
      </c>
      <c r="DH291" t="s">
        <v>3</v>
      </c>
      <c r="DI291" t="s">
        <v>3</v>
      </c>
      <c r="DJ291" t="s">
        <v>3</v>
      </c>
      <c r="DK291" t="s">
        <v>3</v>
      </c>
      <c r="DL291" t="s">
        <v>3</v>
      </c>
      <c r="DM291" t="s">
        <v>3</v>
      </c>
      <c r="DN291">
        <v>0</v>
      </c>
      <c r="DO291">
        <v>0</v>
      </c>
      <c r="DP291">
        <v>1</v>
      </c>
      <c r="DQ291">
        <v>1</v>
      </c>
      <c r="DU291">
        <v>1005</v>
      </c>
      <c r="DV291" t="s">
        <v>28</v>
      </c>
      <c r="DW291" t="s">
        <v>28</v>
      </c>
      <c r="DX291">
        <v>100</v>
      </c>
      <c r="EE291">
        <v>67874524</v>
      </c>
      <c r="EF291">
        <v>1</v>
      </c>
      <c r="EG291" t="s">
        <v>20</v>
      </c>
      <c r="EH291">
        <v>0</v>
      </c>
      <c r="EI291" t="s">
        <v>3</v>
      </c>
      <c r="EJ291">
        <v>4</v>
      </c>
      <c r="EK291">
        <v>0</v>
      </c>
      <c r="EL291" t="s">
        <v>21</v>
      </c>
      <c r="EM291" t="s">
        <v>22</v>
      </c>
      <c r="EO291" t="s">
        <v>3</v>
      </c>
      <c r="EQ291">
        <v>0</v>
      </c>
      <c r="ER291">
        <v>68669.279999999999</v>
      </c>
      <c r="ES291">
        <v>41101.42</v>
      </c>
      <c r="ET291">
        <v>394.71</v>
      </c>
      <c r="EU291">
        <v>17.86</v>
      </c>
      <c r="EV291">
        <v>27173.15</v>
      </c>
      <c r="EW291">
        <v>134.08000000000001</v>
      </c>
      <c r="EX291">
        <v>0</v>
      </c>
      <c r="EY291">
        <v>0</v>
      </c>
      <c r="FQ291">
        <v>0</v>
      </c>
      <c r="FR291">
        <f t="shared" si="261"/>
        <v>0</v>
      </c>
      <c r="FS291">
        <v>0</v>
      </c>
      <c r="FX291">
        <v>70</v>
      </c>
      <c r="FY291">
        <v>10</v>
      </c>
      <c r="GA291" t="s">
        <v>3</v>
      </c>
      <c r="GD291">
        <v>0</v>
      </c>
      <c r="GF291">
        <v>-1508134128</v>
      </c>
      <c r="GG291">
        <v>2</v>
      </c>
      <c r="GH291">
        <v>1</v>
      </c>
      <c r="GI291">
        <v>-2</v>
      </c>
      <c r="GJ291">
        <v>0</v>
      </c>
      <c r="GK291">
        <f>ROUND(R291*(R12)/100,2)</f>
        <v>1.03</v>
      </c>
      <c r="GL291">
        <f t="shared" si="262"/>
        <v>0</v>
      </c>
      <c r="GM291">
        <f t="shared" si="263"/>
        <v>4792.66</v>
      </c>
      <c r="GN291">
        <f t="shared" si="264"/>
        <v>0</v>
      </c>
      <c r="GO291">
        <f t="shared" si="265"/>
        <v>0</v>
      </c>
      <c r="GP291">
        <f t="shared" si="266"/>
        <v>4792.66</v>
      </c>
      <c r="GR291">
        <v>0</v>
      </c>
      <c r="GS291">
        <v>3</v>
      </c>
      <c r="GT291">
        <v>0</v>
      </c>
      <c r="GU291" t="s">
        <v>3</v>
      </c>
      <c r="GV291">
        <f t="shared" si="267"/>
        <v>0</v>
      </c>
      <c r="GW291">
        <v>1</v>
      </c>
      <c r="GX291">
        <f t="shared" si="268"/>
        <v>0</v>
      </c>
      <c r="HA291">
        <v>0</v>
      </c>
      <c r="HB291">
        <v>0</v>
      </c>
      <c r="HC291">
        <f t="shared" si="269"/>
        <v>0</v>
      </c>
      <c r="IK291">
        <v>0</v>
      </c>
    </row>
    <row r="292" spans="1:245" x14ac:dyDescent="0.2">
      <c r="A292">
        <v>18</v>
      </c>
      <c r="B292">
        <v>1</v>
      </c>
      <c r="C292">
        <v>57</v>
      </c>
      <c r="E292" t="s">
        <v>320</v>
      </c>
      <c r="F292" t="s">
        <v>300</v>
      </c>
      <c r="G292" t="s">
        <v>301</v>
      </c>
      <c r="H292" t="s">
        <v>18</v>
      </c>
      <c r="I292">
        <f>I291*J292</f>
        <v>5.5650000000000004</v>
      </c>
      <c r="J292">
        <v>105.00000000000001</v>
      </c>
      <c r="O292">
        <f t="shared" si="234"/>
        <v>5390.04</v>
      </c>
      <c r="P292">
        <f t="shared" si="235"/>
        <v>5390.04</v>
      </c>
      <c r="Q292">
        <f t="shared" si="236"/>
        <v>0</v>
      </c>
      <c r="R292">
        <f t="shared" si="237"/>
        <v>0</v>
      </c>
      <c r="S292">
        <f t="shared" si="238"/>
        <v>0</v>
      </c>
      <c r="T292">
        <f t="shared" si="239"/>
        <v>0</v>
      </c>
      <c r="U292">
        <f t="shared" si="240"/>
        <v>0</v>
      </c>
      <c r="V292">
        <f t="shared" si="241"/>
        <v>0</v>
      </c>
      <c r="W292">
        <f t="shared" si="242"/>
        <v>0</v>
      </c>
      <c r="X292">
        <f t="shared" si="243"/>
        <v>0</v>
      </c>
      <c r="Y292">
        <f t="shared" si="243"/>
        <v>0</v>
      </c>
      <c r="AA292">
        <v>71209905</v>
      </c>
      <c r="AB292">
        <f t="shared" si="244"/>
        <v>968.56</v>
      </c>
      <c r="AC292">
        <f t="shared" si="245"/>
        <v>968.56</v>
      </c>
      <c r="AD292">
        <f t="shared" si="246"/>
        <v>0</v>
      </c>
      <c r="AE292">
        <f t="shared" si="247"/>
        <v>0</v>
      </c>
      <c r="AF292">
        <f t="shared" si="247"/>
        <v>0</v>
      </c>
      <c r="AG292">
        <f t="shared" si="248"/>
        <v>0</v>
      </c>
      <c r="AH292">
        <f t="shared" si="249"/>
        <v>0</v>
      </c>
      <c r="AI292">
        <f t="shared" si="249"/>
        <v>0</v>
      </c>
      <c r="AJ292">
        <f t="shared" si="250"/>
        <v>0</v>
      </c>
      <c r="AK292">
        <v>968.56</v>
      </c>
      <c r="AL292">
        <v>968.56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70</v>
      </c>
      <c r="AU292">
        <v>10</v>
      </c>
      <c r="AV292">
        <v>1</v>
      </c>
      <c r="AW292">
        <v>1</v>
      </c>
      <c r="AZ292">
        <v>1</v>
      </c>
      <c r="BA292">
        <v>1</v>
      </c>
      <c r="BB292">
        <v>1</v>
      </c>
      <c r="BC292">
        <v>1</v>
      </c>
      <c r="BD292" t="s">
        <v>3</v>
      </c>
      <c r="BE292" t="s">
        <v>3</v>
      </c>
      <c r="BF292" t="s">
        <v>3</v>
      </c>
      <c r="BG292" t="s">
        <v>3</v>
      </c>
      <c r="BH292">
        <v>3</v>
      </c>
      <c r="BI292">
        <v>4</v>
      </c>
      <c r="BJ292" t="s">
        <v>302</v>
      </c>
      <c r="BM292">
        <v>0</v>
      </c>
      <c r="BN292">
        <v>0</v>
      </c>
      <c r="BO292" t="s">
        <v>3</v>
      </c>
      <c r="BP292">
        <v>0</v>
      </c>
      <c r="BQ292">
        <v>1</v>
      </c>
      <c r="BR292">
        <v>0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 t="s">
        <v>3</v>
      </c>
      <c r="BZ292">
        <v>70</v>
      </c>
      <c r="CA292">
        <v>10</v>
      </c>
      <c r="CE292">
        <v>0</v>
      </c>
      <c r="CF292">
        <v>0</v>
      </c>
      <c r="CG292">
        <v>0</v>
      </c>
      <c r="CM292">
        <v>0</v>
      </c>
      <c r="CN292" t="s">
        <v>3</v>
      </c>
      <c r="CO292">
        <v>0</v>
      </c>
      <c r="CP292">
        <f t="shared" si="251"/>
        <v>5390.04</v>
      </c>
      <c r="CQ292">
        <f t="shared" si="252"/>
        <v>968.56</v>
      </c>
      <c r="CR292">
        <f t="shared" si="253"/>
        <v>0</v>
      </c>
      <c r="CS292">
        <f t="shared" si="254"/>
        <v>0</v>
      </c>
      <c r="CT292">
        <f t="shared" si="255"/>
        <v>0</v>
      </c>
      <c r="CU292">
        <f t="shared" si="256"/>
        <v>0</v>
      </c>
      <c r="CV292">
        <f t="shared" si="257"/>
        <v>0</v>
      </c>
      <c r="CW292">
        <f t="shared" si="258"/>
        <v>0</v>
      </c>
      <c r="CX292">
        <f t="shared" si="258"/>
        <v>0</v>
      </c>
      <c r="CY292">
        <f t="shared" si="259"/>
        <v>0</v>
      </c>
      <c r="CZ292">
        <f t="shared" si="260"/>
        <v>0</v>
      </c>
      <c r="DC292" t="s">
        <v>3</v>
      </c>
      <c r="DD292" t="s">
        <v>3</v>
      </c>
      <c r="DE292" t="s">
        <v>3</v>
      </c>
      <c r="DF292" t="s">
        <v>3</v>
      </c>
      <c r="DG292" t="s">
        <v>3</v>
      </c>
      <c r="DH292" t="s">
        <v>3</v>
      </c>
      <c r="DI292" t="s">
        <v>3</v>
      </c>
      <c r="DJ292" t="s">
        <v>3</v>
      </c>
      <c r="DK292" t="s">
        <v>3</v>
      </c>
      <c r="DL292" t="s">
        <v>3</v>
      </c>
      <c r="DM292" t="s">
        <v>3</v>
      </c>
      <c r="DN292">
        <v>0</v>
      </c>
      <c r="DO292">
        <v>0</v>
      </c>
      <c r="DP292">
        <v>1</v>
      </c>
      <c r="DQ292">
        <v>1</v>
      </c>
      <c r="DU292">
        <v>1005</v>
      </c>
      <c r="DV292" t="s">
        <v>18</v>
      </c>
      <c r="DW292" t="s">
        <v>18</v>
      </c>
      <c r="DX292">
        <v>1</v>
      </c>
      <c r="EE292">
        <v>67874524</v>
      </c>
      <c r="EF292">
        <v>1</v>
      </c>
      <c r="EG292" t="s">
        <v>20</v>
      </c>
      <c r="EH292">
        <v>0</v>
      </c>
      <c r="EI292" t="s">
        <v>3</v>
      </c>
      <c r="EJ292">
        <v>4</v>
      </c>
      <c r="EK292">
        <v>0</v>
      </c>
      <c r="EL292" t="s">
        <v>21</v>
      </c>
      <c r="EM292" t="s">
        <v>22</v>
      </c>
      <c r="EO292" t="s">
        <v>3</v>
      </c>
      <c r="EQ292">
        <v>0</v>
      </c>
      <c r="ER292">
        <v>968.56</v>
      </c>
      <c r="ES292">
        <v>968.56</v>
      </c>
      <c r="ET292">
        <v>0</v>
      </c>
      <c r="EU292">
        <v>0</v>
      </c>
      <c r="EV292">
        <v>0</v>
      </c>
      <c r="EW292">
        <v>0</v>
      </c>
      <c r="EX292">
        <v>0</v>
      </c>
      <c r="FQ292">
        <v>0</v>
      </c>
      <c r="FR292">
        <f t="shared" si="261"/>
        <v>0</v>
      </c>
      <c r="FS292">
        <v>0</v>
      </c>
      <c r="FX292">
        <v>70</v>
      </c>
      <c r="FY292">
        <v>10</v>
      </c>
      <c r="GA292" t="s">
        <v>3</v>
      </c>
      <c r="GD292">
        <v>0</v>
      </c>
      <c r="GF292">
        <v>503634635</v>
      </c>
      <c r="GG292">
        <v>2</v>
      </c>
      <c r="GH292">
        <v>1</v>
      </c>
      <c r="GI292">
        <v>-2</v>
      </c>
      <c r="GJ292">
        <v>0</v>
      </c>
      <c r="GK292">
        <f>ROUND(R292*(R12)/100,2)</f>
        <v>0</v>
      </c>
      <c r="GL292">
        <f t="shared" si="262"/>
        <v>0</v>
      </c>
      <c r="GM292">
        <f t="shared" si="263"/>
        <v>5390.04</v>
      </c>
      <c r="GN292">
        <f t="shared" si="264"/>
        <v>0</v>
      </c>
      <c r="GO292">
        <f t="shared" si="265"/>
        <v>0</v>
      </c>
      <c r="GP292">
        <f t="shared" si="266"/>
        <v>5390.04</v>
      </c>
      <c r="GR292">
        <v>0</v>
      </c>
      <c r="GS292">
        <v>3</v>
      </c>
      <c r="GT292">
        <v>0</v>
      </c>
      <c r="GU292" t="s">
        <v>3</v>
      </c>
      <c r="GV292">
        <f t="shared" si="267"/>
        <v>0</v>
      </c>
      <c r="GW292">
        <v>1</v>
      </c>
      <c r="GX292">
        <f t="shared" si="268"/>
        <v>0</v>
      </c>
      <c r="HA292">
        <v>0</v>
      </c>
      <c r="HB292">
        <v>0</v>
      </c>
      <c r="HC292">
        <f t="shared" si="269"/>
        <v>0</v>
      </c>
      <c r="IK292">
        <v>0</v>
      </c>
    </row>
    <row r="293" spans="1:245" x14ac:dyDescent="0.2">
      <c r="A293">
        <v>17</v>
      </c>
      <c r="B293">
        <v>1</v>
      </c>
      <c r="C293">
        <f>ROW(SmtRes!A59)</f>
        <v>59</v>
      </c>
      <c r="D293">
        <f>ROW(EtalonRes!A371)</f>
        <v>371</v>
      </c>
      <c r="E293" t="s">
        <v>3</v>
      </c>
      <c r="F293" t="s">
        <v>304</v>
      </c>
      <c r="G293" t="s">
        <v>305</v>
      </c>
      <c r="H293" t="s">
        <v>28</v>
      </c>
      <c r="I293">
        <f>ROUND(5.3/100,9)</f>
        <v>5.2999999999999999E-2</v>
      </c>
      <c r="J293">
        <v>0</v>
      </c>
      <c r="O293">
        <f t="shared" si="234"/>
        <v>5412.36</v>
      </c>
      <c r="P293">
        <f t="shared" si="235"/>
        <v>4842.93</v>
      </c>
      <c r="Q293">
        <f t="shared" si="236"/>
        <v>35</v>
      </c>
      <c r="R293">
        <f t="shared" si="237"/>
        <v>1.62</v>
      </c>
      <c r="S293">
        <f t="shared" si="238"/>
        <v>534.42999999999995</v>
      </c>
      <c r="T293">
        <f t="shared" si="239"/>
        <v>0</v>
      </c>
      <c r="U293">
        <f t="shared" si="240"/>
        <v>2.7915100000000002</v>
      </c>
      <c r="V293">
        <f t="shared" si="241"/>
        <v>0</v>
      </c>
      <c r="W293">
        <f t="shared" si="242"/>
        <v>0</v>
      </c>
      <c r="X293">
        <f t="shared" si="243"/>
        <v>374.1</v>
      </c>
      <c r="Y293">
        <f t="shared" si="243"/>
        <v>53.44</v>
      </c>
      <c r="AA293">
        <v>-1</v>
      </c>
      <c r="AB293">
        <f t="shared" si="244"/>
        <v>102119.92</v>
      </c>
      <c r="AC293">
        <f t="shared" si="245"/>
        <v>91375.95</v>
      </c>
      <c r="AD293">
        <f t="shared" si="246"/>
        <v>660.3</v>
      </c>
      <c r="AE293">
        <f t="shared" si="247"/>
        <v>30.54</v>
      </c>
      <c r="AF293">
        <f t="shared" si="247"/>
        <v>10083.67</v>
      </c>
      <c r="AG293">
        <f t="shared" si="248"/>
        <v>0</v>
      </c>
      <c r="AH293">
        <f t="shared" si="249"/>
        <v>52.67</v>
      </c>
      <c r="AI293">
        <f t="shared" si="249"/>
        <v>0</v>
      </c>
      <c r="AJ293">
        <f t="shared" si="250"/>
        <v>0</v>
      </c>
      <c r="AK293">
        <v>102119.92</v>
      </c>
      <c r="AL293">
        <v>91375.95</v>
      </c>
      <c r="AM293">
        <v>660.3</v>
      </c>
      <c r="AN293">
        <v>30.54</v>
      </c>
      <c r="AO293">
        <v>10083.67</v>
      </c>
      <c r="AP293">
        <v>0</v>
      </c>
      <c r="AQ293">
        <v>52.67</v>
      </c>
      <c r="AR293">
        <v>0</v>
      </c>
      <c r="AS293">
        <v>0</v>
      </c>
      <c r="AT293">
        <v>70</v>
      </c>
      <c r="AU293">
        <v>10</v>
      </c>
      <c r="AV293">
        <v>1</v>
      </c>
      <c r="AW293">
        <v>1</v>
      </c>
      <c r="AZ293">
        <v>1</v>
      </c>
      <c r="BA293">
        <v>1</v>
      </c>
      <c r="BB293">
        <v>1</v>
      </c>
      <c r="BC293">
        <v>1</v>
      </c>
      <c r="BD293" t="s">
        <v>3</v>
      </c>
      <c r="BE293" t="s">
        <v>3</v>
      </c>
      <c r="BF293" t="s">
        <v>3</v>
      </c>
      <c r="BG293" t="s">
        <v>3</v>
      </c>
      <c r="BH293">
        <v>0</v>
      </c>
      <c r="BI293">
        <v>4</v>
      </c>
      <c r="BJ293" t="s">
        <v>306</v>
      </c>
      <c r="BM293">
        <v>0</v>
      </c>
      <c r="BN293">
        <v>0</v>
      </c>
      <c r="BO293" t="s">
        <v>3</v>
      </c>
      <c r="BP293">
        <v>0</v>
      </c>
      <c r="BQ293">
        <v>1</v>
      </c>
      <c r="BR293">
        <v>0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 t="s">
        <v>3</v>
      </c>
      <c r="BZ293">
        <v>70</v>
      </c>
      <c r="CA293">
        <v>10</v>
      </c>
      <c r="CE293">
        <v>0</v>
      </c>
      <c r="CF293">
        <v>0</v>
      </c>
      <c r="CG293">
        <v>0</v>
      </c>
      <c r="CM293">
        <v>0</v>
      </c>
      <c r="CN293" t="s">
        <v>3</v>
      </c>
      <c r="CO293">
        <v>0</v>
      </c>
      <c r="CP293">
        <f t="shared" si="251"/>
        <v>5412.3600000000006</v>
      </c>
      <c r="CQ293">
        <f t="shared" si="252"/>
        <v>91375.95</v>
      </c>
      <c r="CR293">
        <f t="shared" si="253"/>
        <v>660.3</v>
      </c>
      <c r="CS293">
        <f t="shared" si="254"/>
        <v>30.54</v>
      </c>
      <c r="CT293">
        <f t="shared" si="255"/>
        <v>10083.67</v>
      </c>
      <c r="CU293">
        <f t="shared" si="256"/>
        <v>0</v>
      </c>
      <c r="CV293">
        <f t="shared" si="257"/>
        <v>52.67</v>
      </c>
      <c r="CW293">
        <f t="shared" si="258"/>
        <v>0</v>
      </c>
      <c r="CX293">
        <f t="shared" si="258"/>
        <v>0</v>
      </c>
      <c r="CY293">
        <f t="shared" si="259"/>
        <v>374.101</v>
      </c>
      <c r="CZ293">
        <f t="shared" si="260"/>
        <v>53.442999999999991</v>
      </c>
      <c r="DC293" t="s">
        <v>3</v>
      </c>
      <c r="DD293" t="s">
        <v>3</v>
      </c>
      <c r="DE293" t="s">
        <v>3</v>
      </c>
      <c r="DF293" t="s">
        <v>3</v>
      </c>
      <c r="DG293" t="s">
        <v>3</v>
      </c>
      <c r="DH293" t="s">
        <v>3</v>
      </c>
      <c r="DI293" t="s">
        <v>3</v>
      </c>
      <c r="DJ293" t="s">
        <v>3</v>
      </c>
      <c r="DK293" t="s">
        <v>3</v>
      </c>
      <c r="DL293" t="s">
        <v>3</v>
      </c>
      <c r="DM293" t="s">
        <v>3</v>
      </c>
      <c r="DN293">
        <v>0</v>
      </c>
      <c r="DO293">
        <v>0</v>
      </c>
      <c r="DP293">
        <v>1</v>
      </c>
      <c r="DQ293">
        <v>1</v>
      </c>
      <c r="DU293">
        <v>1005</v>
      </c>
      <c r="DV293" t="s">
        <v>28</v>
      </c>
      <c r="DW293" t="s">
        <v>28</v>
      </c>
      <c r="DX293">
        <v>100</v>
      </c>
      <c r="EE293">
        <v>67874524</v>
      </c>
      <c r="EF293">
        <v>1</v>
      </c>
      <c r="EG293" t="s">
        <v>20</v>
      </c>
      <c r="EH293">
        <v>0</v>
      </c>
      <c r="EI293" t="s">
        <v>3</v>
      </c>
      <c r="EJ293">
        <v>4</v>
      </c>
      <c r="EK293">
        <v>0</v>
      </c>
      <c r="EL293" t="s">
        <v>21</v>
      </c>
      <c r="EM293" t="s">
        <v>22</v>
      </c>
      <c r="EO293" t="s">
        <v>3</v>
      </c>
      <c r="EQ293">
        <v>1024</v>
      </c>
      <c r="ER293">
        <v>102119.92</v>
      </c>
      <c r="ES293">
        <v>91375.95</v>
      </c>
      <c r="ET293">
        <v>660.3</v>
      </c>
      <c r="EU293">
        <v>30.54</v>
      </c>
      <c r="EV293">
        <v>10083.67</v>
      </c>
      <c r="EW293">
        <v>52.67</v>
      </c>
      <c r="EX293">
        <v>0</v>
      </c>
      <c r="EY293">
        <v>0</v>
      </c>
      <c r="FQ293">
        <v>0</v>
      </c>
      <c r="FR293">
        <f t="shared" si="261"/>
        <v>0</v>
      </c>
      <c r="FS293">
        <v>0</v>
      </c>
      <c r="FX293">
        <v>70</v>
      </c>
      <c r="FY293">
        <v>10</v>
      </c>
      <c r="GA293" t="s">
        <v>3</v>
      </c>
      <c r="GD293">
        <v>0</v>
      </c>
      <c r="GF293">
        <v>700891398</v>
      </c>
      <c r="GG293">
        <v>2</v>
      </c>
      <c r="GH293">
        <v>1</v>
      </c>
      <c r="GI293">
        <v>-2</v>
      </c>
      <c r="GJ293">
        <v>0</v>
      </c>
      <c r="GK293">
        <f>ROUND(R293*(R12)/100,2)</f>
        <v>1.75</v>
      </c>
      <c r="GL293">
        <f t="shared" si="262"/>
        <v>0</v>
      </c>
      <c r="GM293">
        <f t="shared" si="263"/>
        <v>5841.65</v>
      </c>
      <c r="GN293">
        <f t="shared" si="264"/>
        <v>0</v>
      </c>
      <c r="GO293">
        <f t="shared" si="265"/>
        <v>0</v>
      </c>
      <c r="GP293">
        <f t="shared" si="266"/>
        <v>5841.65</v>
      </c>
      <c r="GR293">
        <v>0</v>
      </c>
      <c r="GS293">
        <v>3</v>
      </c>
      <c r="GT293">
        <v>0</v>
      </c>
      <c r="GU293" t="s">
        <v>3</v>
      </c>
      <c r="GV293">
        <f t="shared" si="267"/>
        <v>0</v>
      </c>
      <c r="GW293">
        <v>1</v>
      </c>
      <c r="GX293">
        <f t="shared" si="268"/>
        <v>0</v>
      </c>
      <c r="HA293">
        <v>0</v>
      </c>
      <c r="HB293">
        <v>0</v>
      </c>
      <c r="HC293">
        <f t="shared" si="269"/>
        <v>0</v>
      </c>
      <c r="IK293">
        <v>0</v>
      </c>
    </row>
    <row r="294" spans="1:245" x14ac:dyDescent="0.2">
      <c r="A294">
        <v>18</v>
      </c>
      <c r="B294">
        <v>1</v>
      </c>
      <c r="C294">
        <v>59</v>
      </c>
      <c r="E294" t="s">
        <v>3</v>
      </c>
      <c r="F294" t="s">
        <v>308</v>
      </c>
      <c r="G294" t="s">
        <v>309</v>
      </c>
      <c r="H294" t="s">
        <v>35</v>
      </c>
      <c r="I294">
        <f>I293*J294</f>
        <v>0.27825</v>
      </c>
      <c r="J294">
        <v>5.25</v>
      </c>
      <c r="O294">
        <f t="shared" si="234"/>
        <v>1087.31</v>
      </c>
      <c r="P294">
        <f t="shared" si="235"/>
        <v>1087.31</v>
      </c>
      <c r="Q294">
        <f t="shared" si="236"/>
        <v>0</v>
      </c>
      <c r="R294">
        <f t="shared" si="237"/>
        <v>0</v>
      </c>
      <c r="S294">
        <f t="shared" si="238"/>
        <v>0</v>
      </c>
      <c r="T294">
        <f t="shared" si="239"/>
        <v>0</v>
      </c>
      <c r="U294">
        <f t="shared" si="240"/>
        <v>0</v>
      </c>
      <c r="V294">
        <f t="shared" si="241"/>
        <v>0</v>
      </c>
      <c r="W294">
        <f t="shared" si="242"/>
        <v>0</v>
      </c>
      <c r="X294">
        <f t="shared" si="243"/>
        <v>0</v>
      </c>
      <c r="Y294">
        <f t="shared" si="243"/>
        <v>0</v>
      </c>
      <c r="AA294">
        <v>-1</v>
      </c>
      <c r="AB294">
        <f t="shared" si="244"/>
        <v>3907.67</v>
      </c>
      <c r="AC294">
        <f t="shared" si="245"/>
        <v>3907.67</v>
      </c>
      <c r="AD294">
        <f t="shared" si="246"/>
        <v>0</v>
      </c>
      <c r="AE294">
        <f t="shared" si="247"/>
        <v>0</v>
      </c>
      <c r="AF294">
        <f t="shared" si="247"/>
        <v>0</v>
      </c>
      <c r="AG294">
        <f t="shared" si="248"/>
        <v>0</v>
      </c>
      <c r="AH294">
        <f t="shared" si="249"/>
        <v>0</v>
      </c>
      <c r="AI294">
        <f t="shared" si="249"/>
        <v>0</v>
      </c>
      <c r="AJ294">
        <f t="shared" si="250"/>
        <v>0</v>
      </c>
      <c r="AK294">
        <v>3907.67</v>
      </c>
      <c r="AL294">
        <v>3907.67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70</v>
      </c>
      <c r="AU294">
        <v>10</v>
      </c>
      <c r="AV294">
        <v>1</v>
      </c>
      <c r="AW294">
        <v>1</v>
      </c>
      <c r="AZ294">
        <v>1</v>
      </c>
      <c r="BA294">
        <v>1</v>
      </c>
      <c r="BB294">
        <v>1</v>
      </c>
      <c r="BC294">
        <v>1</v>
      </c>
      <c r="BD294" t="s">
        <v>3</v>
      </c>
      <c r="BE294" t="s">
        <v>3</v>
      </c>
      <c r="BF294" t="s">
        <v>3</v>
      </c>
      <c r="BG294" t="s">
        <v>3</v>
      </c>
      <c r="BH294">
        <v>3</v>
      </c>
      <c r="BI294">
        <v>4</v>
      </c>
      <c r="BJ294" t="s">
        <v>310</v>
      </c>
      <c r="BM294">
        <v>0</v>
      </c>
      <c r="BN294">
        <v>0</v>
      </c>
      <c r="BO294" t="s">
        <v>3</v>
      </c>
      <c r="BP294">
        <v>0</v>
      </c>
      <c r="BQ294">
        <v>1</v>
      </c>
      <c r="BR294">
        <v>0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 t="s">
        <v>3</v>
      </c>
      <c r="BZ294">
        <v>70</v>
      </c>
      <c r="CA294">
        <v>10</v>
      </c>
      <c r="CE294">
        <v>0</v>
      </c>
      <c r="CF294">
        <v>0</v>
      </c>
      <c r="CG294">
        <v>0</v>
      </c>
      <c r="CM294">
        <v>0</v>
      </c>
      <c r="CN294" t="s">
        <v>3</v>
      </c>
      <c r="CO294">
        <v>0</v>
      </c>
      <c r="CP294">
        <f t="shared" si="251"/>
        <v>1087.31</v>
      </c>
      <c r="CQ294">
        <f t="shared" si="252"/>
        <v>3907.67</v>
      </c>
      <c r="CR294">
        <f t="shared" si="253"/>
        <v>0</v>
      </c>
      <c r="CS294">
        <f t="shared" si="254"/>
        <v>0</v>
      </c>
      <c r="CT294">
        <f t="shared" si="255"/>
        <v>0</v>
      </c>
      <c r="CU294">
        <f t="shared" si="256"/>
        <v>0</v>
      </c>
      <c r="CV294">
        <f t="shared" si="257"/>
        <v>0</v>
      </c>
      <c r="CW294">
        <f t="shared" si="258"/>
        <v>0</v>
      </c>
      <c r="CX294">
        <f t="shared" si="258"/>
        <v>0</v>
      </c>
      <c r="CY294">
        <f t="shared" si="259"/>
        <v>0</v>
      </c>
      <c r="CZ294">
        <f t="shared" si="260"/>
        <v>0</v>
      </c>
      <c r="DC294" t="s">
        <v>3</v>
      </c>
      <c r="DD294" t="s">
        <v>3</v>
      </c>
      <c r="DE294" t="s">
        <v>3</v>
      </c>
      <c r="DF294" t="s">
        <v>3</v>
      </c>
      <c r="DG294" t="s">
        <v>3</v>
      </c>
      <c r="DH294" t="s">
        <v>3</v>
      </c>
      <c r="DI294" t="s">
        <v>3</v>
      </c>
      <c r="DJ294" t="s">
        <v>3</v>
      </c>
      <c r="DK294" t="s">
        <v>3</v>
      </c>
      <c r="DL294" t="s">
        <v>3</v>
      </c>
      <c r="DM294" t="s">
        <v>3</v>
      </c>
      <c r="DN294">
        <v>0</v>
      </c>
      <c r="DO294">
        <v>0</v>
      </c>
      <c r="DP294">
        <v>1</v>
      </c>
      <c r="DQ294">
        <v>1</v>
      </c>
      <c r="DU294">
        <v>1009</v>
      </c>
      <c r="DV294" t="s">
        <v>35</v>
      </c>
      <c r="DW294" t="s">
        <v>35</v>
      </c>
      <c r="DX294">
        <v>1000</v>
      </c>
      <c r="EE294">
        <v>67874524</v>
      </c>
      <c r="EF294">
        <v>1</v>
      </c>
      <c r="EG294" t="s">
        <v>20</v>
      </c>
      <c r="EH294">
        <v>0</v>
      </c>
      <c r="EI294" t="s">
        <v>3</v>
      </c>
      <c r="EJ294">
        <v>4</v>
      </c>
      <c r="EK294">
        <v>0</v>
      </c>
      <c r="EL294" t="s">
        <v>21</v>
      </c>
      <c r="EM294" t="s">
        <v>22</v>
      </c>
      <c r="EO294" t="s">
        <v>3</v>
      </c>
      <c r="EQ294">
        <v>1024</v>
      </c>
      <c r="ER294">
        <v>3907.67</v>
      </c>
      <c r="ES294">
        <v>3907.67</v>
      </c>
      <c r="ET294">
        <v>0</v>
      </c>
      <c r="EU294">
        <v>0</v>
      </c>
      <c r="EV294">
        <v>0</v>
      </c>
      <c r="EW294">
        <v>0</v>
      </c>
      <c r="EX294">
        <v>0</v>
      </c>
      <c r="FQ294">
        <v>0</v>
      </c>
      <c r="FR294">
        <f t="shared" si="261"/>
        <v>0</v>
      </c>
      <c r="FS294">
        <v>0</v>
      </c>
      <c r="FX294">
        <v>70</v>
      </c>
      <c r="FY294">
        <v>10</v>
      </c>
      <c r="GA294" t="s">
        <v>3</v>
      </c>
      <c r="GD294">
        <v>0</v>
      </c>
      <c r="GF294">
        <v>921660342</v>
      </c>
      <c r="GG294">
        <v>2</v>
      </c>
      <c r="GH294">
        <v>1</v>
      </c>
      <c r="GI294">
        <v>-2</v>
      </c>
      <c r="GJ294">
        <v>0</v>
      </c>
      <c r="GK294">
        <f>ROUND(R294*(R12)/100,2)</f>
        <v>0</v>
      </c>
      <c r="GL294">
        <f t="shared" si="262"/>
        <v>0</v>
      </c>
      <c r="GM294">
        <f t="shared" si="263"/>
        <v>1087.31</v>
      </c>
      <c r="GN294">
        <f t="shared" si="264"/>
        <v>0</v>
      </c>
      <c r="GO294">
        <f t="shared" si="265"/>
        <v>0</v>
      </c>
      <c r="GP294">
        <f t="shared" si="266"/>
        <v>1087.31</v>
      </c>
      <c r="GR294">
        <v>0</v>
      </c>
      <c r="GS294">
        <v>3</v>
      </c>
      <c r="GT294">
        <v>0</v>
      </c>
      <c r="GU294" t="s">
        <v>3</v>
      </c>
      <c r="GV294">
        <f t="shared" si="267"/>
        <v>0</v>
      </c>
      <c r="GW294">
        <v>1</v>
      </c>
      <c r="GX294">
        <f t="shared" si="268"/>
        <v>0</v>
      </c>
      <c r="HA294">
        <v>0</v>
      </c>
      <c r="HB294">
        <v>0</v>
      </c>
      <c r="HC294">
        <f t="shared" si="269"/>
        <v>0</v>
      </c>
      <c r="IK294">
        <v>0</v>
      </c>
    </row>
    <row r="295" spans="1:245" x14ac:dyDescent="0.2">
      <c r="A295">
        <v>17</v>
      </c>
      <c r="B295">
        <v>1</v>
      </c>
      <c r="C295">
        <f>ROW(SmtRes!A63)</f>
        <v>63</v>
      </c>
      <c r="D295">
        <f>ROW(EtalonRes!A375)</f>
        <v>375</v>
      </c>
      <c r="E295" t="s">
        <v>321</v>
      </c>
      <c r="F295" t="s">
        <v>322</v>
      </c>
      <c r="G295" t="s">
        <v>323</v>
      </c>
      <c r="H295" t="s">
        <v>72</v>
      </c>
      <c r="I295">
        <f>ROUND((19)/100,9)</f>
        <v>0.19</v>
      </c>
      <c r="J295">
        <v>0</v>
      </c>
      <c r="O295">
        <f t="shared" si="234"/>
        <v>13620.39</v>
      </c>
      <c r="P295">
        <f t="shared" si="235"/>
        <v>10602.46</v>
      </c>
      <c r="Q295">
        <f t="shared" si="236"/>
        <v>0</v>
      </c>
      <c r="R295">
        <f t="shared" si="237"/>
        <v>0</v>
      </c>
      <c r="S295">
        <f t="shared" si="238"/>
        <v>3017.93</v>
      </c>
      <c r="T295">
        <f t="shared" si="239"/>
        <v>0</v>
      </c>
      <c r="U295">
        <f t="shared" si="240"/>
        <v>15.251299999999999</v>
      </c>
      <c r="V295">
        <f t="shared" si="241"/>
        <v>0</v>
      </c>
      <c r="W295">
        <f t="shared" si="242"/>
        <v>0</v>
      </c>
      <c r="X295">
        <f t="shared" si="243"/>
        <v>2112.5500000000002</v>
      </c>
      <c r="Y295">
        <f t="shared" si="243"/>
        <v>301.79000000000002</v>
      </c>
      <c r="AA295">
        <v>71209905</v>
      </c>
      <c r="AB295">
        <f t="shared" si="244"/>
        <v>71686.240000000005</v>
      </c>
      <c r="AC295">
        <f t="shared" si="245"/>
        <v>55802.41</v>
      </c>
      <c r="AD295">
        <f t="shared" si="246"/>
        <v>0</v>
      </c>
      <c r="AE295">
        <f t="shared" si="247"/>
        <v>0</v>
      </c>
      <c r="AF295">
        <f t="shared" si="247"/>
        <v>15883.83</v>
      </c>
      <c r="AG295">
        <f t="shared" si="248"/>
        <v>0</v>
      </c>
      <c r="AH295">
        <f t="shared" si="249"/>
        <v>80.27</v>
      </c>
      <c r="AI295">
        <f t="shared" si="249"/>
        <v>0</v>
      </c>
      <c r="AJ295">
        <f t="shared" si="250"/>
        <v>0</v>
      </c>
      <c r="AK295">
        <v>71686.240000000005</v>
      </c>
      <c r="AL295">
        <v>55802.41</v>
      </c>
      <c r="AM295">
        <v>0</v>
      </c>
      <c r="AN295">
        <v>0</v>
      </c>
      <c r="AO295">
        <v>15883.83</v>
      </c>
      <c r="AP295">
        <v>0</v>
      </c>
      <c r="AQ295">
        <v>80.27</v>
      </c>
      <c r="AR295">
        <v>0</v>
      </c>
      <c r="AS295">
        <v>0</v>
      </c>
      <c r="AT295">
        <v>70</v>
      </c>
      <c r="AU295">
        <v>10</v>
      </c>
      <c r="AV295">
        <v>1</v>
      </c>
      <c r="AW295">
        <v>1</v>
      </c>
      <c r="AZ295">
        <v>1</v>
      </c>
      <c r="BA295">
        <v>1</v>
      </c>
      <c r="BB295">
        <v>1</v>
      </c>
      <c r="BC295">
        <v>1</v>
      </c>
      <c r="BD295" t="s">
        <v>3</v>
      </c>
      <c r="BE295" t="s">
        <v>3</v>
      </c>
      <c r="BF295" t="s">
        <v>3</v>
      </c>
      <c r="BG295" t="s">
        <v>3</v>
      </c>
      <c r="BH295">
        <v>0</v>
      </c>
      <c r="BI295">
        <v>4</v>
      </c>
      <c r="BJ295" t="s">
        <v>324</v>
      </c>
      <c r="BM295">
        <v>0</v>
      </c>
      <c r="BN295">
        <v>0</v>
      </c>
      <c r="BO295" t="s">
        <v>3</v>
      </c>
      <c r="BP295">
        <v>0</v>
      </c>
      <c r="BQ295">
        <v>1</v>
      </c>
      <c r="BR295">
        <v>0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 t="s">
        <v>3</v>
      </c>
      <c r="BZ295">
        <v>70</v>
      </c>
      <c r="CA295">
        <v>10</v>
      </c>
      <c r="CE295">
        <v>0</v>
      </c>
      <c r="CF295">
        <v>0</v>
      </c>
      <c r="CG295">
        <v>0</v>
      </c>
      <c r="CM295">
        <v>0</v>
      </c>
      <c r="CN295" t="s">
        <v>3</v>
      </c>
      <c r="CO295">
        <v>0</v>
      </c>
      <c r="CP295">
        <f t="shared" si="251"/>
        <v>13620.39</v>
      </c>
      <c r="CQ295">
        <f t="shared" si="252"/>
        <v>55802.41</v>
      </c>
      <c r="CR295">
        <f t="shared" si="253"/>
        <v>0</v>
      </c>
      <c r="CS295">
        <f t="shared" si="254"/>
        <v>0</v>
      </c>
      <c r="CT295">
        <f t="shared" si="255"/>
        <v>15883.83</v>
      </c>
      <c r="CU295">
        <f t="shared" si="256"/>
        <v>0</v>
      </c>
      <c r="CV295">
        <f t="shared" si="257"/>
        <v>80.27</v>
      </c>
      <c r="CW295">
        <f t="shared" si="258"/>
        <v>0</v>
      </c>
      <c r="CX295">
        <f t="shared" si="258"/>
        <v>0</v>
      </c>
      <c r="CY295">
        <f t="shared" si="259"/>
        <v>2112.5509999999999</v>
      </c>
      <c r="CZ295">
        <f t="shared" si="260"/>
        <v>301.79300000000001</v>
      </c>
      <c r="DC295" t="s">
        <v>3</v>
      </c>
      <c r="DD295" t="s">
        <v>3</v>
      </c>
      <c r="DE295" t="s">
        <v>3</v>
      </c>
      <c r="DF295" t="s">
        <v>3</v>
      </c>
      <c r="DG295" t="s">
        <v>3</v>
      </c>
      <c r="DH295" t="s">
        <v>3</v>
      </c>
      <c r="DI295" t="s">
        <v>3</v>
      </c>
      <c r="DJ295" t="s">
        <v>3</v>
      </c>
      <c r="DK295" t="s">
        <v>3</v>
      </c>
      <c r="DL295" t="s">
        <v>3</v>
      </c>
      <c r="DM295" t="s">
        <v>3</v>
      </c>
      <c r="DN295">
        <v>0</v>
      </c>
      <c r="DO295">
        <v>0</v>
      </c>
      <c r="DP295">
        <v>1</v>
      </c>
      <c r="DQ295">
        <v>1</v>
      </c>
      <c r="DU295">
        <v>1003</v>
      </c>
      <c r="DV295" t="s">
        <v>72</v>
      </c>
      <c r="DW295" t="s">
        <v>72</v>
      </c>
      <c r="DX295">
        <v>100</v>
      </c>
      <c r="EE295">
        <v>67874524</v>
      </c>
      <c r="EF295">
        <v>1</v>
      </c>
      <c r="EG295" t="s">
        <v>20</v>
      </c>
      <c r="EH295">
        <v>0</v>
      </c>
      <c r="EI295" t="s">
        <v>3</v>
      </c>
      <c r="EJ295">
        <v>4</v>
      </c>
      <c r="EK295">
        <v>0</v>
      </c>
      <c r="EL295" t="s">
        <v>21</v>
      </c>
      <c r="EM295" t="s">
        <v>22</v>
      </c>
      <c r="EO295" t="s">
        <v>3</v>
      </c>
      <c r="EQ295">
        <v>0</v>
      </c>
      <c r="ER295">
        <v>71686.240000000005</v>
      </c>
      <c r="ES295">
        <v>55802.41</v>
      </c>
      <c r="ET295">
        <v>0</v>
      </c>
      <c r="EU295">
        <v>0</v>
      </c>
      <c r="EV295">
        <v>15883.83</v>
      </c>
      <c r="EW295">
        <v>80.27</v>
      </c>
      <c r="EX295">
        <v>0</v>
      </c>
      <c r="EY295">
        <v>0</v>
      </c>
      <c r="FQ295">
        <v>0</v>
      </c>
      <c r="FR295">
        <f t="shared" si="261"/>
        <v>0</v>
      </c>
      <c r="FS295">
        <v>0</v>
      </c>
      <c r="FX295">
        <v>70</v>
      </c>
      <c r="FY295">
        <v>10</v>
      </c>
      <c r="GA295" t="s">
        <v>3</v>
      </c>
      <c r="GD295">
        <v>0</v>
      </c>
      <c r="GF295">
        <v>-1703792518</v>
      </c>
      <c r="GG295">
        <v>2</v>
      </c>
      <c r="GH295">
        <v>1</v>
      </c>
      <c r="GI295">
        <v>-2</v>
      </c>
      <c r="GJ295">
        <v>0</v>
      </c>
      <c r="GK295">
        <f>ROUND(R295*(R12)/100,2)</f>
        <v>0</v>
      </c>
      <c r="GL295">
        <f t="shared" si="262"/>
        <v>0</v>
      </c>
      <c r="GM295">
        <f t="shared" si="263"/>
        <v>16034.73</v>
      </c>
      <c r="GN295">
        <f t="shared" si="264"/>
        <v>0</v>
      </c>
      <c r="GO295">
        <f t="shared" si="265"/>
        <v>0</v>
      </c>
      <c r="GP295">
        <f t="shared" si="266"/>
        <v>16034.73</v>
      </c>
      <c r="GR295">
        <v>0</v>
      </c>
      <c r="GS295">
        <v>3</v>
      </c>
      <c r="GT295">
        <v>0</v>
      </c>
      <c r="GU295" t="s">
        <v>3</v>
      </c>
      <c r="GV295">
        <f t="shared" si="267"/>
        <v>0</v>
      </c>
      <c r="GW295">
        <v>1</v>
      </c>
      <c r="GX295">
        <f t="shared" si="268"/>
        <v>0</v>
      </c>
      <c r="HA295">
        <v>0</v>
      </c>
      <c r="HB295">
        <v>0</v>
      </c>
      <c r="HC295">
        <f t="shared" si="269"/>
        <v>0</v>
      </c>
      <c r="IK295">
        <v>0</v>
      </c>
    </row>
    <row r="296" spans="1:245" x14ac:dyDescent="0.2">
      <c r="A296">
        <v>17</v>
      </c>
      <c r="B296">
        <v>1</v>
      </c>
      <c r="D296">
        <f>ROW(EtalonRes!A380)</f>
        <v>380</v>
      </c>
      <c r="E296" t="s">
        <v>3</v>
      </c>
      <c r="F296" t="s">
        <v>325</v>
      </c>
      <c r="G296" t="s">
        <v>326</v>
      </c>
      <c r="H296" t="s">
        <v>72</v>
      </c>
      <c r="I296">
        <f>ROUND(19/100,9)</f>
        <v>0.19</v>
      </c>
      <c r="J296">
        <v>0</v>
      </c>
      <c r="O296">
        <f t="shared" si="234"/>
        <v>8986.7199999999993</v>
      </c>
      <c r="P296">
        <f t="shared" si="235"/>
        <v>6141.26</v>
      </c>
      <c r="Q296">
        <f t="shared" si="236"/>
        <v>36.380000000000003</v>
      </c>
      <c r="R296">
        <f t="shared" si="237"/>
        <v>19.75</v>
      </c>
      <c r="S296">
        <f t="shared" si="238"/>
        <v>2809.08</v>
      </c>
      <c r="T296">
        <f t="shared" si="239"/>
        <v>0</v>
      </c>
      <c r="U296">
        <f t="shared" si="240"/>
        <v>13.862399999999999</v>
      </c>
      <c r="V296">
        <f t="shared" si="241"/>
        <v>0</v>
      </c>
      <c r="W296">
        <f t="shared" si="242"/>
        <v>0</v>
      </c>
      <c r="X296">
        <f t="shared" si="243"/>
        <v>1966.36</v>
      </c>
      <c r="Y296">
        <f t="shared" si="243"/>
        <v>280.91000000000003</v>
      </c>
      <c r="AA296">
        <v>-1</v>
      </c>
      <c r="AB296">
        <f t="shared" si="244"/>
        <v>47298.5</v>
      </c>
      <c r="AC296">
        <f t="shared" si="245"/>
        <v>32322.400000000001</v>
      </c>
      <c r="AD296">
        <f t="shared" si="246"/>
        <v>191.49</v>
      </c>
      <c r="AE296">
        <f t="shared" si="247"/>
        <v>103.96</v>
      </c>
      <c r="AF296">
        <f t="shared" si="247"/>
        <v>14784.61</v>
      </c>
      <c r="AG296">
        <f t="shared" si="248"/>
        <v>0</v>
      </c>
      <c r="AH296">
        <f t="shared" si="249"/>
        <v>72.959999999999994</v>
      </c>
      <c r="AI296">
        <f t="shared" si="249"/>
        <v>0</v>
      </c>
      <c r="AJ296">
        <f t="shared" si="250"/>
        <v>0</v>
      </c>
      <c r="AK296">
        <v>47298.5</v>
      </c>
      <c r="AL296">
        <v>32322.400000000001</v>
      </c>
      <c r="AM296">
        <v>191.49</v>
      </c>
      <c r="AN296">
        <v>103.96</v>
      </c>
      <c r="AO296">
        <v>14784.61</v>
      </c>
      <c r="AP296">
        <v>0</v>
      </c>
      <c r="AQ296">
        <v>72.959999999999994</v>
      </c>
      <c r="AR296">
        <v>0</v>
      </c>
      <c r="AS296">
        <v>0</v>
      </c>
      <c r="AT296">
        <v>70</v>
      </c>
      <c r="AU296">
        <v>10</v>
      </c>
      <c r="AV296">
        <v>1</v>
      </c>
      <c r="AW296">
        <v>1</v>
      </c>
      <c r="AZ296">
        <v>1</v>
      </c>
      <c r="BA296">
        <v>1</v>
      </c>
      <c r="BB296">
        <v>1</v>
      </c>
      <c r="BC296">
        <v>1</v>
      </c>
      <c r="BD296" t="s">
        <v>3</v>
      </c>
      <c r="BE296" t="s">
        <v>3</v>
      </c>
      <c r="BF296" t="s">
        <v>3</v>
      </c>
      <c r="BG296" t="s">
        <v>3</v>
      </c>
      <c r="BH296">
        <v>0</v>
      </c>
      <c r="BI296">
        <v>4</v>
      </c>
      <c r="BJ296" t="s">
        <v>327</v>
      </c>
      <c r="BM296">
        <v>0</v>
      </c>
      <c r="BN296">
        <v>0</v>
      </c>
      <c r="BO296" t="s">
        <v>3</v>
      </c>
      <c r="BP296">
        <v>0</v>
      </c>
      <c r="BQ296">
        <v>1</v>
      </c>
      <c r="BR296">
        <v>0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 t="s">
        <v>3</v>
      </c>
      <c r="BZ296">
        <v>70</v>
      </c>
      <c r="CA296">
        <v>10</v>
      </c>
      <c r="CE296">
        <v>0</v>
      </c>
      <c r="CF296">
        <v>0</v>
      </c>
      <c r="CG296">
        <v>0</v>
      </c>
      <c r="CM296">
        <v>0</v>
      </c>
      <c r="CN296" t="s">
        <v>3</v>
      </c>
      <c r="CO296">
        <v>0</v>
      </c>
      <c r="CP296">
        <f t="shared" si="251"/>
        <v>8986.7200000000012</v>
      </c>
      <c r="CQ296">
        <f t="shared" si="252"/>
        <v>32322.400000000001</v>
      </c>
      <c r="CR296">
        <f t="shared" si="253"/>
        <v>191.49</v>
      </c>
      <c r="CS296">
        <f t="shared" si="254"/>
        <v>103.96</v>
      </c>
      <c r="CT296">
        <f t="shared" si="255"/>
        <v>14784.61</v>
      </c>
      <c r="CU296">
        <f t="shared" si="256"/>
        <v>0</v>
      </c>
      <c r="CV296">
        <f t="shared" si="257"/>
        <v>72.959999999999994</v>
      </c>
      <c r="CW296">
        <f t="shared" si="258"/>
        <v>0</v>
      </c>
      <c r="CX296">
        <f t="shared" si="258"/>
        <v>0</v>
      </c>
      <c r="CY296">
        <f t="shared" si="259"/>
        <v>1966.356</v>
      </c>
      <c r="CZ296">
        <f t="shared" si="260"/>
        <v>280.90800000000002</v>
      </c>
      <c r="DC296" t="s">
        <v>3</v>
      </c>
      <c r="DD296" t="s">
        <v>3</v>
      </c>
      <c r="DE296" t="s">
        <v>3</v>
      </c>
      <c r="DF296" t="s">
        <v>3</v>
      </c>
      <c r="DG296" t="s">
        <v>3</v>
      </c>
      <c r="DH296" t="s">
        <v>3</v>
      </c>
      <c r="DI296" t="s">
        <v>3</v>
      </c>
      <c r="DJ296" t="s">
        <v>3</v>
      </c>
      <c r="DK296" t="s">
        <v>3</v>
      </c>
      <c r="DL296" t="s">
        <v>3</v>
      </c>
      <c r="DM296" t="s">
        <v>3</v>
      </c>
      <c r="DN296">
        <v>0</v>
      </c>
      <c r="DO296">
        <v>0</v>
      </c>
      <c r="DP296">
        <v>1</v>
      </c>
      <c r="DQ296">
        <v>1</v>
      </c>
      <c r="DU296">
        <v>1003</v>
      </c>
      <c r="DV296" t="s">
        <v>72</v>
      </c>
      <c r="DW296" t="s">
        <v>72</v>
      </c>
      <c r="DX296">
        <v>100</v>
      </c>
      <c r="EE296">
        <v>67874524</v>
      </c>
      <c r="EF296">
        <v>1</v>
      </c>
      <c r="EG296" t="s">
        <v>20</v>
      </c>
      <c r="EH296">
        <v>0</v>
      </c>
      <c r="EI296" t="s">
        <v>3</v>
      </c>
      <c r="EJ296">
        <v>4</v>
      </c>
      <c r="EK296">
        <v>0</v>
      </c>
      <c r="EL296" t="s">
        <v>21</v>
      </c>
      <c r="EM296" t="s">
        <v>22</v>
      </c>
      <c r="EO296" t="s">
        <v>3</v>
      </c>
      <c r="EQ296">
        <v>1024</v>
      </c>
      <c r="ER296">
        <v>47298.5</v>
      </c>
      <c r="ES296">
        <v>32322.400000000001</v>
      </c>
      <c r="ET296">
        <v>191.49</v>
      </c>
      <c r="EU296">
        <v>103.96</v>
      </c>
      <c r="EV296">
        <v>14784.61</v>
      </c>
      <c r="EW296">
        <v>72.959999999999994</v>
      </c>
      <c r="EX296">
        <v>0</v>
      </c>
      <c r="EY296">
        <v>0</v>
      </c>
      <c r="FQ296">
        <v>0</v>
      </c>
      <c r="FR296">
        <f t="shared" si="261"/>
        <v>0</v>
      </c>
      <c r="FS296">
        <v>0</v>
      </c>
      <c r="FX296">
        <v>70</v>
      </c>
      <c r="FY296">
        <v>10</v>
      </c>
      <c r="GA296" t="s">
        <v>3</v>
      </c>
      <c r="GD296">
        <v>0</v>
      </c>
      <c r="GF296">
        <v>-881965415</v>
      </c>
      <c r="GG296">
        <v>2</v>
      </c>
      <c r="GH296">
        <v>1</v>
      </c>
      <c r="GI296">
        <v>-2</v>
      </c>
      <c r="GJ296">
        <v>0</v>
      </c>
      <c r="GK296">
        <f>ROUND(R296*(R12)/100,2)</f>
        <v>21.33</v>
      </c>
      <c r="GL296">
        <f t="shared" si="262"/>
        <v>0</v>
      </c>
      <c r="GM296">
        <f t="shared" si="263"/>
        <v>11255.32</v>
      </c>
      <c r="GN296">
        <f t="shared" si="264"/>
        <v>0</v>
      </c>
      <c r="GO296">
        <f t="shared" si="265"/>
        <v>0</v>
      </c>
      <c r="GP296">
        <f t="shared" si="266"/>
        <v>11255.32</v>
      </c>
      <c r="GR296">
        <v>0</v>
      </c>
      <c r="GS296">
        <v>3</v>
      </c>
      <c r="GT296">
        <v>0</v>
      </c>
      <c r="GU296" t="s">
        <v>3</v>
      </c>
      <c r="GV296">
        <f t="shared" si="267"/>
        <v>0</v>
      </c>
      <c r="GW296">
        <v>1</v>
      </c>
      <c r="GX296">
        <f t="shared" si="268"/>
        <v>0</v>
      </c>
      <c r="HA296">
        <v>0</v>
      </c>
      <c r="HB296">
        <v>0</v>
      </c>
      <c r="HC296">
        <f t="shared" si="269"/>
        <v>0</v>
      </c>
      <c r="IK296">
        <v>0</v>
      </c>
    </row>
    <row r="298" spans="1:245" x14ac:dyDescent="0.2">
      <c r="A298">
        <v>51</v>
      </c>
      <c r="B298">
        <f>B285</f>
        <v>1</v>
      </c>
      <c r="C298">
        <f>A285</f>
        <v>4</v>
      </c>
      <c r="D298">
        <f>ROW(A285)</f>
        <v>285</v>
      </c>
      <c r="F298" t="str">
        <f>IF(F285&lt;&gt;"",F285,"")</f>
        <v>Новый раздел</v>
      </c>
      <c r="G298" t="str">
        <f>IF(G285&lt;&gt;"",G285,"")</f>
        <v>Ремонт лестницы</v>
      </c>
      <c r="H298">
        <v>0</v>
      </c>
      <c r="O298">
        <f t="shared" ref="O298:T298" si="270">ROUND(AB298,2)</f>
        <v>22649.91</v>
      </c>
      <c r="P298">
        <f t="shared" si="270"/>
        <v>18170.88</v>
      </c>
      <c r="Q298">
        <f t="shared" si="270"/>
        <v>20.92</v>
      </c>
      <c r="R298">
        <f t="shared" si="270"/>
        <v>0.95</v>
      </c>
      <c r="S298">
        <f t="shared" si="270"/>
        <v>4458.1099999999997</v>
      </c>
      <c r="T298">
        <f t="shared" si="270"/>
        <v>0</v>
      </c>
      <c r="U298">
        <f>AH298</f>
        <v>22.35754</v>
      </c>
      <c r="V298">
        <f>AI298</f>
        <v>0</v>
      </c>
      <c r="W298">
        <f>ROUND(AJ298,2)</f>
        <v>0</v>
      </c>
      <c r="X298">
        <f>ROUND(AK298,2)</f>
        <v>3120.68</v>
      </c>
      <c r="Y298">
        <f>ROUND(AL298,2)</f>
        <v>445.81</v>
      </c>
      <c r="AB298">
        <f>ROUND(SUMIF(AA289:AA296,"=71209905",O289:O296),2)</f>
        <v>22649.91</v>
      </c>
      <c r="AC298">
        <f>ROUND(SUMIF(AA289:AA296,"=71209905",P289:P296),2)</f>
        <v>18170.88</v>
      </c>
      <c r="AD298">
        <f>ROUND(SUMIF(AA289:AA296,"=71209905",Q289:Q296),2)</f>
        <v>20.92</v>
      </c>
      <c r="AE298">
        <f>ROUND(SUMIF(AA289:AA296,"=71209905",R289:R296),2)</f>
        <v>0.95</v>
      </c>
      <c r="AF298">
        <f>ROUND(SUMIF(AA289:AA296,"=71209905",S289:S296),2)</f>
        <v>4458.1099999999997</v>
      </c>
      <c r="AG298">
        <f>ROUND(SUMIF(AA289:AA296,"=71209905",T289:T296),2)</f>
        <v>0</v>
      </c>
      <c r="AH298">
        <f>SUMIF(AA289:AA296,"=71209905",U289:U296)</f>
        <v>22.35754</v>
      </c>
      <c r="AI298">
        <f>SUMIF(AA289:AA296,"=71209905",V289:V296)</f>
        <v>0</v>
      </c>
      <c r="AJ298">
        <f>ROUND(SUMIF(AA289:AA296,"=71209905",W289:W296),2)</f>
        <v>0</v>
      </c>
      <c r="AK298">
        <f>ROUND(SUMIF(AA289:AA296,"=71209905",X289:X296),2)</f>
        <v>3120.68</v>
      </c>
      <c r="AL298">
        <f>ROUND(SUMIF(AA289:AA296,"=71209905",Y289:Y296),2)</f>
        <v>445.81</v>
      </c>
      <c r="AO298">
        <f t="shared" ref="AO298:BD298" si="271">ROUND(BX298,2)</f>
        <v>0</v>
      </c>
      <c r="AP298">
        <f t="shared" si="271"/>
        <v>0</v>
      </c>
      <c r="AQ298">
        <f t="shared" si="271"/>
        <v>0</v>
      </c>
      <c r="AR298">
        <f t="shared" si="271"/>
        <v>26217.43</v>
      </c>
      <c r="AS298">
        <f t="shared" si="271"/>
        <v>0</v>
      </c>
      <c r="AT298">
        <f t="shared" si="271"/>
        <v>0</v>
      </c>
      <c r="AU298">
        <f t="shared" si="271"/>
        <v>26217.43</v>
      </c>
      <c r="AV298">
        <f t="shared" si="271"/>
        <v>18170.88</v>
      </c>
      <c r="AW298">
        <f t="shared" si="271"/>
        <v>18170.88</v>
      </c>
      <c r="AX298">
        <f t="shared" si="271"/>
        <v>0</v>
      </c>
      <c r="AY298">
        <f t="shared" si="271"/>
        <v>18170.88</v>
      </c>
      <c r="AZ298">
        <f t="shared" si="271"/>
        <v>0</v>
      </c>
      <c r="BA298">
        <f t="shared" si="271"/>
        <v>0</v>
      </c>
      <c r="BB298">
        <f t="shared" si="271"/>
        <v>0</v>
      </c>
      <c r="BC298">
        <f t="shared" si="271"/>
        <v>0</v>
      </c>
      <c r="BD298">
        <f t="shared" si="271"/>
        <v>0</v>
      </c>
      <c r="BX298">
        <f>ROUND(SUMIF(AA289:AA296,"=71209905",FQ289:FQ296),2)</f>
        <v>0</v>
      </c>
      <c r="BY298">
        <f>ROUND(SUMIF(AA289:AA296,"=71209905",FR289:FR296),2)</f>
        <v>0</v>
      </c>
      <c r="BZ298">
        <f>ROUND(SUMIF(AA289:AA296,"=71209905",GL289:GL296),2)</f>
        <v>0</v>
      </c>
      <c r="CA298">
        <f>ROUND(SUMIF(AA289:AA296,"=71209905",GM289:GM296),2)</f>
        <v>26217.43</v>
      </c>
      <c r="CB298">
        <f>ROUND(SUMIF(AA289:AA296,"=71209905",GN289:GN296),2)</f>
        <v>0</v>
      </c>
      <c r="CC298">
        <f>ROUND(SUMIF(AA289:AA296,"=71209905",GO289:GO296),2)</f>
        <v>0</v>
      </c>
      <c r="CD298">
        <f>ROUND(SUMIF(AA289:AA296,"=71209905",GP289:GP296),2)</f>
        <v>26217.43</v>
      </c>
      <c r="CE298">
        <f>AC298-BX298</f>
        <v>18170.88</v>
      </c>
      <c r="CF298">
        <f>AC298-BY298</f>
        <v>18170.88</v>
      </c>
      <c r="CG298">
        <f>BX298-BZ298</f>
        <v>0</v>
      </c>
      <c r="CH298">
        <f>AC298-BX298-BY298+BZ298</f>
        <v>18170.88</v>
      </c>
      <c r="CI298">
        <f>BY298-BZ298</f>
        <v>0</v>
      </c>
      <c r="CJ298">
        <f>ROUND(SUMIF(AA289:AA296,"=71209905",GX289:GX296),2)</f>
        <v>0</v>
      </c>
      <c r="CK298">
        <f>ROUND(SUMIF(AA289:AA296,"=71209905",GY289:GY296),2)</f>
        <v>0</v>
      </c>
      <c r="CL298">
        <f>ROUND(SUMIF(AA289:AA296,"=71209905",GZ289:GZ296),2)</f>
        <v>0</v>
      </c>
      <c r="CM298">
        <f>ROUND(SUMIF(AA289:AA296,"=71209905",HD289:HD296),2)</f>
        <v>0</v>
      </c>
      <c r="GX298">
        <v>0</v>
      </c>
    </row>
    <row r="300" spans="1:245" x14ac:dyDescent="0.2">
      <c r="A300">
        <v>50</v>
      </c>
      <c r="B300">
        <v>0</v>
      </c>
      <c r="C300">
        <v>0</v>
      </c>
      <c r="D300">
        <v>1</v>
      </c>
      <c r="E300">
        <v>201</v>
      </c>
      <c r="F300">
        <f>ROUND(Source!O298,O300)</f>
        <v>22649.91</v>
      </c>
      <c r="G300" t="s">
        <v>142</v>
      </c>
      <c r="H300" t="s">
        <v>143</v>
      </c>
      <c r="K300">
        <v>201</v>
      </c>
      <c r="L300">
        <v>1</v>
      </c>
      <c r="M300">
        <v>3</v>
      </c>
      <c r="N300" t="s">
        <v>3</v>
      </c>
      <c r="O300">
        <v>2</v>
      </c>
    </row>
    <row r="301" spans="1:245" x14ac:dyDescent="0.2">
      <c r="A301">
        <v>50</v>
      </c>
      <c r="B301">
        <v>0</v>
      </c>
      <c r="C301">
        <v>0</v>
      </c>
      <c r="D301">
        <v>1</v>
      </c>
      <c r="E301">
        <v>202</v>
      </c>
      <c r="F301">
        <f>ROUND(Source!P298,O301)</f>
        <v>18170.88</v>
      </c>
      <c r="G301" t="s">
        <v>144</v>
      </c>
      <c r="H301" t="s">
        <v>145</v>
      </c>
      <c r="K301">
        <v>202</v>
      </c>
      <c r="L301">
        <v>2</v>
      </c>
      <c r="M301">
        <v>3</v>
      </c>
      <c r="N301" t="s">
        <v>3</v>
      </c>
      <c r="O301">
        <v>2</v>
      </c>
    </row>
    <row r="302" spans="1:245" x14ac:dyDescent="0.2">
      <c r="A302">
        <v>50</v>
      </c>
      <c r="B302">
        <v>0</v>
      </c>
      <c r="C302">
        <v>0</v>
      </c>
      <c r="D302">
        <v>1</v>
      </c>
      <c r="E302">
        <v>222</v>
      </c>
      <c r="F302">
        <f>ROUND(Source!AO298,O302)</f>
        <v>0</v>
      </c>
      <c r="G302" t="s">
        <v>146</v>
      </c>
      <c r="H302" t="s">
        <v>147</v>
      </c>
      <c r="K302">
        <v>222</v>
      </c>
      <c r="L302">
        <v>3</v>
      </c>
      <c r="M302">
        <v>3</v>
      </c>
      <c r="N302" t="s">
        <v>3</v>
      </c>
      <c r="O302">
        <v>2</v>
      </c>
    </row>
    <row r="303" spans="1:245" x14ac:dyDescent="0.2">
      <c r="A303">
        <v>50</v>
      </c>
      <c r="B303">
        <v>0</v>
      </c>
      <c r="C303">
        <v>0</v>
      </c>
      <c r="D303">
        <v>1</v>
      </c>
      <c r="E303">
        <v>225</v>
      </c>
      <c r="F303">
        <f>ROUND(Source!AV298,O303)</f>
        <v>18170.88</v>
      </c>
      <c r="G303" t="s">
        <v>148</v>
      </c>
      <c r="H303" t="s">
        <v>149</v>
      </c>
      <c r="K303">
        <v>225</v>
      </c>
      <c r="L303">
        <v>4</v>
      </c>
      <c r="M303">
        <v>3</v>
      </c>
      <c r="N303" t="s">
        <v>3</v>
      </c>
      <c r="O303">
        <v>2</v>
      </c>
    </row>
    <row r="304" spans="1:245" x14ac:dyDescent="0.2">
      <c r="A304">
        <v>50</v>
      </c>
      <c r="B304">
        <v>0</v>
      </c>
      <c r="C304">
        <v>0</v>
      </c>
      <c r="D304">
        <v>1</v>
      </c>
      <c r="E304">
        <v>226</v>
      </c>
      <c r="F304">
        <f>ROUND(Source!AW298,O304)</f>
        <v>18170.88</v>
      </c>
      <c r="G304" t="s">
        <v>150</v>
      </c>
      <c r="H304" t="s">
        <v>151</v>
      </c>
      <c r="K304">
        <v>226</v>
      </c>
      <c r="L304">
        <v>5</v>
      </c>
      <c r="M304">
        <v>3</v>
      </c>
      <c r="N304" t="s">
        <v>3</v>
      </c>
      <c r="O304">
        <v>2</v>
      </c>
    </row>
    <row r="305" spans="1:15" x14ac:dyDescent="0.2">
      <c r="A305">
        <v>50</v>
      </c>
      <c r="B305">
        <v>0</v>
      </c>
      <c r="C305">
        <v>0</v>
      </c>
      <c r="D305">
        <v>1</v>
      </c>
      <c r="E305">
        <v>227</v>
      </c>
      <c r="F305">
        <f>ROUND(Source!AX298,O305)</f>
        <v>0</v>
      </c>
      <c r="G305" t="s">
        <v>152</v>
      </c>
      <c r="H305" t="s">
        <v>153</v>
      </c>
      <c r="K305">
        <v>227</v>
      </c>
      <c r="L305">
        <v>6</v>
      </c>
      <c r="M305">
        <v>3</v>
      </c>
      <c r="N305" t="s">
        <v>3</v>
      </c>
      <c r="O305">
        <v>2</v>
      </c>
    </row>
    <row r="306" spans="1:15" x14ac:dyDescent="0.2">
      <c r="A306">
        <v>50</v>
      </c>
      <c r="B306">
        <v>0</v>
      </c>
      <c r="C306">
        <v>0</v>
      </c>
      <c r="D306">
        <v>1</v>
      </c>
      <c r="E306">
        <v>228</v>
      </c>
      <c r="F306">
        <f>ROUND(Source!AY298,O306)</f>
        <v>18170.88</v>
      </c>
      <c r="G306" t="s">
        <v>154</v>
      </c>
      <c r="H306" t="s">
        <v>155</v>
      </c>
      <c r="K306">
        <v>228</v>
      </c>
      <c r="L306">
        <v>7</v>
      </c>
      <c r="M306">
        <v>3</v>
      </c>
      <c r="N306" t="s">
        <v>3</v>
      </c>
      <c r="O306">
        <v>2</v>
      </c>
    </row>
    <row r="307" spans="1:15" x14ac:dyDescent="0.2">
      <c r="A307">
        <v>50</v>
      </c>
      <c r="B307">
        <v>0</v>
      </c>
      <c r="C307">
        <v>0</v>
      </c>
      <c r="D307">
        <v>1</v>
      </c>
      <c r="E307">
        <v>216</v>
      </c>
      <c r="F307">
        <f>ROUND(Source!AP298,O307)</f>
        <v>0</v>
      </c>
      <c r="G307" t="s">
        <v>156</v>
      </c>
      <c r="H307" t="s">
        <v>157</v>
      </c>
      <c r="K307">
        <v>216</v>
      </c>
      <c r="L307">
        <v>8</v>
      </c>
      <c r="M307">
        <v>3</v>
      </c>
      <c r="N307" t="s">
        <v>3</v>
      </c>
      <c r="O307">
        <v>2</v>
      </c>
    </row>
    <row r="308" spans="1:15" x14ac:dyDescent="0.2">
      <c r="A308">
        <v>50</v>
      </c>
      <c r="B308">
        <v>0</v>
      </c>
      <c r="C308">
        <v>0</v>
      </c>
      <c r="D308">
        <v>1</v>
      </c>
      <c r="E308">
        <v>223</v>
      </c>
      <c r="F308">
        <f>ROUND(Source!AQ298,O308)</f>
        <v>0</v>
      </c>
      <c r="G308" t="s">
        <v>158</v>
      </c>
      <c r="H308" t="s">
        <v>159</v>
      </c>
      <c r="K308">
        <v>223</v>
      </c>
      <c r="L308">
        <v>9</v>
      </c>
      <c r="M308">
        <v>3</v>
      </c>
      <c r="N308" t="s">
        <v>3</v>
      </c>
      <c r="O308">
        <v>2</v>
      </c>
    </row>
    <row r="309" spans="1:15" x14ac:dyDescent="0.2">
      <c r="A309">
        <v>50</v>
      </c>
      <c r="B309">
        <v>0</v>
      </c>
      <c r="C309">
        <v>0</v>
      </c>
      <c r="D309">
        <v>1</v>
      </c>
      <c r="E309">
        <v>229</v>
      </c>
      <c r="F309">
        <f>ROUND(Source!AZ298,O309)</f>
        <v>0</v>
      </c>
      <c r="G309" t="s">
        <v>160</v>
      </c>
      <c r="H309" t="s">
        <v>161</v>
      </c>
      <c r="K309">
        <v>229</v>
      </c>
      <c r="L309">
        <v>10</v>
      </c>
      <c r="M309">
        <v>3</v>
      </c>
      <c r="N309" t="s">
        <v>3</v>
      </c>
      <c r="O309">
        <v>2</v>
      </c>
    </row>
    <row r="310" spans="1:15" x14ac:dyDescent="0.2">
      <c r="A310">
        <v>50</v>
      </c>
      <c r="B310">
        <v>0</v>
      </c>
      <c r="C310">
        <v>0</v>
      </c>
      <c r="D310">
        <v>1</v>
      </c>
      <c r="E310">
        <v>203</v>
      </c>
      <c r="F310">
        <f>ROUND(Source!Q298,O310)</f>
        <v>20.92</v>
      </c>
      <c r="G310" t="s">
        <v>162</v>
      </c>
      <c r="H310" t="s">
        <v>163</v>
      </c>
      <c r="K310">
        <v>203</v>
      </c>
      <c r="L310">
        <v>11</v>
      </c>
      <c r="M310">
        <v>3</v>
      </c>
      <c r="N310" t="s">
        <v>3</v>
      </c>
      <c r="O310">
        <v>2</v>
      </c>
    </row>
    <row r="311" spans="1:15" x14ac:dyDescent="0.2">
      <c r="A311">
        <v>50</v>
      </c>
      <c r="B311">
        <v>0</v>
      </c>
      <c r="C311">
        <v>0</v>
      </c>
      <c r="D311">
        <v>1</v>
      </c>
      <c r="E311">
        <v>231</v>
      </c>
      <c r="F311">
        <f>ROUND(Source!BB298,O311)</f>
        <v>0</v>
      </c>
      <c r="G311" t="s">
        <v>164</v>
      </c>
      <c r="H311" t="s">
        <v>165</v>
      </c>
      <c r="K311">
        <v>231</v>
      </c>
      <c r="L311">
        <v>12</v>
      </c>
      <c r="M311">
        <v>3</v>
      </c>
      <c r="N311" t="s">
        <v>3</v>
      </c>
      <c r="O311">
        <v>2</v>
      </c>
    </row>
    <row r="312" spans="1:15" x14ac:dyDescent="0.2">
      <c r="A312">
        <v>50</v>
      </c>
      <c r="B312">
        <v>0</v>
      </c>
      <c r="C312">
        <v>0</v>
      </c>
      <c r="D312">
        <v>1</v>
      </c>
      <c r="E312">
        <v>204</v>
      </c>
      <c r="F312">
        <f>ROUND(Source!R298,O312)</f>
        <v>0.95</v>
      </c>
      <c r="G312" t="s">
        <v>166</v>
      </c>
      <c r="H312" t="s">
        <v>167</v>
      </c>
      <c r="K312">
        <v>204</v>
      </c>
      <c r="L312">
        <v>13</v>
      </c>
      <c r="M312">
        <v>3</v>
      </c>
      <c r="N312" t="s">
        <v>3</v>
      </c>
      <c r="O312">
        <v>2</v>
      </c>
    </row>
    <row r="313" spans="1:15" x14ac:dyDescent="0.2">
      <c r="A313">
        <v>50</v>
      </c>
      <c r="B313">
        <v>0</v>
      </c>
      <c r="C313">
        <v>0</v>
      </c>
      <c r="D313">
        <v>1</v>
      </c>
      <c r="E313">
        <v>205</v>
      </c>
      <c r="F313">
        <f>ROUND(Source!S298,O313)</f>
        <v>4458.1099999999997</v>
      </c>
      <c r="G313" t="s">
        <v>168</v>
      </c>
      <c r="H313" t="s">
        <v>169</v>
      </c>
      <c r="K313">
        <v>205</v>
      </c>
      <c r="L313">
        <v>14</v>
      </c>
      <c r="M313">
        <v>3</v>
      </c>
      <c r="N313" t="s">
        <v>3</v>
      </c>
      <c r="O313">
        <v>2</v>
      </c>
    </row>
    <row r="314" spans="1:15" x14ac:dyDescent="0.2">
      <c r="A314">
        <v>50</v>
      </c>
      <c r="B314">
        <v>0</v>
      </c>
      <c r="C314">
        <v>0</v>
      </c>
      <c r="D314">
        <v>1</v>
      </c>
      <c r="E314">
        <v>232</v>
      </c>
      <c r="F314">
        <f>ROUND(Source!BC298,O314)</f>
        <v>0</v>
      </c>
      <c r="G314" t="s">
        <v>170</v>
      </c>
      <c r="H314" t="s">
        <v>171</v>
      </c>
      <c r="K314">
        <v>232</v>
      </c>
      <c r="L314">
        <v>15</v>
      </c>
      <c r="M314">
        <v>3</v>
      </c>
      <c r="N314" t="s">
        <v>3</v>
      </c>
      <c r="O314">
        <v>2</v>
      </c>
    </row>
    <row r="315" spans="1:15" x14ac:dyDescent="0.2">
      <c r="A315">
        <v>50</v>
      </c>
      <c r="B315">
        <v>0</v>
      </c>
      <c r="C315">
        <v>0</v>
      </c>
      <c r="D315">
        <v>1</v>
      </c>
      <c r="E315">
        <v>214</v>
      </c>
      <c r="F315">
        <f>ROUND(Source!AS298,O315)</f>
        <v>0</v>
      </c>
      <c r="G315" t="s">
        <v>172</v>
      </c>
      <c r="H315" t="s">
        <v>173</v>
      </c>
      <c r="K315">
        <v>214</v>
      </c>
      <c r="L315">
        <v>16</v>
      </c>
      <c r="M315">
        <v>3</v>
      </c>
      <c r="N315" t="s">
        <v>3</v>
      </c>
      <c r="O315">
        <v>2</v>
      </c>
    </row>
    <row r="316" spans="1:15" x14ac:dyDescent="0.2">
      <c r="A316">
        <v>50</v>
      </c>
      <c r="B316">
        <v>0</v>
      </c>
      <c r="C316">
        <v>0</v>
      </c>
      <c r="D316">
        <v>1</v>
      </c>
      <c r="E316">
        <v>215</v>
      </c>
      <c r="F316">
        <f>ROUND(Source!AT298,O316)</f>
        <v>0</v>
      </c>
      <c r="G316" t="s">
        <v>174</v>
      </c>
      <c r="H316" t="s">
        <v>175</v>
      </c>
      <c r="K316">
        <v>215</v>
      </c>
      <c r="L316">
        <v>17</v>
      </c>
      <c r="M316">
        <v>3</v>
      </c>
      <c r="N316" t="s">
        <v>3</v>
      </c>
      <c r="O316">
        <v>2</v>
      </c>
    </row>
    <row r="317" spans="1:15" x14ac:dyDescent="0.2">
      <c r="A317">
        <v>50</v>
      </c>
      <c r="B317">
        <v>0</v>
      </c>
      <c r="C317">
        <v>0</v>
      </c>
      <c r="D317">
        <v>1</v>
      </c>
      <c r="E317">
        <v>217</v>
      </c>
      <c r="F317">
        <f>ROUND(Source!AU298,O317)</f>
        <v>26217.43</v>
      </c>
      <c r="G317" t="s">
        <v>176</v>
      </c>
      <c r="H317" t="s">
        <v>177</v>
      </c>
      <c r="K317">
        <v>217</v>
      </c>
      <c r="L317">
        <v>18</v>
      </c>
      <c r="M317">
        <v>3</v>
      </c>
      <c r="N317" t="s">
        <v>3</v>
      </c>
      <c r="O317">
        <v>2</v>
      </c>
    </row>
    <row r="318" spans="1:15" x14ac:dyDescent="0.2">
      <c r="A318">
        <v>50</v>
      </c>
      <c r="B318">
        <v>0</v>
      </c>
      <c r="C318">
        <v>0</v>
      </c>
      <c r="D318">
        <v>1</v>
      </c>
      <c r="E318">
        <v>230</v>
      </c>
      <c r="F318">
        <f>ROUND(Source!BA298,O318)</f>
        <v>0</v>
      </c>
      <c r="G318" t="s">
        <v>178</v>
      </c>
      <c r="H318" t="s">
        <v>179</v>
      </c>
      <c r="K318">
        <v>230</v>
      </c>
      <c r="L318">
        <v>19</v>
      </c>
      <c r="M318">
        <v>3</v>
      </c>
      <c r="N318" t="s">
        <v>3</v>
      </c>
      <c r="O318">
        <v>2</v>
      </c>
    </row>
    <row r="319" spans="1:15" x14ac:dyDescent="0.2">
      <c r="A319">
        <v>50</v>
      </c>
      <c r="B319">
        <v>0</v>
      </c>
      <c r="C319">
        <v>0</v>
      </c>
      <c r="D319">
        <v>1</v>
      </c>
      <c r="E319">
        <v>206</v>
      </c>
      <c r="F319">
        <f>ROUND(Source!T298,O319)</f>
        <v>0</v>
      </c>
      <c r="G319" t="s">
        <v>180</v>
      </c>
      <c r="H319" t="s">
        <v>181</v>
      </c>
      <c r="K319">
        <v>206</v>
      </c>
      <c r="L319">
        <v>20</v>
      </c>
      <c r="M319">
        <v>3</v>
      </c>
      <c r="N319" t="s">
        <v>3</v>
      </c>
      <c r="O319">
        <v>2</v>
      </c>
    </row>
    <row r="320" spans="1:15" x14ac:dyDescent="0.2">
      <c r="A320">
        <v>50</v>
      </c>
      <c r="B320">
        <v>0</v>
      </c>
      <c r="C320">
        <v>0</v>
      </c>
      <c r="D320">
        <v>1</v>
      </c>
      <c r="E320">
        <v>207</v>
      </c>
      <c r="F320">
        <f>Source!U298</f>
        <v>22.35754</v>
      </c>
      <c r="G320" t="s">
        <v>182</v>
      </c>
      <c r="H320" t="s">
        <v>183</v>
      </c>
      <c r="K320">
        <v>207</v>
      </c>
      <c r="L320">
        <v>21</v>
      </c>
      <c r="M320">
        <v>3</v>
      </c>
      <c r="N320" t="s">
        <v>3</v>
      </c>
      <c r="O320">
        <v>-1</v>
      </c>
    </row>
    <row r="321" spans="1:245" x14ac:dyDescent="0.2">
      <c r="A321">
        <v>50</v>
      </c>
      <c r="B321">
        <v>0</v>
      </c>
      <c r="C321">
        <v>0</v>
      </c>
      <c r="D321">
        <v>1</v>
      </c>
      <c r="E321">
        <v>208</v>
      </c>
      <c r="F321">
        <f>Source!V298</f>
        <v>0</v>
      </c>
      <c r="G321" t="s">
        <v>184</v>
      </c>
      <c r="H321" t="s">
        <v>185</v>
      </c>
      <c r="K321">
        <v>208</v>
      </c>
      <c r="L321">
        <v>22</v>
      </c>
      <c r="M321">
        <v>3</v>
      </c>
      <c r="N321" t="s">
        <v>3</v>
      </c>
      <c r="O321">
        <v>-1</v>
      </c>
    </row>
    <row r="322" spans="1:245" x14ac:dyDescent="0.2">
      <c r="A322">
        <v>50</v>
      </c>
      <c r="B322">
        <v>0</v>
      </c>
      <c r="C322">
        <v>0</v>
      </c>
      <c r="D322">
        <v>1</v>
      </c>
      <c r="E322">
        <v>209</v>
      </c>
      <c r="F322">
        <f>ROUND(Source!W298,O322)</f>
        <v>0</v>
      </c>
      <c r="G322" t="s">
        <v>186</v>
      </c>
      <c r="H322" t="s">
        <v>187</v>
      </c>
      <c r="K322">
        <v>209</v>
      </c>
      <c r="L322">
        <v>23</v>
      </c>
      <c r="M322">
        <v>3</v>
      </c>
      <c r="N322" t="s">
        <v>3</v>
      </c>
      <c r="O322">
        <v>2</v>
      </c>
    </row>
    <row r="323" spans="1:245" x14ac:dyDescent="0.2">
      <c r="A323">
        <v>50</v>
      </c>
      <c r="B323">
        <v>0</v>
      </c>
      <c r="C323">
        <v>0</v>
      </c>
      <c r="D323">
        <v>1</v>
      </c>
      <c r="E323">
        <v>233</v>
      </c>
      <c r="F323">
        <f>ROUND(Source!BD298,O323)</f>
        <v>0</v>
      </c>
      <c r="G323" t="s">
        <v>188</v>
      </c>
      <c r="H323" t="s">
        <v>189</v>
      </c>
      <c r="K323">
        <v>233</v>
      </c>
      <c r="L323">
        <v>24</v>
      </c>
      <c r="M323">
        <v>3</v>
      </c>
      <c r="N323" t="s">
        <v>3</v>
      </c>
      <c r="O323">
        <v>2</v>
      </c>
    </row>
    <row r="324" spans="1:245" x14ac:dyDescent="0.2">
      <c r="A324">
        <v>50</v>
      </c>
      <c r="B324">
        <v>0</v>
      </c>
      <c r="C324">
        <v>0</v>
      </c>
      <c r="D324">
        <v>1</v>
      </c>
      <c r="E324">
        <v>210</v>
      </c>
      <c r="F324">
        <f>ROUND(Source!X298,O324)</f>
        <v>3120.68</v>
      </c>
      <c r="G324" t="s">
        <v>190</v>
      </c>
      <c r="H324" t="s">
        <v>191</v>
      </c>
      <c r="K324">
        <v>210</v>
      </c>
      <c r="L324">
        <v>25</v>
      </c>
      <c r="M324">
        <v>3</v>
      </c>
      <c r="N324" t="s">
        <v>3</v>
      </c>
      <c r="O324">
        <v>2</v>
      </c>
    </row>
    <row r="325" spans="1:245" x14ac:dyDescent="0.2">
      <c r="A325">
        <v>50</v>
      </c>
      <c r="B325">
        <v>0</v>
      </c>
      <c r="C325">
        <v>0</v>
      </c>
      <c r="D325">
        <v>1</v>
      </c>
      <c r="E325">
        <v>211</v>
      </c>
      <c r="F325">
        <f>ROUND(Source!Y298,O325)</f>
        <v>445.81</v>
      </c>
      <c r="G325" t="s">
        <v>192</v>
      </c>
      <c r="H325" t="s">
        <v>193</v>
      </c>
      <c r="K325">
        <v>211</v>
      </c>
      <c r="L325">
        <v>26</v>
      </c>
      <c r="M325">
        <v>3</v>
      </c>
      <c r="N325" t="s">
        <v>3</v>
      </c>
      <c r="O325">
        <v>2</v>
      </c>
    </row>
    <row r="326" spans="1:245" x14ac:dyDescent="0.2">
      <c r="A326">
        <v>50</v>
      </c>
      <c r="B326">
        <v>0</v>
      </c>
      <c r="C326">
        <v>0</v>
      </c>
      <c r="D326">
        <v>1</v>
      </c>
      <c r="E326">
        <v>224</v>
      </c>
      <c r="F326">
        <f>ROUND(Source!AR298,O326)</f>
        <v>26217.43</v>
      </c>
      <c r="G326" t="s">
        <v>194</v>
      </c>
      <c r="H326" t="s">
        <v>195</v>
      </c>
      <c r="K326">
        <v>224</v>
      </c>
      <c r="L326">
        <v>27</v>
      </c>
      <c r="M326">
        <v>3</v>
      </c>
      <c r="N326" t="s">
        <v>3</v>
      </c>
      <c r="O326">
        <v>2</v>
      </c>
    </row>
    <row r="328" spans="1:245" x14ac:dyDescent="0.2">
      <c r="A328">
        <v>4</v>
      </c>
      <c r="B328">
        <v>1</v>
      </c>
      <c r="D328">
        <f>ROW(A336)</f>
        <v>336</v>
      </c>
      <c r="F328" t="s">
        <v>14</v>
      </c>
      <c r="G328" t="s">
        <v>328</v>
      </c>
      <c r="H328" t="s">
        <v>3</v>
      </c>
      <c r="I328">
        <v>0</v>
      </c>
      <c r="K328">
        <v>-1</v>
      </c>
      <c r="U328" t="s">
        <v>3</v>
      </c>
      <c r="V328">
        <v>0</v>
      </c>
      <c r="AB328" t="s">
        <v>3</v>
      </c>
      <c r="AC328" t="s">
        <v>3</v>
      </c>
      <c r="AD328" t="s">
        <v>3</v>
      </c>
      <c r="AE328" t="s">
        <v>3</v>
      </c>
      <c r="AF328" t="s">
        <v>3</v>
      </c>
      <c r="AG328" t="s">
        <v>3</v>
      </c>
      <c r="AP328" t="s">
        <v>3</v>
      </c>
      <c r="AQ328" t="s">
        <v>3</v>
      </c>
      <c r="AR328" t="s">
        <v>3</v>
      </c>
      <c r="AZ328" t="s">
        <v>3</v>
      </c>
      <c r="BB328" t="s">
        <v>3</v>
      </c>
      <c r="BC328" t="s">
        <v>3</v>
      </c>
      <c r="BD328" t="s">
        <v>3</v>
      </c>
      <c r="BE328" t="s">
        <v>3</v>
      </c>
      <c r="BF328" t="s">
        <v>3</v>
      </c>
      <c r="BG328" t="s">
        <v>3</v>
      </c>
      <c r="BH328" t="s">
        <v>3</v>
      </c>
      <c r="BI328" t="s">
        <v>3</v>
      </c>
      <c r="BJ328" t="s">
        <v>3</v>
      </c>
      <c r="BK328" t="s">
        <v>3</v>
      </c>
      <c r="BL328" t="s">
        <v>3</v>
      </c>
      <c r="BM328" t="s">
        <v>3</v>
      </c>
      <c r="BN328" t="s">
        <v>3</v>
      </c>
      <c r="BO328" t="s">
        <v>3</v>
      </c>
      <c r="BP328" t="s">
        <v>3</v>
      </c>
      <c r="BX328">
        <v>0</v>
      </c>
      <c r="CJ328">
        <v>0</v>
      </c>
    </row>
    <row r="330" spans="1:245" x14ac:dyDescent="0.2">
      <c r="A330">
        <v>52</v>
      </c>
      <c r="B330">
        <f t="shared" ref="B330:G330" si="272">B336</f>
        <v>1</v>
      </c>
      <c r="C330">
        <f t="shared" si="272"/>
        <v>4</v>
      </c>
      <c r="D330">
        <f t="shared" si="272"/>
        <v>328</v>
      </c>
      <c r="E330">
        <f t="shared" si="272"/>
        <v>0</v>
      </c>
      <c r="F330" t="str">
        <f t="shared" si="272"/>
        <v>Новый раздел</v>
      </c>
      <c r="G330" t="str">
        <f t="shared" si="272"/>
        <v>Установка садового бортового камня БР 100.20.8 на бетонное основание</v>
      </c>
      <c r="O330">
        <f t="shared" ref="O330:AT330" si="273">O336</f>
        <v>85034.54</v>
      </c>
      <c r="P330">
        <f t="shared" si="273"/>
        <v>59420.69</v>
      </c>
      <c r="Q330">
        <f t="shared" si="273"/>
        <v>1062.0999999999999</v>
      </c>
      <c r="R330">
        <f t="shared" si="273"/>
        <v>487.63</v>
      </c>
      <c r="S330">
        <f t="shared" si="273"/>
        <v>24551.75</v>
      </c>
      <c r="T330">
        <f t="shared" si="273"/>
        <v>0</v>
      </c>
      <c r="U330">
        <f t="shared" si="273"/>
        <v>121.28390399999998</v>
      </c>
      <c r="V330">
        <f t="shared" si="273"/>
        <v>0</v>
      </c>
      <c r="W330">
        <f t="shared" si="273"/>
        <v>0</v>
      </c>
      <c r="X330">
        <f t="shared" si="273"/>
        <v>17186.22</v>
      </c>
      <c r="Y330">
        <f t="shared" si="273"/>
        <v>2455.1799999999998</v>
      </c>
      <c r="Z330">
        <f t="shared" si="273"/>
        <v>0</v>
      </c>
      <c r="AA330">
        <f t="shared" si="273"/>
        <v>0</v>
      </c>
      <c r="AB330">
        <f t="shared" si="273"/>
        <v>85034.54</v>
      </c>
      <c r="AC330">
        <f t="shared" si="273"/>
        <v>59420.69</v>
      </c>
      <c r="AD330">
        <f t="shared" si="273"/>
        <v>1062.0999999999999</v>
      </c>
      <c r="AE330">
        <f t="shared" si="273"/>
        <v>487.63</v>
      </c>
      <c r="AF330">
        <f t="shared" si="273"/>
        <v>24551.75</v>
      </c>
      <c r="AG330">
        <f t="shared" si="273"/>
        <v>0</v>
      </c>
      <c r="AH330">
        <f t="shared" si="273"/>
        <v>121.28390399999998</v>
      </c>
      <c r="AI330">
        <f t="shared" si="273"/>
        <v>0</v>
      </c>
      <c r="AJ330">
        <f t="shared" si="273"/>
        <v>0</v>
      </c>
      <c r="AK330">
        <f t="shared" si="273"/>
        <v>17186.22</v>
      </c>
      <c r="AL330">
        <f t="shared" si="273"/>
        <v>2455.1799999999998</v>
      </c>
      <c r="AM330">
        <f t="shared" si="273"/>
        <v>0</v>
      </c>
      <c r="AN330">
        <f t="shared" si="273"/>
        <v>0</v>
      </c>
      <c r="AO330">
        <f t="shared" si="273"/>
        <v>0</v>
      </c>
      <c r="AP330">
        <f t="shared" si="273"/>
        <v>0</v>
      </c>
      <c r="AQ330">
        <f t="shared" si="273"/>
        <v>0</v>
      </c>
      <c r="AR330">
        <f t="shared" si="273"/>
        <v>105202.58</v>
      </c>
      <c r="AS330">
        <f t="shared" si="273"/>
        <v>0</v>
      </c>
      <c r="AT330">
        <f t="shared" si="273"/>
        <v>0</v>
      </c>
      <c r="AU330">
        <f t="shared" ref="AU330:BZ330" si="274">AU336</f>
        <v>105202.58</v>
      </c>
      <c r="AV330">
        <f t="shared" si="274"/>
        <v>59420.69</v>
      </c>
      <c r="AW330">
        <f t="shared" si="274"/>
        <v>59420.69</v>
      </c>
      <c r="AX330">
        <f t="shared" si="274"/>
        <v>0</v>
      </c>
      <c r="AY330">
        <f t="shared" si="274"/>
        <v>59420.69</v>
      </c>
      <c r="AZ330">
        <f t="shared" si="274"/>
        <v>0</v>
      </c>
      <c r="BA330">
        <f t="shared" si="274"/>
        <v>0</v>
      </c>
      <c r="BB330">
        <f t="shared" si="274"/>
        <v>0</v>
      </c>
      <c r="BC330">
        <f t="shared" si="274"/>
        <v>0</v>
      </c>
      <c r="BD330">
        <f t="shared" si="274"/>
        <v>0</v>
      </c>
      <c r="BE330">
        <f t="shared" si="274"/>
        <v>0</v>
      </c>
      <c r="BF330">
        <f t="shared" si="274"/>
        <v>0</v>
      </c>
      <c r="BG330">
        <f t="shared" si="274"/>
        <v>0</v>
      </c>
      <c r="BH330">
        <f t="shared" si="274"/>
        <v>0</v>
      </c>
      <c r="BI330">
        <f t="shared" si="274"/>
        <v>0</v>
      </c>
      <c r="BJ330">
        <f t="shared" si="274"/>
        <v>0</v>
      </c>
      <c r="BK330">
        <f t="shared" si="274"/>
        <v>0</v>
      </c>
      <c r="BL330">
        <f t="shared" si="274"/>
        <v>0</v>
      </c>
      <c r="BM330">
        <f t="shared" si="274"/>
        <v>0</v>
      </c>
      <c r="BN330">
        <f t="shared" si="274"/>
        <v>0</v>
      </c>
      <c r="BO330">
        <f t="shared" si="274"/>
        <v>0</v>
      </c>
      <c r="BP330">
        <f t="shared" si="274"/>
        <v>0</v>
      </c>
      <c r="BQ330">
        <f t="shared" si="274"/>
        <v>0</v>
      </c>
      <c r="BR330">
        <f t="shared" si="274"/>
        <v>0</v>
      </c>
      <c r="BS330">
        <f t="shared" si="274"/>
        <v>0</v>
      </c>
      <c r="BT330">
        <f t="shared" si="274"/>
        <v>0</v>
      </c>
      <c r="BU330">
        <f t="shared" si="274"/>
        <v>0</v>
      </c>
      <c r="BV330">
        <f t="shared" si="274"/>
        <v>0</v>
      </c>
      <c r="BW330">
        <f t="shared" si="274"/>
        <v>0</v>
      </c>
      <c r="BX330">
        <f t="shared" si="274"/>
        <v>0</v>
      </c>
      <c r="BY330">
        <f t="shared" si="274"/>
        <v>0</v>
      </c>
      <c r="BZ330">
        <f t="shared" si="274"/>
        <v>0</v>
      </c>
      <c r="CA330">
        <f t="shared" ref="CA330:DF330" si="275">CA336</f>
        <v>105202.58</v>
      </c>
      <c r="CB330">
        <f t="shared" si="275"/>
        <v>0</v>
      </c>
      <c r="CC330">
        <f t="shared" si="275"/>
        <v>0</v>
      </c>
      <c r="CD330">
        <f t="shared" si="275"/>
        <v>105202.58</v>
      </c>
      <c r="CE330">
        <f t="shared" si="275"/>
        <v>59420.69</v>
      </c>
      <c r="CF330">
        <f t="shared" si="275"/>
        <v>59420.69</v>
      </c>
      <c r="CG330">
        <f t="shared" si="275"/>
        <v>0</v>
      </c>
      <c r="CH330">
        <f t="shared" si="275"/>
        <v>59420.69</v>
      </c>
      <c r="CI330">
        <f t="shared" si="275"/>
        <v>0</v>
      </c>
      <c r="CJ330">
        <f t="shared" si="275"/>
        <v>0</v>
      </c>
      <c r="CK330">
        <f t="shared" si="275"/>
        <v>0</v>
      </c>
      <c r="CL330">
        <f t="shared" si="275"/>
        <v>0</v>
      </c>
      <c r="CM330">
        <f t="shared" si="275"/>
        <v>0</v>
      </c>
      <c r="CN330">
        <f t="shared" si="275"/>
        <v>0</v>
      </c>
      <c r="CO330">
        <f t="shared" si="275"/>
        <v>0</v>
      </c>
      <c r="CP330">
        <f t="shared" si="275"/>
        <v>0</v>
      </c>
      <c r="CQ330">
        <f t="shared" si="275"/>
        <v>0</v>
      </c>
      <c r="CR330">
        <f t="shared" si="275"/>
        <v>0</v>
      </c>
      <c r="CS330">
        <f t="shared" si="275"/>
        <v>0</v>
      </c>
      <c r="CT330">
        <f t="shared" si="275"/>
        <v>0</v>
      </c>
      <c r="CU330">
        <f t="shared" si="275"/>
        <v>0</v>
      </c>
      <c r="CV330">
        <f t="shared" si="275"/>
        <v>0</v>
      </c>
      <c r="CW330">
        <f t="shared" si="275"/>
        <v>0</v>
      </c>
      <c r="CX330">
        <f t="shared" si="275"/>
        <v>0</v>
      </c>
      <c r="CY330">
        <f t="shared" si="275"/>
        <v>0</v>
      </c>
      <c r="CZ330">
        <f t="shared" si="275"/>
        <v>0</v>
      </c>
      <c r="DA330">
        <f t="shared" si="275"/>
        <v>0</v>
      </c>
      <c r="DB330">
        <f t="shared" si="275"/>
        <v>0</v>
      </c>
      <c r="DC330">
        <f t="shared" si="275"/>
        <v>0</v>
      </c>
      <c r="DD330">
        <f t="shared" si="275"/>
        <v>0</v>
      </c>
      <c r="DE330">
        <f t="shared" si="275"/>
        <v>0</v>
      </c>
      <c r="DF330">
        <f t="shared" si="275"/>
        <v>0</v>
      </c>
      <c r="DG330">
        <f t="shared" ref="DG330:EL330" si="276">DG336</f>
        <v>0</v>
      </c>
      <c r="DH330">
        <f t="shared" si="276"/>
        <v>0</v>
      </c>
      <c r="DI330">
        <f t="shared" si="276"/>
        <v>0</v>
      </c>
      <c r="DJ330">
        <f t="shared" si="276"/>
        <v>0</v>
      </c>
      <c r="DK330">
        <f t="shared" si="276"/>
        <v>0</v>
      </c>
      <c r="DL330">
        <f t="shared" si="276"/>
        <v>0</v>
      </c>
      <c r="DM330">
        <f t="shared" si="276"/>
        <v>0</v>
      </c>
      <c r="DN330">
        <f t="shared" si="276"/>
        <v>0</v>
      </c>
      <c r="DO330">
        <f t="shared" si="276"/>
        <v>0</v>
      </c>
      <c r="DP330">
        <f t="shared" si="276"/>
        <v>0</v>
      </c>
      <c r="DQ330">
        <f t="shared" si="276"/>
        <v>0</v>
      </c>
      <c r="DR330">
        <f t="shared" si="276"/>
        <v>0</v>
      </c>
      <c r="DS330">
        <f t="shared" si="276"/>
        <v>0</v>
      </c>
      <c r="DT330">
        <f t="shared" si="276"/>
        <v>0</v>
      </c>
      <c r="DU330">
        <f t="shared" si="276"/>
        <v>0</v>
      </c>
      <c r="DV330">
        <f t="shared" si="276"/>
        <v>0</v>
      </c>
      <c r="DW330">
        <f t="shared" si="276"/>
        <v>0</v>
      </c>
      <c r="DX330">
        <f t="shared" si="276"/>
        <v>0</v>
      </c>
      <c r="DY330">
        <f t="shared" si="276"/>
        <v>0</v>
      </c>
      <c r="DZ330">
        <f t="shared" si="276"/>
        <v>0</v>
      </c>
      <c r="EA330">
        <f t="shared" si="276"/>
        <v>0</v>
      </c>
      <c r="EB330">
        <f t="shared" si="276"/>
        <v>0</v>
      </c>
      <c r="EC330">
        <f t="shared" si="276"/>
        <v>0</v>
      </c>
      <c r="ED330">
        <f t="shared" si="276"/>
        <v>0</v>
      </c>
      <c r="EE330">
        <f t="shared" si="276"/>
        <v>0</v>
      </c>
      <c r="EF330">
        <f t="shared" si="276"/>
        <v>0</v>
      </c>
      <c r="EG330">
        <f t="shared" si="276"/>
        <v>0</v>
      </c>
      <c r="EH330">
        <f t="shared" si="276"/>
        <v>0</v>
      </c>
      <c r="EI330">
        <f t="shared" si="276"/>
        <v>0</v>
      </c>
      <c r="EJ330">
        <f t="shared" si="276"/>
        <v>0</v>
      </c>
      <c r="EK330">
        <f t="shared" si="276"/>
        <v>0</v>
      </c>
      <c r="EL330">
        <f t="shared" si="276"/>
        <v>0</v>
      </c>
      <c r="EM330">
        <f t="shared" ref="EM330:FR330" si="277">EM336</f>
        <v>0</v>
      </c>
      <c r="EN330">
        <f t="shared" si="277"/>
        <v>0</v>
      </c>
      <c r="EO330">
        <f t="shared" si="277"/>
        <v>0</v>
      </c>
      <c r="EP330">
        <f t="shared" si="277"/>
        <v>0</v>
      </c>
      <c r="EQ330">
        <f t="shared" si="277"/>
        <v>0</v>
      </c>
      <c r="ER330">
        <f t="shared" si="277"/>
        <v>0</v>
      </c>
      <c r="ES330">
        <f t="shared" si="277"/>
        <v>0</v>
      </c>
      <c r="ET330">
        <f t="shared" si="277"/>
        <v>0</v>
      </c>
      <c r="EU330">
        <f t="shared" si="277"/>
        <v>0</v>
      </c>
      <c r="EV330">
        <f t="shared" si="277"/>
        <v>0</v>
      </c>
      <c r="EW330">
        <f t="shared" si="277"/>
        <v>0</v>
      </c>
      <c r="EX330">
        <f t="shared" si="277"/>
        <v>0</v>
      </c>
      <c r="EY330">
        <f t="shared" si="277"/>
        <v>0</v>
      </c>
      <c r="EZ330">
        <f t="shared" si="277"/>
        <v>0</v>
      </c>
      <c r="FA330">
        <f t="shared" si="277"/>
        <v>0</v>
      </c>
      <c r="FB330">
        <f t="shared" si="277"/>
        <v>0</v>
      </c>
      <c r="FC330">
        <f t="shared" si="277"/>
        <v>0</v>
      </c>
      <c r="FD330">
        <f t="shared" si="277"/>
        <v>0</v>
      </c>
      <c r="FE330">
        <f t="shared" si="277"/>
        <v>0</v>
      </c>
      <c r="FF330">
        <f t="shared" si="277"/>
        <v>0</v>
      </c>
      <c r="FG330">
        <f t="shared" si="277"/>
        <v>0</v>
      </c>
      <c r="FH330">
        <f t="shared" si="277"/>
        <v>0</v>
      </c>
      <c r="FI330">
        <f t="shared" si="277"/>
        <v>0</v>
      </c>
      <c r="FJ330">
        <f t="shared" si="277"/>
        <v>0</v>
      </c>
      <c r="FK330">
        <f t="shared" si="277"/>
        <v>0</v>
      </c>
      <c r="FL330">
        <f t="shared" si="277"/>
        <v>0</v>
      </c>
      <c r="FM330">
        <f t="shared" si="277"/>
        <v>0</v>
      </c>
      <c r="FN330">
        <f t="shared" si="277"/>
        <v>0</v>
      </c>
      <c r="FO330">
        <f t="shared" si="277"/>
        <v>0</v>
      </c>
      <c r="FP330">
        <f t="shared" si="277"/>
        <v>0</v>
      </c>
      <c r="FQ330">
        <f t="shared" si="277"/>
        <v>0</v>
      </c>
      <c r="FR330">
        <f t="shared" si="277"/>
        <v>0</v>
      </c>
      <c r="FS330">
        <f t="shared" ref="FS330:GX330" si="278">FS336</f>
        <v>0</v>
      </c>
      <c r="FT330">
        <f t="shared" si="278"/>
        <v>0</v>
      </c>
      <c r="FU330">
        <f t="shared" si="278"/>
        <v>0</v>
      </c>
      <c r="FV330">
        <f t="shared" si="278"/>
        <v>0</v>
      </c>
      <c r="FW330">
        <f t="shared" si="278"/>
        <v>0</v>
      </c>
      <c r="FX330">
        <f t="shared" si="278"/>
        <v>0</v>
      </c>
      <c r="FY330">
        <f t="shared" si="278"/>
        <v>0</v>
      </c>
      <c r="FZ330">
        <f t="shared" si="278"/>
        <v>0</v>
      </c>
      <c r="GA330">
        <f t="shared" si="278"/>
        <v>0</v>
      </c>
      <c r="GB330">
        <f t="shared" si="278"/>
        <v>0</v>
      </c>
      <c r="GC330">
        <f t="shared" si="278"/>
        <v>0</v>
      </c>
      <c r="GD330">
        <f t="shared" si="278"/>
        <v>0</v>
      </c>
      <c r="GE330">
        <f t="shared" si="278"/>
        <v>0</v>
      </c>
      <c r="GF330">
        <f t="shared" si="278"/>
        <v>0</v>
      </c>
      <c r="GG330">
        <f t="shared" si="278"/>
        <v>0</v>
      </c>
      <c r="GH330">
        <f t="shared" si="278"/>
        <v>0</v>
      </c>
      <c r="GI330">
        <f t="shared" si="278"/>
        <v>0</v>
      </c>
      <c r="GJ330">
        <f t="shared" si="278"/>
        <v>0</v>
      </c>
      <c r="GK330">
        <f t="shared" si="278"/>
        <v>0</v>
      </c>
      <c r="GL330">
        <f t="shared" si="278"/>
        <v>0</v>
      </c>
      <c r="GM330">
        <f t="shared" si="278"/>
        <v>0</v>
      </c>
      <c r="GN330">
        <f t="shared" si="278"/>
        <v>0</v>
      </c>
      <c r="GO330">
        <f t="shared" si="278"/>
        <v>0</v>
      </c>
      <c r="GP330">
        <f t="shared" si="278"/>
        <v>0</v>
      </c>
      <c r="GQ330">
        <f t="shared" si="278"/>
        <v>0</v>
      </c>
      <c r="GR330">
        <f t="shared" si="278"/>
        <v>0</v>
      </c>
      <c r="GS330">
        <f t="shared" si="278"/>
        <v>0</v>
      </c>
      <c r="GT330">
        <f t="shared" si="278"/>
        <v>0</v>
      </c>
      <c r="GU330">
        <f t="shared" si="278"/>
        <v>0</v>
      </c>
      <c r="GV330">
        <f t="shared" si="278"/>
        <v>0</v>
      </c>
      <c r="GW330">
        <f t="shared" si="278"/>
        <v>0</v>
      </c>
      <c r="GX330">
        <f t="shared" si="278"/>
        <v>0</v>
      </c>
    </row>
    <row r="332" spans="1:245" x14ac:dyDescent="0.2">
      <c r="A332">
        <v>17</v>
      </c>
      <c r="B332">
        <v>1</v>
      </c>
      <c r="D332">
        <f>ROW(EtalonRes!A388)</f>
        <v>388</v>
      </c>
      <c r="E332" t="s">
        <v>329</v>
      </c>
      <c r="F332" t="s">
        <v>252</v>
      </c>
      <c r="G332" t="s">
        <v>330</v>
      </c>
      <c r="H332" t="s">
        <v>47</v>
      </c>
      <c r="I332">
        <f>ROUND(I334*0.06,9)</f>
        <v>9.8400000000000001E-2</v>
      </c>
      <c r="J332">
        <v>0</v>
      </c>
      <c r="O332">
        <f>ROUND(CP332,2)</f>
        <v>7465</v>
      </c>
      <c r="P332">
        <f>ROUND(CQ332*I332,2)</f>
        <v>6411.95</v>
      </c>
      <c r="Q332">
        <f>ROUND(CR332*I332,2)</f>
        <v>748.06</v>
      </c>
      <c r="R332">
        <f>ROUND(CS332*I332,2)</f>
        <v>317.14</v>
      </c>
      <c r="S332">
        <f>ROUND(CT332*I332,2)</f>
        <v>304.99</v>
      </c>
      <c r="T332">
        <f>ROUND(CU332*I332,2)</f>
        <v>0</v>
      </c>
      <c r="U332">
        <f>CV332*I332</f>
        <v>1.6295039999999998</v>
      </c>
      <c r="V332">
        <f>CW332*I332</f>
        <v>0</v>
      </c>
      <c r="W332">
        <f>ROUND(CX332*I332,2)</f>
        <v>0</v>
      </c>
      <c r="X332">
        <f t="shared" ref="X332:Y334" si="279">ROUND(CY332,2)</f>
        <v>213.49</v>
      </c>
      <c r="Y332">
        <f t="shared" si="279"/>
        <v>30.5</v>
      </c>
      <c r="AA332">
        <v>71209905</v>
      </c>
      <c r="AB332">
        <f>ROUND((AC332+AD332+AF332),6)</f>
        <v>75863.820000000007</v>
      </c>
      <c r="AC332">
        <f>ROUND((ES332),6)</f>
        <v>65162.05</v>
      </c>
      <c r="AD332">
        <f>ROUND((((ET332)-(EU332))+AE332),6)</f>
        <v>7602.23</v>
      </c>
      <c r="AE332">
        <f t="shared" ref="AE332:AF334" si="280">ROUND((EU332),6)</f>
        <v>3222.98</v>
      </c>
      <c r="AF332">
        <f t="shared" si="280"/>
        <v>3099.54</v>
      </c>
      <c r="AG332">
        <f>ROUND((AP332),6)</f>
        <v>0</v>
      </c>
      <c r="AH332">
        <f t="shared" ref="AH332:AI334" si="281">(EW332)</f>
        <v>16.559999999999999</v>
      </c>
      <c r="AI332">
        <f t="shared" si="281"/>
        <v>0</v>
      </c>
      <c r="AJ332">
        <f>(AS332)</f>
        <v>0</v>
      </c>
      <c r="AK332">
        <v>75863.820000000007</v>
      </c>
      <c r="AL332">
        <v>65162.05</v>
      </c>
      <c r="AM332">
        <v>7602.23</v>
      </c>
      <c r="AN332">
        <v>3222.98</v>
      </c>
      <c r="AO332">
        <v>3099.54</v>
      </c>
      <c r="AP332">
        <v>0</v>
      </c>
      <c r="AQ332">
        <v>16.559999999999999</v>
      </c>
      <c r="AR332">
        <v>0</v>
      </c>
      <c r="AS332">
        <v>0</v>
      </c>
      <c r="AT332">
        <v>70</v>
      </c>
      <c r="AU332">
        <v>10</v>
      </c>
      <c r="AV332">
        <v>1</v>
      </c>
      <c r="AW332">
        <v>1</v>
      </c>
      <c r="AZ332">
        <v>1</v>
      </c>
      <c r="BA332">
        <v>1</v>
      </c>
      <c r="BB332">
        <v>1</v>
      </c>
      <c r="BC332">
        <v>1</v>
      </c>
      <c r="BD332" t="s">
        <v>3</v>
      </c>
      <c r="BE332" t="s">
        <v>3</v>
      </c>
      <c r="BF332" t="s">
        <v>3</v>
      </c>
      <c r="BG332" t="s">
        <v>3</v>
      </c>
      <c r="BH332">
        <v>0</v>
      </c>
      <c r="BI332">
        <v>4</v>
      </c>
      <c r="BJ332" t="s">
        <v>254</v>
      </c>
      <c r="BM332">
        <v>0</v>
      </c>
      <c r="BN332">
        <v>0</v>
      </c>
      <c r="BO332" t="s">
        <v>3</v>
      </c>
      <c r="BP332">
        <v>0</v>
      </c>
      <c r="BQ332">
        <v>1</v>
      </c>
      <c r="BR332">
        <v>0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 t="s">
        <v>3</v>
      </c>
      <c r="BZ332">
        <v>70</v>
      </c>
      <c r="CA332">
        <v>10</v>
      </c>
      <c r="CE332">
        <v>0</v>
      </c>
      <c r="CF332">
        <v>0</v>
      </c>
      <c r="CG332">
        <v>0</v>
      </c>
      <c r="CM332">
        <v>0</v>
      </c>
      <c r="CN332" t="s">
        <v>3</v>
      </c>
      <c r="CO332">
        <v>0</v>
      </c>
      <c r="CP332">
        <f>(P332+Q332+S332)</f>
        <v>7465</v>
      </c>
      <c r="CQ332">
        <f>(AC332*BC332*AW332)</f>
        <v>65162.05</v>
      </c>
      <c r="CR332">
        <f>((((ET332)*BB332-(EU332)*BS332)+AE332*BS332)*AV332)</f>
        <v>7602.23</v>
      </c>
      <c r="CS332">
        <f>(AE332*BS332*AV332)</f>
        <v>3222.98</v>
      </c>
      <c r="CT332">
        <f>(AF332*BA332*AV332)</f>
        <v>3099.54</v>
      </c>
      <c r="CU332">
        <f>AG332</f>
        <v>0</v>
      </c>
      <c r="CV332">
        <f>(AH332*AV332)</f>
        <v>16.559999999999999</v>
      </c>
      <c r="CW332">
        <f t="shared" ref="CW332:CX334" si="282">AI332</f>
        <v>0</v>
      </c>
      <c r="CX332">
        <f t="shared" si="282"/>
        <v>0</v>
      </c>
      <c r="CY332">
        <f>((S332*BZ332)/100)</f>
        <v>213.49299999999999</v>
      </c>
      <c r="CZ332">
        <f>((S332*CA332)/100)</f>
        <v>30.499000000000002</v>
      </c>
      <c r="DC332" t="s">
        <v>3</v>
      </c>
      <c r="DD332" t="s">
        <v>3</v>
      </c>
      <c r="DE332" t="s">
        <v>3</v>
      </c>
      <c r="DF332" t="s">
        <v>3</v>
      </c>
      <c r="DG332" t="s">
        <v>3</v>
      </c>
      <c r="DH332" t="s">
        <v>3</v>
      </c>
      <c r="DI332" t="s">
        <v>3</v>
      </c>
      <c r="DJ332" t="s">
        <v>3</v>
      </c>
      <c r="DK332" t="s">
        <v>3</v>
      </c>
      <c r="DL332" t="s">
        <v>3</v>
      </c>
      <c r="DM332" t="s">
        <v>3</v>
      </c>
      <c r="DN332">
        <v>0</v>
      </c>
      <c r="DO332">
        <v>0</v>
      </c>
      <c r="DP332">
        <v>1</v>
      </c>
      <c r="DQ332">
        <v>1</v>
      </c>
      <c r="DU332">
        <v>1007</v>
      </c>
      <c r="DV332" t="s">
        <v>47</v>
      </c>
      <c r="DW332" t="s">
        <v>47</v>
      </c>
      <c r="DX332">
        <v>100</v>
      </c>
      <c r="EE332">
        <v>67874524</v>
      </c>
      <c r="EF332">
        <v>1</v>
      </c>
      <c r="EG332" t="s">
        <v>20</v>
      </c>
      <c r="EH332">
        <v>0</v>
      </c>
      <c r="EI332" t="s">
        <v>3</v>
      </c>
      <c r="EJ332">
        <v>4</v>
      </c>
      <c r="EK332">
        <v>0</v>
      </c>
      <c r="EL332" t="s">
        <v>21</v>
      </c>
      <c r="EM332" t="s">
        <v>22</v>
      </c>
      <c r="EO332" t="s">
        <v>3</v>
      </c>
      <c r="EQ332">
        <v>131072</v>
      </c>
      <c r="ER332">
        <v>75863.820000000007</v>
      </c>
      <c r="ES332">
        <v>65162.05</v>
      </c>
      <c r="ET332">
        <v>7602.23</v>
      </c>
      <c r="EU332">
        <v>3222.98</v>
      </c>
      <c r="EV332">
        <v>3099.54</v>
      </c>
      <c r="EW332">
        <v>16.559999999999999</v>
      </c>
      <c r="EX332">
        <v>0</v>
      </c>
      <c r="EY332">
        <v>0</v>
      </c>
      <c r="FQ332">
        <v>0</v>
      </c>
      <c r="FR332">
        <f>ROUND(IF(AND(BH332=3,BI332=3),P332,0),2)</f>
        <v>0</v>
      </c>
      <c r="FS332">
        <v>0</v>
      </c>
      <c r="FX332">
        <v>70</v>
      </c>
      <c r="FY332">
        <v>10</v>
      </c>
      <c r="GA332" t="s">
        <v>3</v>
      </c>
      <c r="GD332">
        <v>0</v>
      </c>
      <c r="GF332">
        <v>2135562757</v>
      </c>
      <c r="GG332">
        <v>2</v>
      </c>
      <c r="GH332">
        <v>1</v>
      </c>
      <c r="GI332">
        <v>-2</v>
      </c>
      <c r="GJ332">
        <v>0</v>
      </c>
      <c r="GK332">
        <f>ROUND(R332*(R12)/100,2)</f>
        <v>342.51</v>
      </c>
      <c r="GL332">
        <f>ROUND(IF(AND(BH332=3,BI332=3,FS332&lt;&gt;0),P332,0),2)</f>
        <v>0</v>
      </c>
      <c r="GM332">
        <f>ROUND(O332+X332+Y332+GK332,2)+GX332</f>
        <v>8051.5</v>
      </c>
      <c r="GN332">
        <f>IF(OR(BI332=0,BI332=1),ROUND(O332+X332+Y332+GK332,2),0)</f>
        <v>0</v>
      </c>
      <c r="GO332">
        <f>IF(BI332=2,ROUND(O332+X332+Y332+GK332,2),0)</f>
        <v>0</v>
      </c>
      <c r="GP332">
        <f>IF(BI332=4,ROUND(O332+X332+Y332+GK332,2)+GX332,0)</f>
        <v>8051.5</v>
      </c>
      <c r="GR332">
        <v>0</v>
      </c>
      <c r="GS332">
        <v>3</v>
      </c>
      <c r="GT332">
        <v>0</v>
      </c>
      <c r="GU332" t="s">
        <v>3</v>
      </c>
      <c r="GV332">
        <f>ROUND((GT332),6)</f>
        <v>0</v>
      </c>
      <c r="GW332">
        <v>1</v>
      </c>
      <c r="GX332">
        <f>ROUND(HC332*I332,2)</f>
        <v>0</v>
      </c>
      <c r="HA332">
        <v>0</v>
      </c>
      <c r="HB332">
        <v>0</v>
      </c>
      <c r="HC332">
        <f>GV332*GW332</f>
        <v>0</v>
      </c>
      <c r="IK332">
        <v>0</v>
      </c>
    </row>
    <row r="333" spans="1:245" x14ac:dyDescent="0.2">
      <c r="A333">
        <v>17</v>
      </c>
      <c r="B333">
        <v>1</v>
      </c>
      <c r="D333">
        <f>ROW(EtalonRes!A393)</f>
        <v>393</v>
      </c>
      <c r="E333" t="s">
        <v>3</v>
      </c>
      <c r="F333" t="s">
        <v>331</v>
      </c>
      <c r="G333" t="s">
        <v>332</v>
      </c>
      <c r="H333" t="s">
        <v>72</v>
      </c>
      <c r="I333">
        <f>ROUND(130/100,9)</f>
        <v>1.3</v>
      </c>
      <c r="J333">
        <v>0</v>
      </c>
      <c r="O333">
        <f>ROUND(CP333,2)</f>
        <v>59053.34</v>
      </c>
      <c r="P333">
        <f>ROUND(CQ333*I333,2)</f>
        <v>39604.54</v>
      </c>
      <c r="Q333">
        <f>ROUND(CR333*I333,2)</f>
        <v>231.15</v>
      </c>
      <c r="R333">
        <f>ROUND(CS333*I333,2)</f>
        <v>125.49</v>
      </c>
      <c r="S333">
        <f>ROUND(CT333*I333,2)</f>
        <v>19217.650000000001</v>
      </c>
      <c r="T333">
        <f>ROUND(CU333*I333,2)</f>
        <v>0</v>
      </c>
      <c r="U333">
        <f>CV333*I333</f>
        <v>94.835000000000008</v>
      </c>
      <c r="V333">
        <f>CW333*I333</f>
        <v>0</v>
      </c>
      <c r="W333">
        <f>ROUND(CX333*I333,2)</f>
        <v>0</v>
      </c>
      <c r="X333">
        <f t="shared" si="279"/>
        <v>13452.36</v>
      </c>
      <c r="Y333">
        <f t="shared" si="279"/>
        <v>1921.77</v>
      </c>
      <c r="AA333">
        <v>-1</v>
      </c>
      <c r="AB333">
        <f>ROUND((AC333+AD333+AF333),6)</f>
        <v>45425.65</v>
      </c>
      <c r="AC333">
        <f>ROUND((ES333),6)</f>
        <v>30465.03</v>
      </c>
      <c r="AD333">
        <f>ROUND((((ET333)-(EU333))+AE333),6)</f>
        <v>177.81</v>
      </c>
      <c r="AE333">
        <f t="shared" si="280"/>
        <v>96.53</v>
      </c>
      <c r="AF333">
        <f t="shared" si="280"/>
        <v>14782.81</v>
      </c>
      <c r="AG333">
        <f>ROUND((AP333),6)</f>
        <v>0</v>
      </c>
      <c r="AH333">
        <f t="shared" si="281"/>
        <v>72.95</v>
      </c>
      <c r="AI333">
        <f t="shared" si="281"/>
        <v>0</v>
      </c>
      <c r="AJ333">
        <f>(AS333)</f>
        <v>0</v>
      </c>
      <c r="AK333">
        <v>45425.65</v>
      </c>
      <c r="AL333">
        <v>30465.03</v>
      </c>
      <c r="AM333">
        <v>177.81</v>
      </c>
      <c r="AN333">
        <v>96.53</v>
      </c>
      <c r="AO333">
        <v>14782.81</v>
      </c>
      <c r="AP333">
        <v>0</v>
      </c>
      <c r="AQ333">
        <v>72.95</v>
      </c>
      <c r="AR333">
        <v>0</v>
      </c>
      <c r="AS333">
        <v>0</v>
      </c>
      <c r="AT333">
        <v>70</v>
      </c>
      <c r="AU333">
        <v>10</v>
      </c>
      <c r="AV333">
        <v>1</v>
      </c>
      <c r="AW333">
        <v>1</v>
      </c>
      <c r="AZ333">
        <v>1</v>
      </c>
      <c r="BA333">
        <v>1</v>
      </c>
      <c r="BB333">
        <v>1</v>
      </c>
      <c r="BC333">
        <v>1</v>
      </c>
      <c r="BD333" t="s">
        <v>3</v>
      </c>
      <c r="BE333" t="s">
        <v>3</v>
      </c>
      <c r="BF333" t="s">
        <v>3</v>
      </c>
      <c r="BG333" t="s">
        <v>3</v>
      </c>
      <c r="BH333">
        <v>0</v>
      </c>
      <c r="BI333">
        <v>4</v>
      </c>
      <c r="BJ333" t="s">
        <v>333</v>
      </c>
      <c r="BM333">
        <v>0</v>
      </c>
      <c r="BN333">
        <v>0</v>
      </c>
      <c r="BO333" t="s">
        <v>3</v>
      </c>
      <c r="BP333">
        <v>0</v>
      </c>
      <c r="BQ333">
        <v>1</v>
      </c>
      <c r="BR333">
        <v>0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 t="s">
        <v>3</v>
      </c>
      <c r="BZ333">
        <v>70</v>
      </c>
      <c r="CA333">
        <v>10</v>
      </c>
      <c r="CE333">
        <v>0</v>
      </c>
      <c r="CF333">
        <v>0</v>
      </c>
      <c r="CG333">
        <v>0</v>
      </c>
      <c r="CM333">
        <v>0</v>
      </c>
      <c r="CN333" t="s">
        <v>3</v>
      </c>
      <c r="CO333">
        <v>0</v>
      </c>
      <c r="CP333">
        <f>(P333+Q333+S333)</f>
        <v>59053.340000000004</v>
      </c>
      <c r="CQ333">
        <f>(AC333*BC333*AW333)</f>
        <v>30465.03</v>
      </c>
      <c r="CR333">
        <f>((((ET333)*BB333-(EU333)*BS333)+AE333*BS333)*AV333)</f>
        <v>177.81</v>
      </c>
      <c r="CS333">
        <f>(AE333*BS333*AV333)</f>
        <v>96.53</v>
      </c>
      <c r="CT333">
        <f>(AF333*BA333*AV333)</f>
        <v>14782.81</v>
      </c>
      <c r="CU333">
        <f>AG333</f>
        <v>0</v>
      </c>
      <c r="CV333">
        <f>(AH333*AV333)</f>
        <v>72.95</v>
      </c>
      <c r="CW333">
        <f t="shared" si="282"/>
        <v>0</v>
      </c>
      <c r="CX333">
        <f t="shared" si="282"/>
        <v>0</v>
      </c>
      <c r="CY333">
        <f>((S333*BZ333)/100)</f>
        <v>13452.355</v>
      </c>
      <c r="CZ333">
        <f>((S333*CA333)/100)</f>
        <v>1921.7650000000001</v>
      </c>
      <c r="DC333" t="s">
        <v>3</v>
      </c>
      <c r="DD333" t="s">
        <v>3</v>
      </c>
      <c r="DE333" t="s">
        <v>3</v>
      </c>
      <c r="DF333" t="s">
        <v>3</v>
      </c>
      <c r="DG333" t="s">
        <v>3</v>
      </c>
      <c r="DH333" t="s">
        <v>3</v>
      </c>
      <c r="DI333" t="s">
        <v>3</v>
      </c>
      <c r="DJ333" t="s">
        <v>3</v>
      </c>
      <c r="DK333" t="s">
        <v>3</v>
      </c>
      <c r="DL333" t="s">
        <v>3</v>
      </c>
      <c r="DM333" t="s">
        <v>3</v>
      </c>
      <c r="DN333">
        <v>0</v>
      </c>
      <c r="DO333">
        <v>0</v>
      </c>
      <c r="DP333">
        <v>1</v>
      </c>
      <c r="DQ333">
        <v>1</v>
      </c>
      <c r="DU333">
        <v>1003</v>
      </c>
      <c r="DV333" t="s">
        <v>72</v>
      </c>
      <c r="DW333" t="s">
        <v>72</v>
      </c>
      <c r="DX333">
        <v>100</v>
      </c>
      <c r="EE333">
        <v>67874524</v>
      </c>
      <c r="EF333">
        <v>1</v>
      </c>
      <c r="EG333" t="s">
        <v>20</v>
      </c>
      <c r="EH333">
        <v>0</v>
      </c>
      <c r="EI333" t="s">
        <v>3</v>
      </c>
      <c r="EJ333">
        <v>4</v>
      </c>
      <c r="EK333">
        <v>0</v>
      </c>
      <c r="EL333" t="s">
        <v>21</v>
      </c>
      <c r="EM333" t="s">
        <v>22</v>
      </c>
      <c r="EO333" t="s">
        <v>3</v>
      </c>
      <c r="EQ333">
        <v>132096</v>
      </c>
      <c r="ER333">
        <v>45425.65</v>
      </c>
      <c r="ES333">
        <v>30465.03</v>
      </c>
      <c r="ET333">
        <v>177.81</v>
      </c>
      <c r="EU333">
        <v>96.53</v>
      </c>
      <c r="EV333">
        <v>14782.81</v>
      </c>
      <c r="EW333">
        <v>72.95</v>
      </c>
      <c r="EX333">
        <v>0</v>
      </c>
      <c r="EY333">
        <v>0</v>
      </c>
      <c r="FQ333">
        <v>0</v>
      </c>
      <c r="FR333">
        <f>ROUND(IF(AND(BH333=3,BI333=3),P333,0),2)</f>
        <v>0</v>
      </c>
      <c r="FS333">
        <v>0</v>
      </c>
      <c r="FX333">
        <v>70</v>
      </c>
      <c r="FY333">
        <v>10</v>
      </c>
      <c r="GA333" t="s">
        <v>3</v>
      </c>
      <c r="GD333">
        <v>0</v>
      </c>
      <c r="GF333">
        <v>469583681</v>
      </c>
      <c r="GG333">
        <v>2</v>
      </c>
      <c r="GH333">
        <v>1</v>
      </c>
      <c r="GI333">
        <v>-2</v>
      </c>
      <c r="GJ333">
        <v>0</v>
      </c>
      <c r="GK333">
        <f>ROUND(R333*(R12)/100,2)</f>
        <v>135.53</v>
      </c>
      <c r="GL333">
        <f>ROUND(IF(AND(BH333=3,BI333=3,FS333&lt;&gt;0),P333,0),2)</f>
        <v>0</v>
      </c>
      <c r="GM333">
        <f>ROUND(O333+X333+Y333+GK333,2)+GX333</f>
        <v>74563</v>
      </c>
      <c r="GN333">
        <f>IF(OR(BI333=0,BI333=1),ROUND(O333+X333+Y333+GK333,2),0)</f>
        <v>0</v>
      </c>
      <c r="GO333">
        <f>IF(BI333=2,ROUND(O333+X333+Y333+GK333,2),0)</f>
        <v>0</v>
      </c>
      <c r="GP333">
        <f>IF(BI333=4,ROUND(O333+X333+Y333+GK333,2)+GX333,0)</f>
        <v>74563</v>
      </c>
      <c r="GR333">
        <v>0</v>
      </c>
      <c r="GS333">
        <v>3</v>
      </c>
      <c r="GT333">
        <v>0</v>
      </c>
      <c r="GU333" t="s">
        <v>3</v>
      </c>
      <c r="GV333">
        <f>ROUND((GT333),6)</f>
        <v>0</v>
      </c>
      <c r="GW333">
        <v>1</v>
      </c>
      <c r="GX333">
        <f>ROUND(HC333*I333,2)</f>
        <v>0</v>
      </c>
      <c r="HA333">
        <v>0</v>
      </c>
      <c r="HB333">
        <v>0</v>
      </c>
      <c r="HC333">
        <f>GV333*GW333</f>
        <v>0</v>
      </c>
      <c r="IK333">
        <v>0</v>
      </c>
    </row>
    <row r="334" spans="1:245" x14ac:dyDescent="0.2">
      <c r="A334">
        <v>17</v>
      </c>
      <c r="B334">
        <v>1</v>
      </c>
      <c r="D334">
        <f>ROW(EtalonRes!A398)</f>
        <v>398</v>
      </c>
      <c r="E334" t="s">
        <v>334</v>
      </c>
      <c r="F334" t="s">
        <v>325</v>
      </c>
      <c r="G334" t="s">
        <v>326</v>
      </c>
      <c r="H334" t="s">
        <v>72</v>
      </c>
      <c r="I334">
        <f>ROUND(164/100,9)</f>
        <v>1.64</v>
      </c>
      <c r="J334">
        <v>0</v>
      </c>
      <c r="O334">
        <f>ROUND(CP334,2)</f>
        <v>77569.539999999994</v>
      </c>
      <c r="P334">
        <f>ROUND(CQ334*I334,2)</f>
        <v>53008.74</v>
      </c>
      <c r="Q334">
        <f>ROUND(CR334*I334,2)</f>
        <v>314.04000000000002</v>
      </c>
      <c r="R334">
        <f>ROUND(CS334*I334,2)</f>
        <v>170.49</v>
      </c>
      <c r="S334">
        <f>ROUND(CT334*I334,2)</f>
        <v>24246.76</v>
      </c>
      <c r="T334">
        <f>ROUND(CU334*I334,2)</f>
        <v>0</v>
      </c>
      <c r="U334">
        <f>CV334*I334</f>
        <v>119.65439999999998</v>
      </c>
      <c r="V334">
        <f>CW334*I334</f>
        <v>0</v>
      </c>
      <c r="W334">
        <f>ROUND(CX334*I334,2)</f>
        <v>0</v>
      </c>
      <c r="X334">
        <f t="shared" si="279"/>
        <v>16972.73</v>
      </c>
      <c r="Y334">
        <f t="shared" si="279"/>
        <v>2424.6799999999998</v>
      </c>
      <c r="AA334">
        <v>71209905</v>
      </c>
      <c r="AB334">
        <f>ROUND((AC334+AD334+AF334),6)</f>
        <v>47298.5</v>
      </c>
      <c r="AC334">
        <f>ROUND((ES334),6)</f>
        <v>32322.400000000001</v>
      </c>
      <c r="AD334">
        <f>ROUND((((ET334)-(EU334))+AE334),6)</f>
        <v>191.49</v>
      </c>
      <c r="AE334">
        <f t="shared" si="280"/>
        <v>103.96</v>
      </c>
      <c r="AF334">
        <f t="shared" si="280"/>
        <v>14784.61</v>
      </c>
      <c r="AG334">
        <f>ROUND((AP334),6)</f>
        <v>0</v>
      </c>
      <c r="AH334">
        <f t="shared" si="281"/>
        <v>72.959999999999994</v>
      </c>
      <c r="AI334">
        <f t="shared" si="281"/>
        <v>0</v>
      </c>
      <c r="AJ334">
        <f>(AS334)</f>
        <v>0</v>
      </c>
      <c r="AK334">
        <v>47298.5</v>
      </c>
      <c r="AL334">
        <v>32322.400000000001</v>
      </c>
      <c r="AM334">
        <v>191.49</v>
      </c>
      <c r="AN334">
        <v>103.96</v>
      </c>
      <c r="AO334">
        <v>14784.61</v>
      </c>
      <c r="AP334">
        <v>0</v>
      </c>
      <c r="AQ334">
        <v>72.959999999999994</v>
      </c>
      <c r="AR334">
        <v>0</v>
      </c>
      <c r="AS334">
        <v>0</v>
      </c>
      <c r="AT334">
        <v>70</v>
      </c>
      <c r="AU334">
        <v>10</v>
      </c>
      <c r="AV334">
        <v>1</v>
      </c>
      <c r="AW334">
        <v>1</v>
      </c>
      <c r="AZ334">
        <v>1</v>
      </c>
      <c r="BA334">
        <v>1</v>
      </c>
      <c r="BB334">
        <v>1</v>
      </c>
      <c r="BC334">
        <v>1</v>
      </c>
      <c r="BD334" t="s">
        <v>3</v>
      </c>
      <c r="BE334" t="s">
        <v>3</v>
      </c>
      <c r="BF334" t="s">
        <v>3</v>
      </c>
      <c r="BG334" t="s">
        <v>3</v>
      </c>
      <c r="BH334">
        <v>0</v>
      </c>
      <c r="BI334">
        <v>4</v>
      </c>
      <c r="BJ334" t="s">
        <v>327</v>
      </c>
      <c r="BM334">
        <v>0</v>
      </c>
      <c r="BN334">
        <v>0</v>
      </c>
      <c r="BO334" t="s">
        <v>3</v>
      </c>
      <c r="BP334">
        <v>0</v>
      </c>
      <c r="BQ334">
        <v>1</v>
      </c>
      <c r="BR334">
        <v>0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 t="s">
        <v>3</v>
      </c>
      <c r="BZ334">
        <v>70</v>
      </c>
      <c r="CA334">
        <v>10</v>
      </c>
      <c r="CE334">
        <v>0</v>
      </c>
      <c r="CF334">
        <v>0</v>
      </c>
      <c r="CG334">
        <v>0</v>
      </c>
      <c r="CM334">
        <v>0</v>
      </c>
      <c r="CN334" t="s">
        <v>3</v>
      </c>
      <c r="CO334">
        <v>0</v>
      </c>
      <c r="CP334">
        <f>(P334+Q334+S334)</f>
        <v>77569.539999999994</v>
      </c>
      <c r="CQ334">
        <f>(AC334*BC334*AW334)</f>
        <v>32322.400000000001</v>
      </c>
      <c r="CR334">
        <f>((((ET334)*BB334-(EU334)*BS334)+AE334*BS334)*AV334)</f>
        <v>191.49</v>
      </c>
      <c r="CS334">
        <f>(AE334*BS334*AV334)</f>
        <v>103.96</v>
      </c>
      <c r="CT334">
        <f>(AF334*BA334*AV334)</f>
        <v>14784.61</v>
      </c>
      <c r="CU334">
        <f>AG334</f>
        <v>0</v>
      </c>
      <c r="CV334">
        <f>(AH334*AV334)</f>
        <v>72.959999999999994</v>
      </c>
      <c r="CW334">
        <f t="shared" si="282"/>
        <v>0</v>
      </c>
      <c r="CX334">
        <f t="shared" si="282"/>
        <v>0</v>
      </c>
      <c r="CY334">
        <f>((S334*BZ334)/100)</f>
        <v>16972.732</v>
      </c>
      <c r="CZ334">
        <f>((S334*CA334)/100)</f>
        <v>2424.6759999999999</v>
      </c>
      <c r="DC334" t="s">
        <v>3</v>
      </c>
      <c r="DD334" t="s">
        <v>3</v>
      </c>
      <c r="DE334" t="s">
        <v>3</v>
      </c>
      <c r="DF334" t="s">
        <v>3</v>
      </c>
      <c r="DG334" t="s">
        <v>3</v>
      </c>
      <c r="DH334" t="s">
        <v>3</v>
      </c>
      <c r="DI334" t="s">
        <v>3</v>
      </c>
      <c r="DJ334" t="s">
        <v>3</v>
      </c>
      <c r="DK334" t="s">
        <v>3</v>
      </c>
      <c r="DL334" t="s">
        <v>3</v>
      </c>
      <c r="DM334" t="s">
        <v>3</v>
      </c>
      <c r="DN334">
        <v>0</v>
      </c>
      <c r="DO334">
        <v>0</v>
      </c>
      <c r="DP334">
        <v>1</v>
      </c>
      <c r="DQ334">
        <v>1</v>
      </c>
      <c r="DU334">
        <v>1003</v>
      </c>
      <c r="DV334" t="s">
        <v>72</v>
      </c>
      <c r="DW334" t="s">
        <v>72</v>
      </c>
      <c r="DX334">
        <v>100</v>
      </c>
      <c r="EE334">
        <v>67874524</v>
      </c>
      <c r="EF334">
        <v>1</v>
      </c>
      <c r="EG334" t="s">
        <v>20</v>
      </c>
      <c r="EH334">
        <v>0</v>
      </c>
      <c r="EI334" t="s">
        <v>3</v>
      </c>
      <c r="EJ334">
        <v>4</v>
      </c>
      <c r="EK334">
        <v>0</v>
      </c>
      <c r="EL334" t="s">
        <v>21</v>
      </c>
      <c r="EM334" t="s">
        <v>22</v>
      </c>
      <c r="EO334" t="s">
        <v>3</v>
      </c>
      <c r="EQ334">
        <v>131072</v>
      </c>
      <c r="ER334">
        <v>47298.5</v>
      </c>
      <c r="ES334">
        <v>32322.400000000001</v>
      </c>
      <c r="ET334">
        <v>191.49</v>
      </c>
      <c r="EU334">
        <v>103.96</v>
      </c>
      <c r="EV334">
        <v>14784.61</v>
      </c>
      <c r="EW334">
        <v>72.959999999999994</v>
      </c>
      <c r="EX334">
        <v>0</v>
      </c>
      <c r="EY334">
        <v>0</v>
      </c>
      <c r="FQ334">
        <v>0</v>
      </c>
      <c r="FR334">
        <f>ROUND(IF(AND(BH334=3,BI334=3),P334,0),2)</f>
        <v>0</v>
      </c>
      <c r="FS334">
        <v>0</v>
      </c>
      <c r="FX334">
        <v>70</v>
      </c>
      <c r="FY334">
        <v>10</v>
      </c>
      <c r="GA334" t="s">
        <v>3</v>
      </c>
      <c r="GD334">
        <v>0</v>
      </c>
      <c r="GF334">
        <v>-881965415</v>
      </c>
      <c r="GG334">
        <v>2</v>
      </c>
      <c r="GH334">
        <v>1</v>
      </c>
      <c r="GI334">
        <v>-2</v>
      </c>
      <c r="GJ334">
        <v>0</v>
      </c>
      <c r="GK334">
        <f>ROUND(R334*(R12)/100,2)</f>
        <v>184.13</v>
      </c>
      <c r="GL334">
        <f>ROUND(IF(AND(BH334=3,BI334=3,FS334&lt;&gt;0),P334,0),2)</f>
        <v>0</v>
      </c>
      <c r="GM334">
        <f>ROUND(O334+X334+Y334+GK334,2)+GX334</f>
        <v>97151.08</v>
      </c>
      <c r="GN334">
        <f>IF(OR(BI334=0,BI334=1),ROUND(O334+X334+Y334+GK334,2),0)</f>
        <v>0</v>
      </c>
      <c r="GO334">
        <f>IF(BI334=2,ROUND(O334+X334+Y334+GK334,2),0)</f>
        <v>0</v>
      </c>
      <c r="GP334">
        <f>IF(BI334=4,ROUND(O334+X334+Y334+GK334,2)+GX334,0)</f>
        <v>97151.08</v>
      </c>
      <c r="GR334">
        <v>0</v>
      </c>
      <c r="GS334">
        <v>3</v>
      </c>
      <c r="GT334">
        <v>0</v>
      </c>
      <c r="GU334" t="s">
        <v>3</v>
      </c>
      <c r="GV334">
        <f>ROUND((GT334),6)</f>
        <v>0</v>
      </c>
      <c r="GW334">
        <v>1</v>
      </c>
      <c r="GX334">
        <f>ROUND(HC334*I334,2)</f>
        <v>0</v>
      </c>
      <c r="HA334">
        <v>0</v>
      </c>
      <c r="HB334">
        <v>0</v>
      </c>
      <c r="HC334">
        <f>GV334*GW334</f>
        <v>0</v>
      </c>
      <c r="IK334">
        <v>0</v>
      </c>
    </row>
    <row r="336" spans="1:245" x14ac:dyDescent="0.2">
      <c r="A336">
        <v>51</v>
      </c>
      <c r="B336">
        <f>B328</f>
        <v>1</v>
      </c>
      <c r="C336">
        <f>A328</f>
        <v>4</v>
      </c>
      <c r="D336">
        <f>ROW(A328)</f>
        <v>328</v>
      </c>
      <c r="F336" t="str">
        <f>IF(F328&lt;&gt;"",F328,"")</f>
        <v>Новый раздел</v>
      </c>
      <c r="G336" t="str">
        <f>IF(G328&lt;&gt;"",G328,"")</f>
        <v>Установка садового бортового камня БР 100.20.8 на бетонное основание</v>
      </c>
      <c r="H336">
        <v>0</v>
      </c>
      <c r="O336">
        <f t="shared" ref="O336:T336" si="283">ROUND(AB336,2)</f>
        <v>85034.54</v>
      </c>
      <c r="P336">
        <f t="shared" si="283"/>
        <v>59420.69</v>
      </c>
      <c r="Q336">
        <f t="shared" si="283"/>
        <v>1062.0999999999999</v>
      </c>
      <c r="R336">
        <f t="shared" si="283"/>
        <v>487.63</v>
      </c>
      <c r="S336">
        <f t="shared" si="283"/>
        <v>24551.75</v>
      </c>
      <c r="T336">
        <f t="shared" si="283"/>
        <v>0</v>
      </c>
      <c r="U336">
        <f>AH336</f>
        <v>121.28390399999998</v>
      </c>
      <c r="V336">
        <f>AI336</f>
        <v>0</v>
      </c>
      <c r="W336">
        <f>ROUND(AJ336,2)</f>
        <v>0</v>
      </c>
      <c r="X336">
        <f>ROUND(AK336,2)</f>
        <v>17186.22</v>
      </c>
      <c r="Y336">
        <f>ROUND(AL336,2)</f>
        <v>2455.1799999999998</v>
      </c>
      <c r="AB336">
        <f>ROUND(SUMIF(AA332:AA334,"=71209905",O332:O334),2)</f>
        <v>85034.54</v>
      </c>
      <c r="AC336">
        <f>ROUND(SUMIF(AA332:AA334,"=71209905",P332:P334),2)</f>
        <v>59420.69</v>
      </c>
      <c r="AD336">
        <f>ROUND(SUMIF(AA332:AA334,"=71209905",Q332:Q334),2)</f>
        <v>1062.0999999999999</v>
      </c>
      <c r="AE336">
        <f>ROUND(SUMIF(AA332:AA334,"=71209905",R332:R334),2)</f>
        <v>487.63</v>
      </c>
      <c r="AF336">
        <f>ROUND(SUMIF(AA332:AA334,"=71209905",S332:S334),2)</f>
        <v>24551.75</v>
      </c>
      <c r="AG336">
        <f>ROUND(SUMIF(AA332:AA334,"=71209905",T332:T334),2)</f>
        <v>0</v>
      </c>
      <c r="AH336">
        <f>SUMIF(AA332:AA334,"=71209905",U332:U334)</f>
        <v>121.28390399999998</v>
      </c>
      <c r="AI336">
        <f>SUMIF(AA332:AA334,"=71209905",V332:V334)</f>
        <v>0</v>
      </c>
      <c r="AJ336">
        <f>ROUND(SUMIF(AA332:AA334,"=71209905",W332:W334),2)</f>
        <v>0</v>
      </c>
      <c r="AK336">
        <f>ROUND(SUMIF(AA332:AA334,"=71209905",X332:X334),2)</f>
        <v>17186.22</v>
      </c>
      <c r="AL336">
        <f>ROUND(SUMIF(AA332:AA334,"=71209905",Y332:Y334),2)</f>
        <v>2455.1799999999998</v>
      </c>
      <c r="AO336">
        <f t="shared" ref="AO336:BD336" si="284">ROUND(BX336,2)</f>
        <v>0</v>
      </c>
      <c r="AP336">
        <f t="shared" si="284"/>
        <v>0</v>
      </c>
      <c r="AQ336">
        <f t="shared" si="284"/>
        <v>0</v>
      </c>
      <c r="AR336">
        <f t="shared" si="284"/>
        <v>105202.58</v>
      </c>
      <c r="AS336">
        <f t="shared" si="284"/>
        <v>0</v>
      </c>
      <c r="AT336">
        <f t="shared" si="284"/>
        <v>0</v>
      </c>
      <c r="AU336">
        <f t="shared" si="284"/>
        <v>105202.58</v>
      </c>
      <c r="AV336">
        <f t="shared" si="284"/>
        <v>59420.69</v>
      </c>
      <c r="AW336">
        <f t="shared" si="284"/>
        <v>59420.69</v>
      </c>
      <c r="AX336">
        <f t="shared" si="284"/>
        <v>0</v>
      </c>
      <c r="AY336">
        <f t="shared" si="284"/>
        <v>59420.69</v>
      </c>
      <c r="AZ336">
        <f t="shared" si="284"/>
        <v>0</v>
      </c>
      <c r="BA336">
        <f t="shared" si="284"/>
        <v>0</v>
      </c>
      <c r="BB336">
        <f t="shared" si="284"/>
        <v>0</v>
      </c>
      <c r="BC336">
        <f t="shared" si="284"/>
        <v>0</v>
      </c>
      <c r="BD336">
        <f t="shared" si="284"/>
        <v>0</v>
      </c>
      <c r="BX336">
        <f>ROUND(SUMIF(AA332:AA334,"=71209905",FQ332:FQ334),2)</f>
        <v>0</v>
      </c>
      <c r="BY336">
        <f>ROUND(SUMIF(AA332:AA334,"=71209905",FR332:FR334),2)</f>
        <v>0</v>
      </c>
      <c r="BZ336">
        <f>ROUND(SUMIF(AA332:AA334,"=71209905",GL332:GL334),2)</f>
        <v>0</v>
      </c>
      <c r="CA336">
        <f>ROUND(SUMIF(AA332:AA334,"=71209905",GM332:GM334),2)</f>
        <v>105202.58</v>
      </c>
      <c r="CB336">
        <f>ROUND(SUMIF(AA332:AA334,"=71209905",GN332:GN334),2)</f>
        <v>0</v>
      </c>
      <c r="CC336">
        <f>ROUND(SUMIF(AA332:AA334,"=71209905",GO332:GO334),2)</f>
        <v>0</v>
      </c>
      <c r="CD336">
        <f>ROUND(SUMIF(AA332:AA334,"=71209905",GP332:GP334),2)</f>
        <v>105202.58</v>
      </c>
      <c r="CE336">
        <f>AC336-BX336</f>
        <v>59420.69</v>
      </c>
      <c r="CF336">
        <f>AC336-BY336</f>
        <v>59420.69</v>
      </c>
      <c r="CG336">
        <f>BX336-BZ336</f>
        <v>0</v>
      </c>
      <c r="CH336">
        <f>AC336-BX336-BY336+BZ336</f>
        <v>59420.69</v>
      </c>
      <c r="CI336">
        <f>BY336-BZ336</f>
        <v>0</v>
      </c>
      <c r="CJ336">
        <f>ROUND(SUMIF(AA332:AA334,"=71209905",GX332:GX334),2)</f>
        <v>0</v>
      </c>
      <c r="CK336">
        <f>ROUND(SUMIF(AA332:AA334,"=71209905",GY332:GY334),2)</f>
        <v>0</v>
      </c>
      <c r="CL336">
        <f>ROUND(SUMIF(AA332:AA334,"=71209905",GZ332:GZ334),2)</f>
        <v>0</v>
      </c>
      <c r="CM336">
        <f>ROUND(SUMIF(AA332:AA334,"=71209905",HD332:HD334),2)</f>
        <v>0</v>
      </c>
      <c r="GX336">
        <v>0</v>
      </c>
    </row>
    <row r="338" spans="1:15" x14ac:dyDescent="0.2">
      <c r="A338">
        <v>50</v>
      </c>
      <c r="B338">
        <v>0</v>
      </c>
      <c r="C338">
        <v>0</v>
      </c>
      <c r="D338">
        <v>1</v>
      </c>
      <c r="E338">
        <v>201</v>
      </c>
      <c r="F338">
        <f>ROUND(Source!O336,O338)</f>
        <v>85034.54</v>
      </c>
      <c r="G338" t="s">
        <v>142</v>
      </c>
      <c r="H338" t="s">
        <v>143</v>
      </c>
      <c r="K338">
        <v>201</v>
      </c>
      <c r="L338">
        <v>1</v>
      </c>
      <c r="M338">
        <v>3</v>
      </c>
      <c r="N338" t="s">
        <v>3</v>
      </c>
      <c r="O338">
        <v>2</v>
      </c>
    </row>
    <row r="339" spans="1:15" x14ac:dyDescent="0.2">
      <c r="A339">
        <v>50</v>
      </c>
      <c r="B339">
        <v>0</v>
      </c>
      <c r="C339">
        <v>0</v>
      </c>
      <c r="D339">
        <v>1</v>
      </c>
      <c r="E339">
        <v>202</v>
      </c>
      <c r="F339">
        <f>ROUND(Source!P336,O339)</f>
        <v>59420.69</v>
      </c>
      <c r="G339" t="s">
        <v>144</v>
      </c>
      <c r="H339" t="s">
        <v>145</v>
      </c>
      <c r="K339">
        <v>202</v>
      </c>
      <c r="L339">
        <v>2</v>
      </c>
      <c r="M339">
        <v>3</v>
      </c>
      <c r="N339" t="s">
        <v>3</v>
      </c>
      <c r="O339">
        <v>2</v>
      </c>
    </row>
    <row r="340" spans="1:15" x14ac:dyDescent="0.2">
      <c r="A340">
        <v>50</v>
      </c>
      <c r="B340">
        <v>0</v>
      </c>
      <c r="C340">
        <v>0</v>
      </c>
      <c r="D340">
        <v>1</v>
      </c>
      <c r="E340">
        <v>222</v>
      </c>
      <c r="F340">
        <f>ROUND(Source!AO336,O340)</f>
        <v>0</v>
      </c>
      <c r="G340" t="s">
        <v>146</v>
      </c>
      <c r="H340" t="s">
        <v>147</v>
      </c>
      <c r="K340">
        <v>222</v>
      </c>
      <c r="L340">
        <v>3</v>
      </c>
      <c r="M340">
        <v>3</v>
      </c>
      <c r="N340" t="s">
        <v>3</v>
      </c>
      <c r="O340">
        <v>2</v>
      </c>
    </row>
    <row r="341" spans="1:15" x14ac:dyDescent="0.2">
      <c r="A341">
        <v>50</v>
      </c>
      <c r="B341">
        <v>0</v>
      </c>
      <c r="C341">
        <v>0</v>
      </c>
      <c r="D341">
        <v>1</v>
      </c>
      <c r="E341">
        <v>225</v>
      </c>
      <c r="F341">
        <f>ROUND(Source!AV336,O341)</f>
        <v>59420.69</v>
      </c>
      <c r="G341" t="s">
        <v>148</v>
      </c>
      <c r="H341" t="s">
        <v>149</v>
      </c>
      <c r="K341">
        <v>225</v>
      </c>
      <c r="L341">
        <v>4</v>
      </c>
      <c r="M341">
        <v>3</v>
      </c>
      <c r="N341" t="s">
        <v>3</v>
      </c>
      <c r="O341">
        <v>2</v>
      </c>
    </row>
    <row r="342" spans="1:15" x14ac:dyDescent="0.2">
      <c r="A342">
        <v>50</v>
      </c>
      <c r="B342">
        <v>0</v>
      </c>
      <c r="C342">
        <v>0</v>
      </c>
      <c r="D342">
        <v>1</v>
      </c>
      <c r="E342">
        <v>226</v>
      </c>
      <c r="F342">
        <f>ROUND(Source!AW336,O342)</f>
        <v>59420.69</v>
      </c>
      <c r="G342" t="s">
        <v>150</v>
      </c>
      <c r="H342" t="s">
        <v>151</v>
      </c>
      <c r="K342">
        <v>226</v>
      </c>
      <c r="L342">
        <v>5</v>
      </c>
      <c r="M342">
        <v>3</v>
      </c>
      <c r="N342" t="s">
        <v>3</v>
      </c>
      <c r="O342">
        <v>2</v>
      </c>
    </row>
    <row r="343" spans="1:15" x14ac:dyDescent="0.2">
      <c r="A343">
        <v>50</v>
      </c>
      <c r="B343">
        <v>0</v>
      </c>
      <c r="C343">
        <v>0</v>
      </c>
      <c r="D343">
        <v>1</v>
      </c>
      <c r="E343">
        <v>227</v>
      </c>
      <c r="F343">
        <f>ROUND(Source!AX336,O343)</f>
        <v>0</v>
      </c>
      <c r="G343" t="s">
        <v>152</v>
      </c>
      <c r="H343" t="s">
        <v>153</v>
      </c>
      <c r="K343">
        <v>227</v>
      </c>
      <c r="L343">
        <v>6</v>
      </c>
      <c r="M343">
        <v>3</v>
      </c>
      <c r="N343" t="s">
        <v>3</v>
      </c>
      <c r="O343">
        <v>2</v>
      </c>
    </row>
    <row r="344" spans="1:15" x14ac:dyDescent="0.2">
      <c r="A344">
        <v>50</v>
      </c>
      <c r="B344">
        <v>0</v>
      </c>
      <c r="C344">
        <v>0</v>
      </c>
      <c r="D344">
        <v>1</v>
      </c>
      <c r="E344">
        <v>228</v>
      </c>
      <c r="F344">
        <f>ROUND(Source!AY336,O344)</f>
        <v>59420.69</v>
      </c>
      <c r="G344" t="s">
        <v>154</v>
      </c>
      <c r="H344" t="s">
        <v>155</v>
      </c>
      <c r="K344">
        <v>228</v>
      </c>
      <c r="L344">
        <v>7</v>
      </c>
      <c r="M344">
        <v>3</v>
      </c>
      <c r="N344" t="s">
        <v>3</v>
      </c>
      <c r="O344">
        <v>2</v>
      </c>
    </row>
    <row r="345" spans="1:15" x14ac:dyDescent="0.2">
      <c r="A345">
        <v>50</v>
      </c>
      <c r="B345">
        <v>0</v>
      </c>
      <c r="C345">
        <v>0</v>
      </c>
      <c r="D345">
        <v>1</v>
      </c>
      <c r="E345">
        <v>216</v>
      </c>
      <c r="F345">
        <f>ROUND(Source!AP336,O345)</f>
        <v>0</v>
      </c>
      <c r="G345" t="s">
        <v>156</v>
      </c>
      <c r="H345" t="s">
        <v>157</v>
      </c>
      <c r="K345">
        <v>216</v>
      </c>
      <c r="L345">
        <v>8</v>
      </c>
      <c r="M345">
        <v>3</v>
      </c>
      <c r="N345" t="s">
        <v>3</v>
      </c>
      <c r="O345">
        <v>2</v>
      </c>
    </row>
    <row r="346" spans="1:15" x14ac:dyDescent="0.2">
      <c r="A346">
        <v>50</v>
      </c>
      <c r="B346">
        <v>0</v>
      </c>
      <c r="C346">
        <v>0</v>
      </c>
      <c r="D346">
        <v>1</v>
      </c>
      <c r="E346">
        <v>223</v>
      </c>
      <c r="F346">
        <f>ROUND(Source!AQ336,O346)</f>
        <v>0</v>
      </c>
      <c r="G346" t="s">
        <v>158</v>
      </c>
      <c r="H346" t="s">
        <v>159</v>
      </c>
      <c r="K346">
        <v>223</v>
      </c>
      <c r="L346">
        <v>9</v>
      </c>
      <c r="M346">
        <v>3</v>
      </c>
      <c r="N346" t="s">
        <v>3</v>
      </c>
      <c r="O346">
        <v>2</v>
      </c>
    </row>
    <row r="347" spans="1:15" x14ac:dyDescent="0.2">
      <c r="A347">
        <v>50</v>
      </c>
      <c r="B347">
        <v>0</v>
      </c>
      <c r="C347">
        <v>0</v>
      </c>
      <c r="D347">
        <v>1</v>
      </c>
      <c r="E347">
        <v>229</v>
      </c>
      <c r="F347">
        <f>ROUND(Source!AZ336,O347)</f>
        <v>0</v>
      </c>
      <c r="G347" t="s">
        <v>160</v>
      </c>
      <c r="H347" t="s">
        <v>161</v>
      </c>
      <c r="K347">
        <v>229</v>
      </c>
      <c r="L347">
        <v>10</v>
      </c>
      <c r="M347">
        <v>3</v>
      </c>
      <c r="N347" t="s">
        <v>3</v>
      </c>
      <c r="O347">
        <v>2</v>
      </c>
    </row>
    <row r="348" spans="1:15" x14ac:dyDescent="0.2">
      <c r="A348">
        <v>50</v>
      </c>
      <c r="B348">
        <v>0</v>
      </c>
      <c r="C348">
        <v>0</v>
      </c>
      <c r="D348">
        <v>1</v>
      </c>
      <c r="E348">
        <v>203</v>
      </c>
      <c r="F348">
        <f>ROUND(Source!Q336,O348)</f>
        <v>1062.0999999999999</v>
      </c>
      <c r="G348" t="s">
        <v>162</v>
      </c>
      <c r="H348" t="s">
        <v>163</v>
      </c>
      <c r="K348">
        <v>203</v>
      </c>
      <c r="L348">
        <v>11</v>
      </c>
      <c r="M348">
        <v>3</v>
      </c>
      <c r="N348" t="s">
        <v>3</v>
      </c>
      <c r="O348">
        <v>2</v>
      </c>
    </row>
    <row r="349" spans="1:15" x14ac:dyDescent="0.2">
      <c r="A349">
        <v>50</v>
      </c>
      <c r="B349">
        <v>0</v>
      </c>
      <c r="C349">
        <v>0</v>
      </c>
      <c r="D349">
        <v>1</v>
      </c>
      <c r="E349">
        <v>231</v>
      </c>
      <c r="F349">
        <f>ROUND(Source!BB336,O349)</f>
        <v>0</v>
      </c>
      <c r="G349" t="s">
        <v>164</v>
      </c>
      <c r="H349" t="s">
        <v>165</v>
      </c>
      <c r="K349">
        <v>231</v>
      </c>
      <c r="L349">
        <v>12</v>
      </c>
      <c r="M349">
        <v>3</v>
      </c>
      <c r="N349" t="s">
        <v>3</v>
      </c>
      <c r="O349">
        <v>2</v>
      </c>
    </row>
    <row r="350" spans="1:15" x14ac:dyDescent="0.2">
      <c r="A350">
        <v>50</v>
      </c>
      <c r="B350">
        <v>0</v>
      </c>
      <c r="C350">
        <v>0</v>
      </c>
      <c r="D350">
        <v>1</v>
      </c>
      <c r="E350">
        <v>204</v>
      </c>
      <c r="F350">
        <f>ROUND(Source!R336,O350)</f>
        <v>487.63</v>
      </c>
      <c r="G350" t="s">
        <v>166</v>
      </c>
      <c r="H350" t="s">
        <v>167</v>
      </c>
      <c r="K350">
        <v>204</v>
      </c>
      <c r="L350">
        <v>13</v>
      </c>
      <c r="M350">
        <v>3</v>
      </c>
      <c r="N350" t="s">
        <v>3</v>
      </c>
      <c r="O350">
        <v>2</v>
      </c>
    </row>
    <row r="351" spans="1:15" x14ac:dyDescent="0.2">
      <c r="A351">
        <v>50</v>
      </c>
      <c r="B351">
        <v>0</v>
      </c>
      <c r="C351">
        <v>0</v>
      </c>
      <c r="D351">
        <v>1</v>
      </c>
      <c r="E351">
        <v>205</v>
      </c>
      <c r="F351">
        <f>ROUND(Source!S336,O351)</f>
        <v>24551.75</v>
      </c>
      <c r="G351" t="s">
        <v>168</v>
      </c>
      <c r="H351" t="s">
        <v>169</v>
      </c>
      <c r="K351">
        <v>205</v>
      </c>
      <c r="L351">
        <v>14</v>
      </c>
      <c r="M351">
        <v>3</v>
      </c>
      <c r="N351" t="s">
        <v>3</v>
      </c>
      <c r="O351">
        <v>2</v>
      </c>
    </row>
    <row r="352" spans="1:15" x14ac:dyDescent="0.2">
      <c r="A352">
        <v>50</v>
      </c>
      <c r="B352">
        <v>0</v>
      </c>
      <c r="C352">
        <v>0</v>
      </c>
      <c r="D352">
        <v>1</v>
      </c>
      <c r="E352">
        <v>232</v>
      </c>
      <c r="F352">
        <f>ROUND(Source!BC336,O352)</f>
        <v>0</v>
      </c>
      <c r="G352" t="s">
        <v>170</v>
      </c>
      <c r="H352" t="s">
        <v>171</v>
      </c>
      <c r="K352">
        <v>232</v>
      </c>
      <c r="L352">
        <v>15</v>
      </c>
      <c r="M352">
        <v>3</v>
      </c>
      <c r="N352" t="s">
        <v>3</v>
      </c>
      <c r="O352">
        <v>2</v>
      </c>
    </row>
    <row r="353" spans="1:206" x14ac:dyDescent="0.2">
      <c r="A353">
        <v>50</v>
      </c>
      <c r="B353">
        <v>0</v>
      </c>
      <c r="C353">
        <v>0</v>
      </c>
      <c r="D353">
        <v>1</v>
      </c>
      <c r="E353">
        <v>214</v>
      </c>
      <c r="F353">
        <f>ROUND(Source!AS336,O353)</f>
        <v>0</v>
      </c>
      <c r="G353" t="s">
        <v>172</v>
      </c>
      <c r="H353" t="s">
        <v>173</v>
      </c>
      <c r="K353">
        <v>214</v>
      </c>
      <c r="L353">
        <v>16</v>
      </c>
      <c r="M353">
        <v>3</v>
      </c>
      <c r="N353" t="s">
        <v>3</v>
      </c>
      <c r="O353">
        <v>2</v>
      </c>
    </row>
    <row r="354" spans="1:206" x14ac:dyDescent="0.2">
      <c r="A354">
        <v>50</v>
      </c>
      <c r="B354">
        <v>0</v>
      </c>
      <c r="C354">
        <v>0</v>
      </c>
      <c r="D354">
        <v>1</v>
      </c>
      <c r="E354">
        <v>215</v>
      </c>
      <c r="F354">
        <f>ROUND(Source!AT336,O354)</f>
        <v>0</v>
      </c>
      <c r="G354" t="s">
        <v>174</v>
      </c>
      <c r="H354" t="s">
        <v>175</v>
      </c>
      <c r="K354">
        <v>215</v>
      </c>
      <c r="L354">
        <v>17</v>
      </c>
      <c r="M354">
        <v>3</v>
      </c>
      <c r="N354" t="s">
        <v>3</v>
      </c>
      <c r="O354">
        <v>2</v>
      </c>
    </row>
    <row r="355" spans="1:206" x14ac:dyDescent="0.2">
      <c r="A355">
        <v>50</v>
      </c>
      <c r="B355">
        <v>0</v>
      </c>
      <c r="C355">
        <v>0</v>
      </c>
      <c r="D355">
        <v>1</v>
      </c>
      <c r="E355">
        <v>217</v>
      </c>
      <c r="F355">
        <f>ROUND(Source!AU336,O355)</f>
        <v>105202.58</v>
      </c>
      <c r="G355" t="s">
        <v>176</v>
      </c>
      <c r="H355" t="s">
        <v>177</v>
      </c>
      <c r="K355">
        <v>217</v>
      </c>
      <c r="L355">
        <v>18</v>
      </c>
      <c r="M355">
        <v>3</v>
      </c>
      <c r="N355" t="s">
        <v>3</v>
      </c>
      <c r="O355">
        <v>2</v>
      </c>
    </row>
    <row r="356" spans="1:206" x14ac:dyDescent="0.2">
      <c r="A356">
        <v>50</v>
      </c>
      <c r="B356">
        <v>0</v>
      </c>
      <c r="C356">
        <v>0</v>
      </c>
      <c r="D356">
        <v>1</v>
      </c>
      <c r="E356">
        <v>230</v>
      </c>
      <c r="F356">
        <f>ROUND(Source!BA336,O356)</f>
        <v>0</v>
      </c>
      <c r="G356" t="s">
        <v>178</v>
      </c>
      <c r="H356" t="s">
        <v>179</v>
      </c>
      <c r="K356">
        <v>230</v>
      </c>
      <c r="L356">
        <v>19</v>
      </c>
      <c r="M356">
        <v>3</v>
      </c>
      <c r="N356" t="s">
        <v>3</v>
      </c>
      <c r="O356">
        <v>2</v>
      </c>
    </row>
    <row r="357" spans="1:206" x14ac:dyDescent="0.2">
      <c r="A357">
        <v>50</v>
      </c>
      <c r="B357">
        <v>0</v>
      </c>
      <c r="C357">
        <v>0</v>
      </c>
      <c r="D357">
        <v>1</v>
      </c>
      <c r="E357">
        <v>206</v>
      </c>
      <c r="F357">
        <f>ROUND(Source!T336,O357)</f>
        <v>0</v>
      </c>
      <c r="G357" t="s">
        <v>180</v>
      </c>
      <c r="H357" t="s">
        <v>181</v>
      </c>
      <c r="K357">
        <v>206</v>
      </c>
      <c r="L357">
        <v>20</v>
      </c>
      <c r="M357">
        <v>3</v>
      </c>
      <c r="N357" t="s">
        <v>3</v>
      </c>
      <c r="O357">
        <v>2</v>
      </c>
    </row>
    <row r="358" spans="1:206" x14ac:dyDescent="0.2">
      <c r="A358">
        <v>50</v>
      </c>
      <c r="B358">
        <v>0</v>
      </c>
      <c r="C358">
        <v>0</v>
      </c>
      <c r="D358">
        <v>1</v>
      </c>
      <c r="E358">
        <v>207</v>
      </c>
      <c r="F358">
        <f>Source!U336</f>
        <v>121.28390399999998</v>
      </c>
      <c r="G358" t="s">
        <v>182</v>
      </c>
      <c r="H358" t="s">
        <v>183</v>
      </c>
      <c r="K358">
        <v>207</v>
      </c>
      <c r="L358">
        <v>21</v>
      </c>
      <c r="M358">
        <v>3</v>
      </c>
      <c r="N358" t="s">
        <v>3</v>
      </c>
      <c r="O358">
        <v>-1</v>
      </c>
    </row>
    <row r="359" spans="1:206" x14ac:dyDescent="0.2">
      <c r="A359">
        <v>50</v>
      </c>
      <c r="B359">
        <v>0</v>
      </c>
      <c r="C359">
        <v>0</v>
      </c>
      <c r="D359">
        <v>1</v>
      </c>
      <c r="E359">
        <v>208</v>
      </c>
      <c r="F359">
        <f>Source!V336</f>
        <v>0</v>
      </c>
      <c r="G359" t="s">
        <v>184</v>
      </c>
      <c r="H359" t="s">
        <v>185</v>
      </c>
      <c r="K359">
        <v>208</v>
      </c>
      <c r="L359">
        <v>22</v>
      </c>
      <c r="M359">
        <v>3</v>
      </c>
      <c r="N359" t="s">
        <v>3</v>
      </c>
      <c r="O359">
        <v>-1</v>
      </c>
    </row>
    <row r="360" spans="1:206" x14ac:dyDescent="0.2">
      <c r="A360">
        <v>50</v>
      </c>
      <c r="B360">
        <v>0</v>
      </c>
      <c r="C360">
        <v>0</v>
      </c>
      <c r="D360">
        <v>1</v>
      </c>
      <c r="E360">
        <v>209</v>
      </c>
      <c r="F360">
        <f>ROUND(Source!W336,O360)</f>
        <v>0</v>
      </c>
      <c r="G360" t="s">
        <v>186</v>
      </c>
      <c r="H360" t="s">
        <v>187</v>
      </c>
      <c r="K360">
        <v>209</v>
      </c>
      <c r="L360">
        <v>23</v>
      </c>
      <c r="M360">
        <v>3</v>
      </c>
      <c r="N360" t="s">
        <v>3</v>
      </c>
      <c r="O360">
        <v>2</v>
      </c>
    </row>
    <row r="361" spans="1:206" x14ac:dyDescent="0.2">
      <c r="A361">
        <v>50</v>
      </c>
      <c r="B361">
        <v>0</v>
      </c>
      <c r="C361">
        <v>0</v>
      </c>
      <c r="D361">
        <v>1</v>
      </c>
      <c r="E361">
        <v>233</v>
      </c>
      <c r="F361">
        <f>ROUND(Source!BD336,O361)</f>
        <v>0</v>
      </c>
      <c r="G361" t="s">
        <v>188</v>
      </c>
      <c r="H361" t="s">
        <v>189</v>
      </c>
      <c r="K361">
        <v>233</v>
      </c>
      <c r="L361">
        <v>24</v>
      </c>
      <c r="M361">
        <v>3</v>
      </c>
      <c r="N361" t="s">
        <v>3</v>
      </c>
      <c r="O361">
        <v>2</v>
      </c>
    </row>
    <row r="362" spans="1:206" x14ac:dyDescent="0.2">
      <c r="A362">
        <v>50</v>
      </c>
      <c r="B362">
        <v>0</v>
      </c>
      <c r="C362">
        <v>0</v>
      </c>
      <c r="D362">
        <v>1</v>
      </c>
      <c r="E362">
        <v>210</v>
      </c>
      <c r="F362">
        <f>ROUND(Source!X336,O362)</f>
        <v>17186.22</v>
      </c>
      <c r="G362" t="s">
        <v>190</v>
      </c>
      <c r="H362" t="s">
        <v>191</v>
      </c>
      <c r="K362">
        <v>210</v>
      </c>
      <c r="L362">
        <v>25</v>
      </c>
      <c r="M362">
        <v>3</v>
      </c>
      <c r="N362" t="s">
        <v>3</v>
      </c>
      <c r="O362">
        <v>2</v>
      </c>
    </row>
    <row r="363" spans="1:206" x14ac:dyDescent="0.2">
      <c r="A363">
        <v>50</v>
      </c>
      <c r="B363">
        <v>0</v>
      </c>
      <c r="C363">
        <v>0</v>
      </c>
      <c r="D363">
        <v>1</v>
      </c>
      <c r="E363">
        <v>211</v>
      </c>
      <c r="F363">
        <f>ROUND(Source!Y336,O363)</f>
        <v>2455.1799999999998</v>
      </c>
      <c r="G363" t="s">
        <v>192</v>
      </c>
      <c r="H363" t="s">
        <v>193</v>
      </c>
      <c r="K363">
        <v>211</v>
      </c>
      <c r="L363">
        <v>26</v>
      </c>
      <c r="M363">
        <v>3</v>
      </c>
      <c r="N363" t="s">
        <v>3</v>
      </c>
      <c r="O363">
        <v>2</v>
      </c>
    </row>
    <row r="364" spans="1:206" x14ac:dyDescent="0.2">
      <c r="A364">
        <v>50</v>
      </c>
      <c r="B364">
        <v>0</v>
      </c>
      <c r="C364">
        <v>0</v>
      </c>
      <c r="D364">
        <v>1</v>
      </c>
      <c r="E364">
        <v>224</v>
      </c>
      <c r="F364">
        <f>ROUND(Source!AR336,O364)</f>
        <v>105202.58</v>
      </c>
      <c r="G364" t="s">
        <v>194</v>
      </c>
      <c r="H364" t="s">
        <v>195</v>
      </c>
      <c r="K364">
        <v>224</v>
      </c>
      <c r="L364">
        <v>27</v>
      </c>
      <c r="M364">
        <v>3</v>
      </c>
      <c r="N364" t="s">
        <v>3</v>
      </c>
      <c r="O364">
        <v>2</v>
      </c>
    </row>
    <row r="366" spans="1:206" x14ac:dyDescent="0.2">
      <c r="A366">
        <v>4</v>
      </c>
      <c r="B366">
        <v>1</v>
      </c>
      <c r="D366">
        <f>ROW(A375)</f>
        <v>375</v>
      </c>
      <c r="F366" t="s">
        <v>14</v>
      </c>
      <c r="G366" t="s">
        <v>335</v>
      </c>
      <c r="H366" t="s">
        <v>3</v>
      </c>
      <c r="I366">
        <v>0</v>
      </c>
      <c r="K366">
        <v>0</v>
      </c>
      <c r="U366" t="s">
        <v>3</v>
      </c>
      <c r="V366">
        <v>0</v>
      </c>
      <c r="AB366" t="s">
        <v>3</v>
      </c>
      <c r="AC366" t="s">
        <v>3</v>
      </c>
      <c r="AD366" t="s">
        <v>3</v>
      </c>
      <c r="AE366" t="s">
        <v>3</v>
      </c>
      <c r="AF366" t="s">
        <v>3</v>
      </c>
      <c r="AG366" t="s">
        <v>3</v>
      </c>
      <c r="AP366" t="s">
        <v>3</v>
      </c>
      <c r="AQ366" t="s">
        <v>3</v>
      </c>
      <c r="AR366" t="s">
        <v>3</v>
      </c>
      <c r="AZ366" t="s">
        <v>3</v>
      </c>
      <c r="BB366" t="s">
        <v>3</v>
      </c>
      <c r="BC366" t="s">
        <v>3</v>
      </c>
      <c r="BD366" t="s">
        <v>3</v>
      </c>
      <c r="BE366" t="s">
        <v>3</v>
      </c>
      <c r="BF366" t="s">
        <v>3</v>
      </c>
      <c r="BG366" t="s">
        <v>3</v>
      </c>
      <c r="BH366" t="s">
        <v>3</v>
      </c>
      <c r="BI366" t="s">
        <v>3</v>
      </c>
      <c r="BJ366" t="s">
        <v>3</v>
      </c>
      <c r="BK366" t="s">
        <v>3</v>
      </c>
      <c r="BL366" t="s">
        <v>3</v>
      </c>
      <c r="BM366" t="s">
        <v>3</v>
      </c>
      <c r="BN366" t="s">
        <v>3</v>
      </c>
      <c r="BO366" t="s">
        <v>3</v>
      </c>
      <c r="BP366" t="s">
        <v>3</v>
      </c>
      <c r="BX366">
        <v>0</v>
      </c>
      <c r="CJ366">
        <v>0</v>
      </c>
    </row>
    <row r="368" spans="1:206" x14ac:dyDescent="0.2">
      <c r="A368">
        <v>52</v>
      </c>
      <c r="B368">
        <f t="shared" ref="B368:G368" si="285">B375</f>
        <v>1</v>
      </c>
      <c r="C368">
        <f t="shared" si="285"/>
        <v>4</v>
      </c>
      <c r="D368">
        <f t="shared" si="285"/>
        <v>366</v>
      </c>
      <c r="E368">
        <f t="shared" si="285"/>
        <v>0</v>
      </c>
      <c r="F368" t="str">
        <f t="shared" si="285"/>
        <v>Новый раздел</v>
      </c>
      <c r="G368" t="str">
        <f t="shared" si="285"/>
        <v>Установка магистрального бортового камня  на бетонное основание БР 100.60.20</v>
      </c>
      <c r="O368">
        <f t="shared" ref="O368:AT368" si="286">O375</f>
        <v>35986.239999999998</v>
      </c>
      <c r="P368">
        <f t="shared" si="286"/>
        <v>31193.72</v>
      </c>
      <c r="Q368">
        <f t="shared" si="286"/>
        <v>132.28</v>
      </c>
      <c r="R368">
        <f t="shared" si="286"/>
        <v>56.08</v>
      </c>
      <c r="S368">
        <f t="shared" si="286"/>
        <v>4660.24</v>
      </c>
      <c r="T368">
        <f t="shared" si="286"/>
        <v>0</v>
      </c>
      <c r="U368">
        <f t="shared" si="286"/>
        <v>23.566443999999997</v>
      </c>
      <c r="V368">
        <f t="shared" si="286"/>
        <v>0</v>
      </c>
      <c r="W368">
        <f t="shared" si="286"/>
        <v>0</v>
      </c>
      <c r="X368">
        <f t="shared" si="286"/>
        <v>3262.17</v>
      </c>
      <c r="Y368">
        <f t="shared" si="286"/>
        <v>466.02</v>
      </c>
      <c r="Z368">
        <f t="shared" si="286"/>
        <v>0</v>
      </c>
      <c r="AA368">
        <f t="shared" si="286"/>
        <v>0</v>
      </c>
      <c r="AB368">
        <f t="shared" si="286"/>
        <v>35986.239999999998</v>
      </c>
      <c r="AC368">
        <f t="shared" si="286"/>
        <v>31193.72</v>
      </c>
      <c r="AD368">
        <f t="shared" si="286"/>
        <v>132.28</v>
      </c>
      <c r="AE368">
        <f t="shared" si="286"/>
        <v>56.08</v>
      </c>
      <c r="AF368">
        <f t="shared" si="286"/>
        <v>4660.24</v>
      </c>
      <c r="AG368">
        <f t="shared" si="286"/>
        <v>0</v>
      </c>
      <c r="AH368">
        <f t="shared" si="286"/>
        <v>23.566443999999997</v>
      </c>
      <c r="AI368">
        <f t="shared" si="286"/>
        <v>0</v>
      </c>
      <c r="AJ368">
        <f t="shared" si="286"/>
        <v>0</v>
      </c>
      <c r="AK368">
        <f t="shared" si="286"/>
        <v>3262.17</v>
      </c>
      <c r="AL368">
        <f t="shared" si="286"/>
        <v>466.02</v>
      </c>
      <c r="AM368">
        <f t="shared" si="286"/>
        <v>0</v>
      </c>
      <c r="AN368">
        <f t="shared" si="286"/>
        <v>0</v>
      </c>
      <c r="AO368">
        <f t="shared" si="286"/>
        <v>0</v>
      </c>
      <c r="AP368">
        <f t="shared" si="286"/>
        <v>0</v>
      </c>
      <c r="AQ368">
        <f t="shared" si="286"/>
        <v>0</v>
      </c>
      <c r="AR368">
        <f t="shared" si="286"/>
        <v>39775</v>
      </c>
      <c r="AS368">
        <f t="shared" si="286"/>
        <v>0</v>
      </c>
      <c r="AT368">
        <f t="shared" si="286"/>
        <v>0</v>
      </c>
      <c r="AU368">
        <f t="shared" ref="AU368:BZ368" si="287">AU375</f>
        <v>39775</v>
      </c>
      <c r="AV368">
        <f t="shared" si="287"/>
        <v>31193.72</v>
      </c>
      <c r="AW368">
        <f t="shared" si="287"/>
        <v>31193.72</v>
      </c>
      <c r="AX368">
        <f t="shared" si="287"/>
        <v>0</v>
      </c>
      <c r="AY368">
        <f t="shared" si="287"/>
        <v>31193.72</v>
      </c>
      <c r="AZ368">
        <f t="shared" si="287"/>
        <v>0</v>
      </c>
      <c r="BA368">
        <f t="shared" si="287"/>
        <v>0</v>
      </c>
      <c r="BB368">
        <f t="shared" si="287"/>
        <v>0</v>
      </c>
      <c r="BC368">
        <f t="shared" si="287"/>
        <v>0</v>
      </c>
      <c r="BD368">
        <f t="shared" si="287"/>
        <v>0</v>
      </c>
      <c r="BE368">
        <f t="shared" si="287"/>
        <v>0</v>
      </c>
      <c r="BF368">
        <f t="shared" si="287"/>
        <v>0</v>
      </c>
      <c r="BG368">
        <f t="shared" si="287"/>
        <v>0</v>
      </c>
      <c r="BH368">
        <f t="shared" si="287"/>
        <v>0</v>
      </c>
      <c r="BI368">
        <f t="shared" si="287"/>
        <v>0</v>
      </c>
      <c r="BJ368">
        <f t="shared" si="287"/>
        <v>0</v>
      </c>
      <c r="BK368">
        <f t="shared" si="287"/>
        <v>0</v>
      </c>
      <c r="BL368">
        <f t="shared" si="287"/>
        <v>0</v>
      </c>
      <c r="BM368">
        <f t="shared" si="287"/>
        <v>0</v>
      </c>
      <c r="BN368">
        <f t="shared" si="287"/>
        <v>0</v>
      </c>
      <c r="BO368">
        <f t="shared" si="287"/>
        <v>0</v>
      </c>
      <c r="BP368">
        <f t="shared" si="287"/>
        <v>0</v>
      </c>
      <c r="BQ368">
        <f t="shared" si="287"/>
        <v>0</v>
      </c>
      <c r="BR368">
        <f t="shared" si="287"/>
        <v>0</v>
      </c>
      <c r="BS368">
        <f t="shared" si="287"/>
        <v>0</v>
      </c>
      <c r="BT368">
        <f t="shared" si="287"/>
        <v>0</v>
      </c>
      <c r="BU368">
        <f t="shared" si="287"/>
        <v>0</v>
      </c>
      <c r="BV368">
        <f t="shared" si="287"/>
        <v>0</v>
      </c>
      <c r="BW368">
        <f t="shared" si="287"/>
        <v>0</v>
      </c>
      <c r="BX368">
        <f t="shared" si="287"/>
        <v>0</v>
      </c>
      <c r="BY368">
        <f t="shared" si="287"/>
        <v>0</v>
      </c>
      <c r="BZ368">
        <f t="shared" si="287"/>
        <v>0</v>
      </c>
      <c r="CA368">
        <f t="shared" ref="CA368:DF368" si="288">CA375</f>
        <v>39775</v>
      </c>
      <c r="CB368">
        <f t="shared" si="288"/>
        <v>0</v>
      </c>
      <c r="CC368">
        <f t="shared" si="288"/>
        <v>0</v>
      </c>
      <c r="CD368">
        <f t="shared" si="288"/>
        <v>39775</v>
      </c>
      <c r="CE368">
        <f t="shared" si="288"/>
        <v>31193.72</v>
      </c>
      <c r="CF368">
        <f t="shared" si="288"/>
        <v>31193.72</v>
      </c>
      <c r="CG368">
        <f t="shared" si="288"/>
        <v>0</v>
      </c>
      <c r="CH368">
        <f t="shared" si="288"/>
        <v>31193.72</v>
      </c>
      <c r="CI368">
        <f t="shared" si="288"/>
        <v>0</v>
      </c>
      <c r="CJ368">
        <f t="shared" si="288"/>
        <v>0</v>
      </c>
      <c r="CK368">
        <f t="shared" si="288"/>
        <v>0</v>
      </c>
      <c r="CL368">
        <f t="shared" si="288"/>
        <v>0</v>
      </c>
      <c r="CM368">
        <f t="shared" si="288"/>
        <v>0</v>
      </c>
      <c r="CN368">
        <f t="shared" si="288"/>
        <v>0</v>
      </c>
      <c r="CO368">
        <f t="shared" si="288"/>
        <v>0</v>
      </c>
      <c r="CP368">
        <f t="shared" si="288"/>
        <v>0</v>
      </c>
      <c r="CQ368">
        <f t="shared" si="288"/>
        <v>0</v>
      </c>
      <c r="CR368">
        <f t="shared" si="288"/>
        <v>0</v>
      </c>
      <c r="CS368">
        <f t="shared" si="288"/>
        <v>0</v>
      </c>
      <c r="CT368">
        <f t="shared" si="288"/>
        <v>0</v>
      </c>
      <c r="CU368">
        <f t="shared" si="288"/>
        <v>0</v>
      </c>
      <c r="CV368">
        <f t="shared" si="288"/>
        <v>0</v>
      </c>
      <c r="CW368">
        <f t="shared" si="288"/>
        <v>0</v>
      </c>
      <c r="CX368">
        <f t="shared" si="288"/>
        <v>0</v>
      </c>
      <c r="CY368">
        <f t="shared" si="288"/>
        <v>0</v>
      </c>
      <c r="CZ368">
        <f t="shared" si="288"/>
        <v>0</v>
      </c>
      <c r="DA368">
        <f t="shared" si="288"/>
        <v>0</v>
      </c>
      <c r="DB368">
        <f t="shared" si="288"/>
        <v>0</v>
      </c>
      <c r="DC368">
        <f t="shared" si="288"/>
        <v>0</v>
      </c>
      <c r="DD368">
        <f t="shared" si="288"/>
        <v>0</v>
      </c>
      <c r="DE368">
        <f t="shared" si="288"/>
        <v>0</v>
      </c>
      <c r="DF368">
        <f t="shared" si="288"/>
        <v>0</v>
      </c>
      <c r="DG368">
        <f t="shared" ref="DG368:EL368" si="289">DG375</f>
        <v>0</v>
      </c>
      <c r="DH368">
        <f t="shared" si="289"/>
        <v>0</v>
      </c>
      <c r="DI368">
        <f t="shared" si="289"/>
        <v>0</v>
      </c>
      <c r="DJ368">
        <f t="shared" si="289"/>
        <v>0</v>
      </c>
      <c r="DK368">
        <f t="shared" si="289"/>
        <v>0</v>
      </c>
      <c r="DL368">
        <f t="shared" si="289"/>
        <v>0</v>
      </c>
      <c r="DM368">
        <f t="shared" si="289"/>
        <v>0</v>
      </c>
      <c r="DN368">
        <f t="shared" si="289"/>
        <v>0</v>
      </c>
      <c r="DO368">
        <f t="shared" si="289"/>
        <v>0</v>
      </c>
      <c r="DP368">
        <f t="shared" si="289"/>
        <v>0</v>
      </c>
      <c r="DQ368">
        <f t="shared" si="289"/>
        <v>0</v>
      </c>
      <c r="DR368">
        <f t="shared" si="289"/>
        <v>0</v>
      </c>
      <c r="DS368">
        <f t="shared" si="289"/>
        <v>0</v>
      </c>
      <c r="DT368">
        <f t="shared" si="289"/>
        <v>0</v>
      </c>
      <c r="DU368">
        <f t="shared" si="289"/>
        <v>0</v>
      </c>
      <c r="DV368">
        <f t="shared" si="289"/>
        <v>0</v>
      </c>
      <c r="DW368">
        <f t="shared" si="289"/>
        <v>0</v>
      </c>
      <c r="DX368">
        <f t="shared" si="289"/>
        <v>0</v>
      </c>
      <c r="DY368">
        <f t="shared" si="289"/>
        <v>0</v>
      </c>
      <c r="DZ368">
        <f t="shared" si="289"/>
        <v>0</v>
      </c>
      <c r="EA368">
        <f t="shared" si="289"/>
        <v>0</v>
      </c>
      <c r="EB368">
        <f t="shared" si="289"/>
        <v>0</v>
      </c>
      <c r="EC368">
        <f t="shared" si="289"/>
        <v>0</v>
      </c>
      <c r="ED368">
        <f t="shared" si="289"/>
        <v>0</v>
      </c>
      <c r="EE368">
        <f t="shared" si="289"/>
        <v>0</v>
      </c>
      <c r="EF368">
        <f t="shared" si="289"/>
        <v>0</v>
      </c>
      <c r="EG368">
        <f t="shared" si="289"/>
        <v>0</v>
      </c>
      <c r="EH368">
        <f t="shared" si="289"/>
        <v>0</v>
      </c>
      <c r="EI368">
        <f t="shared" si="289"/>
        <v>0</v>
      </c>
      <c r="EJ368">
        <f t="shared" si="289"/>
        <v>0</v>
      </c>
      <c r="EK368">
        <f t="shared" si="289"/>
        <v>0</v>
      </c>
      <c r="EL368">
        <f t="shared" si="289"/>
        <v>0</v>
      </c>
      <c r="EM368">
        <f t="shared" ref="EM368:FR368" si="290">EM375</f>
        <v>0</v>
      </c>
      <c r="EN368">
        <f t="shared" si="290"/>
        <v>0</v>
      </c>
      <c r="EO368">
        <f t="shared" si="290"/>
        <v>0</v>
      </c>
      <c r="EP368">
        <f t="shared" si="290"/>
        <v>0</v>
      </c>
      <c r="EQ368">
        <f t="shared" si="290"/>
        <v>0</v>
      </c>
      <c r="ER368">
        <f t="shared" si="290"/>
        <v>0</v>
      </c>
      <c r="ES368">
        <f t="shared" si="290"/>
        <v>0</v>
      </c>
      <c r="ET368">
        <f t="shared" si="290"/>
        <v>0</v>
      </c>
      <c r="EU368">
        <f t="shared" si="290"/>
        <v>0</v>
      </c>
      <c r="EV368">
        <f t="shared" si="290"/>
        <v>0</v>
      </c>
      <c r="EW368">
        <f t="shared" si="290"/>
        <v>0</v>
      </c>
      <c r="EX368">
        <f t="shared" si="290"/>
        <v>0</v>
      </c>
      <c r="EY368">
        <f t="shared" si="290"/>
        <v>0</v>
      </c>
      <c r="EZ368">
        <f t="shared" si="290"/>
        <v>0</v>
      </c>
      <c r="FA368">
        <f t="shared" si="290"/>
        <v>0</v>
      </c>
      <c r="FB368">
        <f t="shared" si="290"/>
        <v>0</v>
      </c>
      <c r="FC368">
        <f t="shared" si="290"/>
        <v>0</v>
      </c>
      <c r="FD368">
        <f t="shared" si="290"/>
        <v>0</v>
      </c>
      <c r="FE368">
        <f t="shared" si="290"/>
        <v>0</v>
      </c>
      <c r="FF368">
        <f t="shared" si="290"/>
        <v>0</v>
      </c>
      <c r="FG368">
        <f t="shared" si="290"/>
        <v>0</v>
      </c>
      <c r="FH368">
        <f t="shared" si="290"/>
        <v>0</v>
      </c>
      <c r="FI368">
        <f t="shared" si="290"/>
        <v>0</v>
      </c>
      <c r="FJ368">
        <f t="shared" si="290"/>
        <v>0</v>
      </c>
      <c r="FK368">
        <f t="shared" si="290"/>
        <v>0</v>
      </c>
      <c r="FL368">
        <f t="shared" si="290"/>
        <v>0</v>
      </c>
      <c r="FM368">
        <f t="shared" si="290"/>
        <v>0</v>
      </c>
      <c r="FN368">
        <f t="shared" si="290"/>
        <v>0</v>
      </c>
      <c r="FO368">
        <f t="shared" si="290"/>
        <v>0</v>
      </c>
      <c r="FP368">
        <f t="shared" si="290"/>
        <v>0</v>
      </c>
      <c r="FQ368">
        <f t="shared" si="290"/>
        <v>0</v>
      </c>
      <c r="FR368">
        <f t="shared" si="290"/>
        <v>0</v>
      </c>
      <c r="FS368">
        <f t="shared" ref="FS368:GX368" si="291">FS375</f>
        <v>0</v>
      </c>
      <c r="FT368">
        <f t="shared" si="291"/>
        <v>0</v>
      </c>
      <c r="FU368">
        <f t="shared" si="291"/>
        <v>0</v>
      </c>
      <c r="FV368">
        <f t="shared" si="291"/>
        <v>0</v>
      </c>
      <c r="FW368">
        <f t="shared" si="291"/>
        <v>0</v>
      </c>
      <c r="FX368">
        <f t="shared" si="291"/>
        <v>0</v>
      </c>
      <c r="FY368">
        <f t="shared" si="291"/>
        <v>0</v>
      </c>
      <c r="FZ368">
        <f t="shared" si="291"/>
        <v>0</v>
      </c>
      <c r="GA368">
        <f t="shared" si="291"/>
        <v>0</v>
      </c>
      <c r="GB368">
        <f t="shared" si="291"/>
        <v>0</v>
      </c>
      <c r="GC368">
        <f t="shared" si="291"/>
        <v>0</v>
      </c>
      <c r="GD368">
        <f t="shared" si="291"/>
        <v>0</v>
      </c>
      <c r="GE368">
        <f t="shared" si="291"/>
        <v>0</v>
      </c>
      <c r="GF368">
        <f t="shared" si="291"/>
        <v>0</v>
      </c>
      <c r="GG368">
        <f t="shared" si="291"/>
        <v>0</v>
      </c>
      <c r="GH368">
        <f t="shared" si="291"/>
        <v>0</v>
      </c>
      <c r="GI368">
        <f t="shared" si="291"/>
        <v>0</v>
      </c>
      <c r="GJ368">
        <f t="shared" si="291"/>
        <v>0</v>
      </c>
      <c r="GK368">
        <f t="shared" si="291"/>
        <v>0</v>
      </c>
      <c r="GL368">
        <f t="shared" si="291"/>
        <v>0</v>
      </c>
      <c r="GM368">
        <f t="shared" si="291"/>
        <v>0</v>
      </c>
      <c r="GN368">
        <f t="shared" si="291"/>
        <v>0</v>
      </c>
      <c r="GO368">
        <f t="shared" si="291"/>
        <v>0</v>
      </c>
      <c r="GP368">
        <f t="shared" si="291"/>
        <v>0</v>
      </c>
      <c r="GQ368">
        <f t="shared" si="291"/>
        <v>0</v>
      </c>
      <c r="GR368">
        <f t="shared" si="291"/>
        <v>0</v>
      </c>
      <c r="GS368">
        <f t="shared" si="291"/>
        <v>0</v>
      </c>
      <c r="GT368">
        <f t="shared" si="291"/>
        <v>0</v>
      </c>
      <c r="GU368">
        <f t="shared" si="291"/>
        <v>0</v>
      </c>
      <c r="GV368">
        <f t="shared" si="291"/>
        <v>0</v>
      </c>
      <c r="GW368">
        <f t="shared" si="291"/>
        <v>0</v>
      </c>
      <c r="GX368">
        <f t="shared" si="291"/>
        <v>0</v>
      </c>
    </row>
    <row r="370" spans="1:245" x14ac:dyDescent="0.2">
      <c r="A370">
        <v>17</v>
      </c>
      <c r="B370">
        <v>1</v>
      </c>
      <c r="D370">
        <f>ROW(EtalonRes!A406)</f>
        <v>406</v>
      </c>
      <c r="E370" t="s">
        <v>336</v>
      </c>
      <c r="F370" t="s">
        <v>252</v>
      </c>
      <c r="G370" t="s">
        <v>330</v>
      </c>
      <c r="H370" t="s">
        <v>47</v>
      </c>
      <c r="I370">
        <f>ROUND(I371*0.06,9)</f>
        <v>1.7399999999999999E-2</v>
      </c>
      <c r="J370">
        <v>0</v>
      </c>
      <c r="O370">
        <f>ROUND(CP370,2)</f>
        <v>1320.03</v>
      </c>
      <c r="P370">
        <f>ROUND(CQ370*I370,2)</f>
        <v>1133.82</v>
      </c>
      <c r="Q370">
        <f>ROUND(CR370*I370,2)</f>
        <v>132.28</v>
      </c>
      <c r="R370">
        <f>ROUND(CS370*I370,2)</f>
        <v>56.08</v>
      </c>
      <c r="S370">
        <f>ROUND(CT370*I370,2)</f>
        <v>53.93</v>
      </c>
      <c r="T370">
        <f>ROUND(CU370*I370,2)</f>
        <v>0</v>
      </c>
      <c r="U370">
        <f>CV370*I370</f>
        <v>0.28814399999999996</v>
      </c>
      <c r="V370">
        <f>CW370*I370</f>
        <v>0</v>
      </c>
      <c r="W370">
        <f>ROUND(CX370*I370,2)</f>
        <v>0</v>
      </c>
      <c r="X370">
        <f t="shared" ref="X370:Y373" si="292">ROUND(CY370,2)</f>
        <v>37.75</v>
      </c>
      <c r="Y370">
        <f t="shared" si="292"/>
        <v>5.39</v>
      </c>
      <c r="AA370">
        <v>71209905</v>
      </c>
      <c r="AB370">
        <f>ROUND((AC370+AD370+AF370),6)</f>
        <v>75863.820000000007</v>
      </c>
      <c r="AC370">
        <f>ROUND((ES370),6)</f>
        <v>65162.05</v>
      </c>
      <c r="AD370">
        <f>ROUND((((ET370)-(EU370))+AE370),6)</f>
        <v>7602.23</v>
      </c>
      <c r="AE370">
        <f t="shared" ref="AE370:AF373" si="293">ROUND((EU370),6)</f>
        <v>3222.98</v>
      </c>
      <c r="AF370">
        <f t="shared" si="293"/>
        <v>3099.54</v>
      </c>
      <c r="AG370">
        <f>ROUND((AP370),6)</f>
        <v>0</v>
      </c>
      <c r="AH370">
        <f t="shared" ref="AH370:AI373" si="294">(EW370)</f>
        <v>16.559999999999999</v>
      </c>
      <c r="AI370">
        <f t="shared" si="294"/>
        <v>0</v>
      </c>
      <c r="AJ370">
        <f>(AS370)</f>
        <v>0</v>
      </c>
      <c r="AK370">
        <v>75863.820000000007</v>
      </c>
      <c r="AL370">
        <v>65162.05</v>
      </c>
      <c r="AM370">
        <v>7602.23</v>
      </c>
      <c r="AN370">
        <v>3222.98</v>
      </c>
      <c r="AO370">
        <v>3099.54</v>
      </c>
      <c r="AP370">
        <v>0</v>
      </c>
      <c r="AQ370">
        <v>16.559999999999999</v>
      </c>
      <c r="AR370">
        <v>0</v>
      </c>
      <c r="AS370">
        <v>0</v>
      </c>
      <c r="AT370">
        <v>70</v>
      </c>
      <c r="AU370">
        <v>10</v>
      </c>
      <c r="AV370">
        <v>1</v>
      </c>
      <c r="AW370">
        <v>1</v>
      </c>
      <c r="AZ370">
        <v>1</v>
      </c>
      <c r="BA370">
        <v>1</v>
      </c>
      <c r="BB370">
        <v>1</v>
      </c>
      <c r="BC370">
        <v>1</v>
      </c>
      <c r="BD370" t="s">
        <v>3</v>
      </c>
      <c r="BE370" t="s">
        <v>3</v>
      </c>
      <c r="BF370" t="s">
        <v>3</v>
      </c>
      <c r="BG370" t="s">
        <v>3</v>
      </c>
      <c r="BH370">
        <v>0</v>
      </c>
      <c r="BI370">
        <v>4</v>
      </c>
      <c r="BJ370" t="s">
        <v>254</v>
      </c>
      <c r="BM370">
        <v>0</v>
      </c>
      <c r="BN370">
        <v>0</v>
      </c>
      <c r="BO370" t="s">
        <v>3</v>
      </c>
      <c r="BP370">
        <v>0</v>
      </c>
      <c r="BQ370">
        <v>1</v>
      </c>
      <c r="BR370">
        <v>0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 t="s">
        <v>3</v>
      </c>
      <c r="BZ370">
        <v>70</v>
      </c>
      <c r="CA370">
        <v>10</v>
      </c>
      <c r="CE370">
        <v>0</v>
      </c>
      <c r="CF370">
        <v>0</v>
      </c>
      <c r="CG370">
        <v>0</v>
      </c>
      <c r="CM370">
        <v>0</v>
      </c>
      <c r="CN370" t="s">
        <v>3</v>
      </c>
      <c r="CO370">
        <v>0</v>
      </c>
      <c r="CP370">
        <f>(P370+Q370+S370)</f>
        <v>1320.03</v>
      </c>
      <c r="CQ370">
        <f>(AC370*BC370*AW370)</f>
        <v>65162.05</v>
      </c>
      <c r="CR370">
        <f>((((ET370)*BB370-(EU370)*BS370)+AE370*BS370)*AV370)</f>
        <v>7602.23</v>
      </c>
      <c r="CS370">
        <f>(AE370*BS370*AV370)</f>
        <v>3222.98</v>
      </c>
      <c r="CT370">
        <f>(AF370*BA370*AV370)</f>
        <v>3099.54</v>
      </c>
      <c r="CU370">
        <f>AG370</f>
        <v>0</v>
      </c>
      <c r="CV370">
        <f>(AH370*AV370)</f>
        <v>16.559999999999999</v>
      </c>
      <c r="CW370">
        <f t="shared" ref="CW370:CX373" si="295">AI370</f>
        <v>0</v>
      </c>
      <c r="CX370">
        <f t="shared" si="295"/>
        <v>0</v>
      </c>
      <c r="CY370">
        <f>((S370*BZ370)/100)</f>
        <v>37.750999999999998</v>
      </c>
      <c r="CZ370">
        <f>((S370*CA370)/100)</f>
        <v>5.3929999999999998</v>
      </c>
      <c r="DC370" t="s">
        <v>3</v>
      </c>
      <c r="DD370" t="s">
        <v>3</v>
      </c>
      <c r="DE370" t="s">
        <v>3</v>
      </c>
      <c r="DF370" t="s">
        <v>3</v>
      </c>
      <c r="DG370" t="s">
        <v>3</v>
      </c>
      <c r="DH370" t="s">
        <v>3</v>
      </c>
      <c r="DI370" t="s">
        <v>3</v>
      </c>
      <c r="DJ370" t="s">
        <v>3</v>
      </c>
      <c r="DK370" t="s">
        <v>3</v>
      </c>
      <c r="DL370" t="s">
        <v>3</v>
      </c>
      <c r="DM370" t="s">
        <v>3</v>
      </c>
      <c r="DN370">
        <v>0</v>
      </c>
      <c r="DO370">
        <v>0</v>
      </c>
      <c r="DP370">
        <v>1</v>
      </c>
      <c r="DQ370">
        <v>1</v>
      </c>
      <c r="DU370">
        <v>1007</v>
      </c>
      <c r="DV370" t="s">
        <v>47</v>
      </c>
      <c r="DW370" t="s">
        <v>47</v>
      </c>
      <c r="DX370">
        <v>100</v>
      </c>
      <c r="EE370">
        <v>67874524</v>
      </c>
      <c r="EF370">
        <v>1</v>
      </c>
      <c r="EG370" t="s">
        <v>20</v>
      </c>
      <c r="EH370">
        <v>0</v>
      </c>
      <c r="EI370" t="s">
        <v>3</v>
      </c>
      <c r="EJ370">
        <v>4</v>
      </c>
      <c r="EK370">
        <v>0</v>
      </c>
      <c r="EL370" t="s">
        <v>21</v>
      </c>
      <c r="EM370" t="s">
        <v>22</v>
      </c>
      <c r="EO370" t="s">
        <v>3</v>
      </c>
      <c r="EQ370">
        <v>0</v>
      </c>
      <c r="ER370">
        <v>75863.820000000007</v>
      </c>
      <c r="ES370">
        <v>65162.05</v>
      </c>
      <c r="ET370">
        <v>7602.23</v>
      </c>
      <c r="EU370">
        <v>3222.98</v>
      </c>
      <c r="EV370">
        <v>3099.54</v>
      </c>
      <c r="EW370">
        <v>16.559999999999999</v>
      </c>
      <c r="EX370">
        <v>0</v>
      </c>
      <c r="EY370">
        <v>0</v>
      </c>
      <c r="FQ370">
        <v>0</v>
      </c>
      <c r="FR370">
        <f>ROUND(IF(AND(BH370=3,BI370=3),P370,0),2)</f>
        <v>0</v>
      </c>
      <c r="FS370">
        <v>0</v>
      </c>
      <c r="FX370">
        <v>70</v>
      </c>
      <c r="FY370">
        <v>10</v>
      </c>
      <c r="GA370" t="s">
        <v>3</v>
      </c>
      <c r="GD370">
        <v>0</v>
      </c>
      <c r="GF370">
        <v>2135562757</v>
      </c>
      <c r="GG370">
        <v>2</v>
      </c>
      <c r="GH370">
        <v>1</v>
      </c>
      <c r="GI370">
        <v>-2</v>
      </c>
      <c r="GJ370">
        <v>0</v>
      </c>
      <c r="GK370">
        <f>ROUND(R370*(R12)/100,2)</f>
        <v>60.57</v>
      </c>
      <c r="GL370">
        <f>ROUND(IF(AND(BH370=3,BI370=3,FS370&lt;&gt;0),P370,0),2)</f>
        <v>0</v>
      </c>
      <c r="GM370">
        <f>ROUND(O370+X370+Y370+GK370,2)+GX370</f>
        <v>1423.74</v>
      </c>
      <c r="GN370">
        <f>IF(OR(BI370=0,BI370=1),ROUND(O370+X370+Y370+GK370,2),0)</f>
        <v>0</v>
      </c>
      <c r="GO370">
        <f>IF(BI370=2,ROUND(O370+X370+Y370+GK370,2),0)</f>
        <v>0</v>
      </c>
      <c r="GP370">
        <f>IF(BI370=4,ROUND(O370+X370+Y370+GK370,2)+GX370,0)</f>
        <v>1423.74</v>
      </c>
      <c r="GR370">
        <v>0</v>
      </c>
      <c r="GS370">
        <v>3</v>
      </c>
      <c r="GT370">
        <v>0</v>
      </c>
      <c r="GU370" t="s">
        <v>3</v>
      </c>
      <c r="GV370">
        <f>ROUND((GT370),6)</f>
        <v>0</v>
      </c>
      <c r="GW370">
        <v>1</v>
      </c>
      <c r="GX370">
        <f>ROUND(HC370*I370,2)</f>
        <v>0</v>
      </c>
      <c r="HA370">
        <v>0</v>
      </c>
      <c r="HB370">
        <v>0</v>
      </c>
      <c r="HC370">
        <f>GV370*GW370</f>
        <v>0</v>
      </c>
      <c r="IK370">
        <v>0</v>
      </c>
    </row>
    <row r="371" spans="1:245" x14ac:dyDescent="0.2">
      <c r="A371">
        <v>17</v>
      </c>
      <c r="B371">
        <v>1</v>
      </c>
      <c r="C371">
        <f>ROW(SmtRes!A69)</f>
        <v>69</v>
      </c>
      <c r="D371">
        <f>ROW(EtalonRes!A410)</f>
        <v>410</v>
      </c>
      <c r="E371" t="s">
        <v>337</v>
      </c>
      <c r="F371" t="s">
        <v>322</v>
      </c>
      <c r="G371" t="s">
        <v>323</v>
      </c>
      <c r="H371" t="s">
        <v>72</v>
      </c>
      <c r="I371">
        <f>ROUND((29)/100,9)</f>
        <v>0.28999999999999998</v>
      </c>
      <c r="J371">
        <v>0</v>
      </c>
      <c r="O371">
        <f>ROUND(CP371,2)</f>
        <v>20789.009999999998</v>
      </c>
      <c r="P371">
        <f>ROUND(CQ371*I371,2)</f>
        <v>16182.7</v>
      </c>
      <c r="Q371">
        <f>ROUND(CR371*I371,2)</f>
        <v>0</v>
      </c>
      <c r="R371">
        <f>ROUND(CS371*I371,2)</f>
        <v>0</v>
      </c>
      <c r="S371">
        <f>ROUND(CT371*I371,2)</f>
        <v>4606.3100000000004</v>
      </c>
      <c r="T371">
        <f>ROUND(CU371*I371,2)</f>
        <v>0</v>
      </c>
      <c r="U371">
        <f>CV371*I371</f>
        <v>23.278299999999998</v>
      </c>
      <c r="V371">
        <f>CW371*I371</f>
        <v>0</v>
      </c>
      <c r="W371">
        <f>ROUND(CX371*I371,2)</f>
        <v>0</v>
      </c>
      <c r="X371">
        <f t="shared" si="292"/>
        <v>3224.42</v>
      </c>
      <c r="Y371">
        <f t="shared" si="292"/>
        <v>460.63</v>
      </c>
      <c r="AA371">
        <v>71209905</v>
      </c>
      <c r="AB371">
        <f>ROUND((AC371+AD371+AF371),6)</f>
        <v>71686.240000000005</v>
      </c>
      <c r="AC371">
        <f>ROUND((ES371),6)</f>
        <v>55802.41</v>
      </c>
      <c r="AD371">
        <f>ROUND((((ET371)-(EU371))+AE371),6)</f>
        <v>0</v>
      </c>
      <c r="AE371">
        <f t="shared" si="293"/>
        <v>0</v>
      </c>
      <c r="AF371">
        <f t="shared" si="293"/>
        <v>15883.83</v>
      </c>
      <c r="AG371">
        <f>ROUND((AP371),6)</f>
        <v>0</v>
      </c>
      <c r="AH371">
        <f t="shared" si="294"/>
        <v>80.27</v>
      </c>
      <c r="AI371">
        <f t="shared" si="294"/>
        <v>0</v>
      </c>
      <c r="AJ371">
        <f>(AS371)</f>
        <v>0</v>
      </c>
      <c r="AK371">
        <v>71686.240000000005</v>
      </c>
      <c r="AL371">
        <v>55802.41</v>
      </c>
      <c r="AM371">
        <v>0</v>
      </c>
      <c r="AN371">
        <v>0</v>
      </c>
      <c r="AO371">
        <v>15883.83</v>
      </c>
      <c r="AP371">
        <v>0</v>
      </c>
      <c r="AQ371">
        <v>80.27</v>
      </c>
      <c r="AR371">
        <v>0</v>
      </c>
      <c r="AS371">
        <v>0</v>
      </c>
      <c r="AT371">
        <v>70</v>
      </c>
      <c r="AU371">
        <v>10</v>
      </c>
      <c r="AV371">
        <v>1</v>
      </c>
      <c r="AW371">
        <v>1</v>
      </c>
      <c r="AZ371">
        <v>1</v>
      </c>
      <c r="BA371">
        <v>1</v>
      </c>
      <c r="BB371">
        <v>1</v>
      </c>
      <c r="BC371">
        <v>1</v>
      </c>
      <c r="BD371" t="s">
        <v>3</v>
      </c>
      <c r="BE371" t="s">
        <v>3</v>
      </c>
      <c r="BF371" t="s">
        <v>3</v>
      </c>
      <c r="BG371" t="s">
        <v>3</v>
      </c>
      <c r="BH371">
        <v>0</v>
      </c>
      <c r="BI371">
        <v>4</v>
      </c>
      <c r="BJ371" t="s">
        <v>324</v>
      </c>
      <c r="BM371">
        <v>0</v>
      </c>
      <c r="BN371">
        <v>0</v>
      </c>
      <c r="BO371" t="s">
        <v>3</v>
      </c>
      <c r="BP371">
        <v>0</v>
      </c>
      <c r="BQ371">
        <v>1</v>
      </c>
      <c r="BR371">
        <v>0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 t="s">
        <v>3</v>
      </c>
      <c r="BZ371">
        <v>70</v>
      </c>
      <c r="CA371">
        <v>10</v>
      </c>
      <c r="CE371">
        <v>0</v>
      </c>
      <c r="CF371">
        <v>0</v>
      </c>
      <c r="CG371">
        <v>0</v>
      </c>
      <c r="CM371">
        <v>0</v>
      </c>
      <c r="CN371" t="s">
        <v>3</v>
      </c>
      <c r="CO371">
        <v>0</v>
      </c>
      <c r="CP371">
        <f>(P371+Q371+S371)</f>
        <v>20789.010000000002</v>
      </c>
      <c r="CQ371">
        <f>(AC371*BC371*AW371)</f>
        <v>55802.41</v>
      </c>
      <c r="CR371">
        <f>((((ET371)*BB371-(EU371)*BS371)+AE371*BS371)*AV371)</f>
        <v>0</v>
      </c>
      <c r="CS371">
        <f>(AE371*BS371*AV371)</f>
        <v>0</v>
      </c>
      <c r="CT371">
        <f>(AF371*BA371*AV371)</f>
        <v>15883.83</v>
      </c>
      <c r="CU371">
        <f>AG371</f>
        <v>0</v>
      </c>
      <c r="CV371">
        <f>(AH371*AV371)</f>
        <v>80.27</v>
      </c>
      <c r="CW371">
        <f t="shared" si="295"/>
        <v>0</v>
      </c>
      <c r="CX371">
        <f t="shared" si="295"/>
        <v>0</v>
      </c>
      <c r="CY371">
        <f>((S371*BZ371)/100)</f>
        <v>3224.4169999999999</v>
      </c>
      <c r="CZ371">
        <f>((S371*CA371)/100)</f>
        <v>460.63100000000009</v>
      </c>
      <c r="DC371" t="s">
        <v>3</v>
      </c>
      <c r="DD371" t="s">
        <v>3</v>
      </c>
      <c r="DE371" t="s">
        <v>3</v>
      </c>
      <c r="DF371" t="s">
        <v>3</v>
      </c>
      <c r="DG371" t="s">
        <v>3</v>
      </c>
      <c r="DH371" t="s">
        <v>3</v>
      </c>
      <c r="DI371" t="s">
        <v>3</v>
      </c>
      <c r="DJ371" t="s">
        <v>3</v>
      </c>
      <c r="DK371" t="s">
        <v>3</v>
      </c>
      <c r="DL371" t="s">
        <v>3</v>
      </c>
      <c r="DM371" t="s">
        <v>3</v>
      </c>
      <c r="DN371">
        <v>0</v>
      </c>
      <c r="DO371">
        <v>0</v>
      </c>
      <c r="DP371">
        <v>1</v>
      </c>
      <c r="DQ371">
        <v>1</v>
      </c>
      <c r="DU371">
        <v>1003</v>
      </c>
      <c r="DV371" t="s">
        <v>72</v>
      </c>
      <c r="DW371" t="s">
        <v>72</v>
      </c>
      <c r="DX371">
        <v>100</v>
      </c>
      <c r="EE371">
        <v>67874524</v>
      </c>
      <c r="EF371">
        <v>1</v>
      </c>
      <c r="EG371" t="s">
        <v>20</v>
      </c>
      <c r="EH371">
        <v>0</v>
      </c>
      <c r="EI371" t="s">
        <v>3</v>
      </c>
      <c r="EJ371">
        <v>4</v>
      </c>
      <c r="EK371">
        <v>0</v>
      </c>
      <c r="EL371" t="s">
        <v>21</v>
      </c>
      <c r="EM371" t="s">
        <v>22</v>
      </c>
      <c r="EO371" t="s">
        <v>3</v>
      </c>
      <c r="EQ371">
        <v>0</v>
      </c>
      <c r="ER371">
        <v>71686.240000000005</v>
      </c>
      <c r="ES371">
        <v>55802.41</v>
      </c>
      <c r="ET371">
        <v>0</v>
      </c>
      <c r="EU371">
        <v>0</v>
      </c>
      <c r="EV371">
        <v>15883.83</v>
      </c>
      <c r="EW371">
        <v>80.27</v>
      </c>
      <c r="EX371">
        <v>0</v>
      </c>
      <c r="EY371">
        <v>0</v>
      </c>
      <c r="FQ371">
        <v>0</v>
      </c>
      <c r="FR371">
        <f>ROUND(IF(AND(BH371=3,BI371=3),P371,0),2)</f>
        <v>0</v>
      </c>
      <c r="FS371">
        <v>0</v>
      </c>
      <c r="FX371">
        <v>70</v>
      </c>
      <c r="FY371">
        <v>10</v>
      </c>
      <c r="GA371" t="s">
        <v>3</v>
      </c>
      <c r="GD371">
        <v>0</v>
      </c>
      <c r="GF371">
        <v>-1703792518</v>
      </c>
      <c r="GG371">
        <v>2</v>
      </c>
      <c r="GH371">
        <v>1</v>
      </c>
      <c r="GI371">
        <v>-2</v>
      </c>
      <c r="GJ371">
        <v>0</v>
      </c>
      <c r="GK371">
        <f>ROUND(R371*(R12)/100,2)</f>
        <v>0</v>
      </c>
      <c r="GL371">
        <f>ROUND(IF(AND(BH371=3,BI371=3,FS371&lt;&gt;0),P371,0),2)</f>
        <v>0</v>
      </c>
      <c r="GM371">
        <f>ROUND(O371+X371+Y371+GK371,2)+GX371</f>
        <v>24474.06</v>
      </c>
      <c r="GN371">
        <f>IF(OR(BI371=0,BI371=1),ROUND(O371+X371+Y371+GK371,2),0)</f>
        <v>0</v>
      </c>
      <c r="GO371">
        <f>IF(BI371=2,ROUND(O371+X371+Y371+GK371,2),0)</f>
        <v>0</v>
      </c>
      <c r="GP371">
        <f>IF(BI371=4,ROUND(O371+X371+Y371+GK371,2)+GX371,0)</f>
        <v>24474.06</v>
      </c>
      <c r="GR371">
        <v>0</v>
      </c>
      <c r="GS371">
        <v>3</v>
      </c>
      <c r="GT371">
        <v>0</v>
      </c>
      <c r="GU371" t="s">
        <v>3</v>
      </c>
      <c r="GV371">
        <f>ROUND((GT371),6)</f>
        <v>0</v>
      </c>
      <c r="GW371">
        <v>1</v>
      </c>
      <c r="GX371">
        <f>ROUND(HC371*I371,2)</f>
        <v>0</v>
      </c>
      <c r="HA371">
        <v>0</v>
      </c>
      <c r="HB371">
        <v>0</v>
      </c>
      <c r="HC371">
        <f>GV371*GW371</f>
        <v>0</v>
      </c>
      <c r="IK371">
        <v>0</v>
      </c>
    </row>
    <row r="372" spans="1:245" x14ac:dyDescent="0.2">
      <c r="A372">
        <v>18</v>
      </c>
      <c r="B372">
        <v>1</v>
      </c>
      <c r="C372">
        <v>68</v>
      </c>
      <c r="E372" t="s">
        <v>338</v>
      </c>
      <c r="F372" t="s">
        <v>339</v>
      </c>
      <c r="G372" t="s">
        <v>340</v>
      </c>
      <c r="H372" t="s">
        <v>236</v>
      </c>
      <c r="I372">
        <f>I371*J372</f>
        <v>-1.2470000000000001</v>
      </c>
      <c r="J372">
        <v>-4.3000000000000007</v>
      </c>
      <c r="O372">
        <f>ROUND(CP372,2)</f>
        <v>-9767.76</v>
      </c>
      <c r="P372">
        <f>ROUND(CQ372*I372,2)</f>
        <v>-9767.76</v>
      </c>
      <c r="Q372">
        <f>ROUND(CR372*I372,2)</f>
        <v>0</v>
      </c>
      <c r="R372">
        <f>ROUND(CS372*I372,2)</f>
        <v>0</v>
      </c>
      <c r="S372">
        <f>ROUND(CT372*I372,2)</f>
        <v>0</v>
      </c>
      <c r="T372">
        <f>ROUND(CU372*I372,2)</f>
        <v>0</v>
      </c>
      <c r="U372">
        <f>CV372*I372</f>
        <v>0</v>
      </c>
      <c r="V372">
        <f>CW372*I372</f>
        <v>0</v>
      </c>
      <c r="W372">
        <f>ROUND(CX372*I372,2)</f>
        <v>0</v>
      </c>
      <c r="X372">
        <f t="shared" si="292"/>
        <v>0</v>
      </c>
      <c r="Y372">
        <f t="shared" si="292"/>
        <v>0</v>
      </c>
      <c r="AA372">
        <v>71209905</v>
      </c>
      <c r="AB372">
        <f>ROUND((AC372+AD372+AF372),6)</f>
        <v>7833.01</v>
      </c>
      <c r="AC372">
        <f>ROUND((ES372),6)</f>
        <v>7833.01</v>
      </c>
      <c r="AD372">
        <f>ROUND((((ET372)-(EU372))+AE372),6)</f>
        <v>0</v>
      </c>
      <c r="AE372">
        <f t="shared" si="293"/>
        <v>0</v>
      </c>
      <c r="AF372">
        <f t="shared" si="293"/>
        <v>0</v>
      </c>
      <c r="AG372">
        <f>ROUND((AP372),6)</f>
        <v>0</v>
      </c>
      <c r="AH372">
        <f t="shared" si="294"/>
        <v>0</v>
      </c>
      <c r="AI372">
        <f t="shared" si="294"/>
        <v>0</v>
      </c>
      <c r="AJ372">
        <f>(AS372)</f>
        <v>0</v>
      </c>
      <c r="AK372">
        <v>7833.01</v>
      </c>
      <c r="AL372">
        <v>7833.01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70</v>
      </c>
      <c r="AU372">
        <v>10</v>
      </c>
      <c r="AV372">
        <v>1</v>
      </c>
      <c r="AW372">
        <v>1</v>
      </c>
      <c r="AZ372">
        <v>1</v>
      </c>
      <c r="BA372">
        <v>1</v>
      </c>
      <c r="BB372">
        <v>1</v>
      </c>
      <c r="BC372">
        <v>1</v>
      </c>
      <c r="BD372" t="s">
        <v>3</v>
      </c>
      <c r="BE372" t="s">
        <v>3</v>
      </c>
      <c r="BF372" t="s">
        <v>3</v>
      </c>
      <c r="BG372" t="s">
        <v>3</v>
      </c>
      <c r="BH372">
        <v>3</v>
      </c>
      <c r="BI372">
        <v>4</v>
      </c>
      <c r="BJ372" t="s">
        <v>341</v>
      </c>
      <c r="BM372">
        <v>0</v>
      </c>
      <c r="BN372">
        <v>0</v>
      </c>
      <c r="BO372" t="s">
        <v>3</v>
      </c>
      <c r="BP372">
        <v>0</v>
      </c>
      <c r="BQ372">
        <v>1</v>
      </c>
      <c r="BR372">
        <v>0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 t="s">
        <v>3</v>
      </c>
      <c r="BZ372">
        <v>70</v>
      </c>
      <c r="CA372">
        <v>10</v>
      </c>
      <c r="CE372">
        <v>0</v>
      </c>
      <c r="CF372">
        <v>0</v>
      </c>
      <c r="CG372">
        <v>0</v>
      </c>
      <c r="CM372">
        <v>0</v>
      </c>
      <c r="CN372" t="s">
        <v>3</v>
      </c>
      <c r="CO372">
        <v>0</v>
      </c>
      <c r="CP372">
        <f>(P372+Q372+S372)</f>
        <v>-9767.76</v>
      </c>
      <c r="CQ372">
        <f>(AC372*BC372*AW372)</f>
        <v>7833.01</v>
      </c>
      <c r="CR372">
        <f>((((ET372)*BB372-(EU372)*BS372)+AE372*BS372)*AV372)</f>
        <v>0</v>
      </c>
      <c r="CS372">
        <f>(AE372*BS372*AV372)</f>
        <v>0</v>
      </c>
      <c r="CT372">
        <f>(AF372*BA372*AV372)</f>
        <v>0</v>
      </c>
      <c r="CU372">
        <f>AG372</f>
        <v>0</v>
      </c>
      <c r="CV372">
        <f>(AH372*AV372)</f>
        <v>0</v>
      </c>
      <c r="CW372">
        <f t="shared" si="295"/>
        <v>0</v>
      </c>
      <c r="CX372">
        <f t="shared" si="295"/>
        <v>0</v>
      </c>
      <c r="CY372">
        <f>((S372*BZ372)/100)</f>
        <v>0</v>
      </c>
      <c r="CZ372">
        <f>((S372*CA372)/100)</f>
        <v>0</v>
      </c>
      <c r="DC372" t="s">
        <v>3</v>
      </c>
      <c r="DD372" t="s">
        <v>3</v>
      </c>
      <c r="DE372" t="s">
        <v>3</v>
      </c>
      <c r="DF372" t="s">
        <v>3</v>
      </c>
      <c r="DG372" t="s">
        <v>3</v>
      </c>
      <c r="DH372" t="s">
        <v>3</v>
      </c>
      <c r="DI372" t="s">
        <v>3</v>
      </c>
      <c r="DJ372" t="s">
        <v>3</v>
      </c>
      <c r="DK372" t="s">
        <v>3</v>
      </c>
      <c r="DL372" t="s">
        <v>3</v>
      </c>
      <c r="DM372" t="s">
        <v>3</v>
      </c>
      <c r="DN372">
        <v>0</v>
      </c>
      <c r="DO372">
        <v>0</v>
      </c>
      <c r="DP372">
        <v>1</v>
      </c>
      <c r="DQ372">
        <v>1</v>
      </c>
      <c r="DU372">
        <v>1007</v>
      </c>
      <c r="DV372" t="s">
        <v>236</v>
      </c>
      <c r="DW372" t="s">
        <v>236</v>
      </c>
      <c r="DX372">
        <v>1</v>
      </c>
      <c r="EE372">
        <v>67874524</v>
      </c>
      <c r="EF372">
        <v>1</v>
      </c>
      <c r="EG372" t="s">
        <v>20</v>
      </c>
      <c r="EH372">
        <v>0</v>
      </c>
      <c r="EI372" t="s">
        <v>3</v>
      </c>
      <c r="EJ372">
        <v>4</v>
      </c>
      <c r="EK372">
        <v>0</v>
      </c>
      <c r="EL372" t="s">
        <v>21</v>
      </c>
      <c r="EM372" t="s">
        <v>22</v>
      </c>
      <c r="EO372" t="s">
        <v>3</v>
      </c>
      <c r="EQ372">
        <v>0</v>
      </c>
      <c r="ER372">
        <v>7833.01</v>
      </c>
      <c r="ES372">
        <v>7833.01</v>
      </c>
      <c r="ET372">
        <v>0</v>
      </c>
      <c r="EU372">
        <v>0</v>
      </c>
      <c r="EV372">
        <v>0</v>
      </c>
      <c r="EW372">
        <v>0</v>
      </c>
      <c r="EX372">
        <v>0</v>
      </c>
      <c r="FQ372">
        <v>0</v>
      </c>
      <c r="FR372">
        <f>ROUND(IF(AND(BH372=3,BI372=3),P372,0),2)</f>
        <v>0</v>
      </c>
      <c r="FS372">
        <v>0</v>
      </c>
      <c r="FX372">
        <v>70</v>
      </c>
      <c r="FY372">
        <v>10</v>
      </c>
      <c r="GA372" t="s">
        <v>3</v>
      </c>
      <c r="GD372">
        <v>0</v>
      </c>
      <c r="GF372">
        <v>1857369686</v>
      </c>
      <c r="GG372">
        <v>2</v>
      </c>
      <c r="GH372">
        <v>1</v>
      </c>
      <c r="GI372">
        <v>-2</v>
      </c>
      <c r="GJ372">
        <v>0</v>
      </c>
      <c r="GK372">
        <f>ROUND(R372*(R12)/100,2)</f>
        <v>0</v>
      </c>
      <c r="GL372">
        <f>ROUND(IF(AND(BH372=3,BI372=3,FS372&lt;&gt;0),P372,0),2)</f>
        <v>0</v>
      </c>
      <c r="GM372">
        <f>ROUND(O372+X372+Y372+GK372,2)+GX372</f>
        <v>-9767.76</v>
      </c>
      <c r="GN372">
        <f>IF(OR(BI372=0,BI372=1),ROUND(O372+X372+Y372+GK372,2),0)</f>
        <v>0</v>
      </c>
      <c r="GO372">
        <f>IF(BI372=2,ROUND(O372+X372+Y372+GK372,2),0)</f>
        <v>0</v>
      </c>
      <c r="GP372">
        <f>IF(BI372=4,ROUND(O372+X372+Y372+GK372,2)+GX372,0)</f>
        <v>-9767.76</v>
      </c>
      <c r="GR372">
        <v>0</v>
      </c>
      <c r="GS372">
        <v>3</v>
      </c>
      <c r="GT372">
        <v>0</v>
      </c>
      <c r="GU372" t="s">
        <v>3</v>
      </c>
      <c r="GV372">
        <f>ROUND((GT372),6)</f>
        <v>0</v>
      </c>
      <c r="GW372">
        <v>1</v>
      </c>
      <c r="GX372">
        <f>ROUND(HC372*I372,2)</f>
        <v>0</v>
      </c>
      <c r="HA372">
        <v>0</v>
      </c>
      <c r="HB372">
        <v>0</v>
      </c>
      <c r="HC372">
        <f>GV372*GW372</f>
        <v>0</v>
      </c>
      <c r="IK372">
        <v>0</v>
      </c>
    </row>
    <row r="373" spans="1:245" x14ac:dyDescent="0.2">
      <c r="A373">
        <v>18</v>
      </c>
      <c r="B373">
        <v>1</v>
      </c>
      <c r="C373">
        <v>69</v>
      </c>
      <c r="E373" t="s">
        <v>342</v>
      </c>
      <c r="F373" t="s">
        <v>343</v>
      </c>
      <c r="G373" t="s">
        <v>344</v>
      </c>
      <c r="H373" t="s">
        <v>236</v>
      </c>
      <c r="I373">
        <f>I371*J373</f>
        <v>3.4799999999999995</v>
      </c>
      <c r="J373">
        <v>12</v>
      </c>
      <c r="O373">
        <f>ROUND(CP373,2)</f>
        <v>23644.959999999999</v>
      </c>
      <c r="P373">
        <f>ROUND(CQ373*I373,2)</f>
        <v>23644.959999999999</v>
      </c>
      <c r="Q373">
        <f>ROUND(CR373*I373,2)</f>
        <v>0</v>
      </c>
      <c r="R373">
        <f>ROUND(CS373*I373,2)</f>
        <v>0</v>
      </c>
      <c r="S373">
        <f>ROUND(CT373*I373,2)</f>
        <v>0</v>
      </c>
      <c r="T373">
        <f>ROUND(CU373*I373,2)</f>
        <v>0</v>
      </c>
      <c r="U373">
        <f>CV373*I373</f>
        <v>0</v>
      </c>
      <c r="V373">
        <f>CW373*I373</f>
        <v>0</v>
      </c>
      <c r="W373">
        <f>ROUND(CX373*I373,2)</f>
        <v>0</v>
      </c>
      <c r="X373">
        <f t="shared" si="292"/>
        <v>0</v>
      </c>
      <c r="Y373">
        <f t="shared" si="292"/>
        <v>0</v>
      </c>
      <c r="AA373">
        <v>71209905</v>
      </c>
      <c r="AB373">
        <f>ROUND((AC373+AD373+AF373),6)</f>
        <v>6794.53</v>
      </c>
      <c r="AC373">
        <f>ROUND((ES373),6)</f>
        <v>6794.53</v>
      </c>
      <c r="AD373">
        <f>ROUND((((ET373)-(EU373))+AE373),6)</f>
        <v>0</v>
      </c>
      <c r="AE373">
        <f t="shared" si="293"/>
        <v>0</v>
      </c>
      <c r="AF373">
        <f t="shared" si="293"/>
        <v>0</v>
      </c>
      <c r="AG373">
        <f>ROUND((AP373),6)</f>
        <v>0</v>
      </c>
      <c r="AH373">
        <f t="shared" si="294"/>
        <v>0</v>
      </c>
      <c r="AI373">
        <f t="shared" si="294"/>
        <v>0</v>
      </c>
      <c r="AJ373">
        <f>(AS373)</f>
        <v>0</v>
      </c>
      <c r="AK373">
        <v>6794.53</v>
      </c>
      <c r="AL373">
        <v>6794.53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70</v>
      </c>
      <c r="AU373">
        <v>10</v>
      </c>
      <c r="AV373">
        <v>1</v>
      </c>
      <c r="AW373">
        <v>1</v>
      </c>
      <c r="AZ373">
        <v>1</v>
      </c>
      <c r="BA373">
        <v>1</v>
      </c>
      <c r="BB373">
        <v>1</v>
      </c>
      <c r="BC373">
        <v>1</v>
      </c>
      <c r="BD373" t="s">
        <v>3</v>
      </c>
      <c r="BE373" t="s">
        <v>3</v>
      </c>
      <c r="BF373" t="s">
        <v>3</v>
      </c>
      <c r="BG373" t="s">
        <v>3</v>
      </c>
      <c r="BH373">
        <v>3</v>
      </c>
      <c r="BI373">
        <v>4</v>
      </c>
      <c r="BJ373" t="s">
        <v>345</v>
      </c>
      <c r="BM373">
        <v>0</v>
      </c>
      <c r="BN373">
        <v>0</v>
      </c>
      <c r="BO373" t="s">
        <v>3</v>
      </c>
      <c r="BP373">
        <v>0</v>
      </c>
      <c r="BQ373">
        <v>1</v>
      </c>
      <c r="BR373">
        <v>0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 t="s">
        <v>3</v>
      </c>
      <c r="BZ373">
        <v>70</v>
      </c>
      <c r="CA373">
        <v>10</v>
      </c>
      <c r="CE373">
        <v>0</v>
      </c>
      <c r="CF373">
        <v>0</v>
      </c>
      <c r="CG373">
        <v>0</v>
      </c>
      <c r="CM373">
        <v>0</v>
      </c>
      <c r="CN373" t="s">
        <v>3</v>
      </c>
      <c r="CO373">
        <v>0</v>
      </c>
      <c r="CP373">
        <f>(P373+Q373+S373)</f>
        <v>23644.959999999999</v>
      </c>
      <c r="CQ373">
        <f>(AC373*BC373*AW373)</f>
        <v>6794.53</v>
      </c>
      <c r="CR373">
        <f>((((ET373)*BB373-(EU373)*BS373)+AE373*BS373)*AV373)</f>
        <v>0</v>
      </c>
      <c r="CS373">
        <f>(AE373*BS373*AV373)</f>
        <v>0</v>
      </c>
      <c r="CT373">
        <f>(AF373*BA373*AV373)</f>
        <v>0</v>
      </c>
      <c r="CU373">
        <f>AG373</f>
        <v>0</v>
      </c>
      <c r="CV373">
        <f>(AH373*AV373)</f>
        <v>0</v>
      </c>
      <c r="CW373">
        <f t="shared" si="295"/>
        <v>0</v>
      </c>
      <c r="CX373">
        <f t="shared" si="295"/>
        <v>0</v>
      </c>
      <c r="CY373">
        <f>((S373*BZ373)/100)</f>
        <v>0</v>
      </c>
      <c r="CZ373">
        <f>((S373*CA373)/100)</f>
        <v>0</v>
      </c>
      <c r="DC373" t="s">
        <v>3</v>
      </c>
      <c r="DD373" t="s">
        <v>3</v>
      </c>
      <c r="DE373" t="s">
        <v>3</v>
      </c>
      <c r="DF373" t="s">
        <v>3</v>
      </c>
      <c r="DG373" t="s">
        <v>3</v>
      </c>
      <c r="DH373" t="s">
        <v>3</v>
      </c>
      <c r="DI373" t="s">
        <v>3</v>
      </c>
      <c r="DJ373" t="s">
        <v>3</v>
      </c>
      <c r="DK373" t="s">
        <v>3</v>
      </c>
      <c r="DL373" t="s">
        <v>3</v>
      </c>
      <c r="DM373" t="s">
        <v>3</v>
      </c>
      <c r="DN373">
        <v>0</v>
      </c>
      <c r="DO373">
        <v>0</v>
      </c>
      <c r="DP373">
        <v>1</v>
      </c>
      <c r="DQ373">
        <v>1</v>
      </c>
      <c r="DU373">
        <v>1007</v>
      </c>
      <c r="DV373" t="s">
        <v>236</v>
      </c>
      <c r="DW373" t="s">
        <v>236</v>
      </c>
      <c r="DX373">
        <v>1</v>
      </c>
      <c r="EE373">
        <v>67874524</v>
      </c>
      <c r="EF373">
        <v>1</v>
      </c>
      <c r="EG373" t="s">
        <v>20</v>
      </c>
      <c r="EH373">
        <v>0</v>
      </c>
      <c r="EI373" t="s">
        <v>3</v>
      </c>
      <c r="EJ373">
        <v>4</v>
      </c>
      <c r="EK373">
        <v>0</v>
      </c>
      <c r="EL373" t="s">
        <v>21</v>
      </c>
      <c r="EM373" t="s">
        <v>22</v>
      </c>
      <c r="EO373" t="s">
        <v>3</v>
      </c>
      <c r="EQ373">
        <v>0</v>
      </c>
      <c r="ER373">
        <v>6794.53</v>
      </c>
      <c r="ES373">
        <v>6794.53</v>
      </c>
      <c r="ET373">
        <v>0</v>
      </c>
      <c r="EU373">
        <v>0</v>
      </c>
      <c r="EV373">
        <v>0</v>
      </c>
      <c r="EW373">
        <v>0</v>
      </c>
      <c r="EX373">
        <v>0</v>
      </c>
      <c r="FQ373">
        <v>0</v>
      </c>
      <c r="FR373">
        <f>ROUND(IF(AND(BH373=3,BI373=3),P373,0),2)</f>
        <v>0</v>
      </c>
      <c r="FS373">
        <v>0</v>
      </c>
      <c r="FX373">
        <v>70</v>
      </c>
      <c r="FY373">
        <v>10</v>
      </c>
      <c r="GA373" t="s">
        <v>3</v>
      </c>
      <c r="GD373">
        <v>0</v>
      </c>
      <c r="GF373">
        <v>-1844080394</v>
      </c>
      <c r="GG373">
        <v>2</v>
      </c>
      <c r="GH373">
        <v>1</v>
      </c>
      <c r="GI373">
        <v>-2</v>
      </c>
      <c r="GJ373">
        <v>0</v>
      </c>
      <c r="GK373">
        <f>ROUND(R373*(R12)/100,2)</f>
        <v>0</v>
      </c>
      <c r="GL373">
        <f>ROUND(IF(AND(BH373=3,BI373=3,FS373&lt;&gt;0),P373,0),2)</f>
        <v>0</v>
      </c>
      <c r="GM373">
        <f>ROUND(O373+X373+Y373+GK373,2)+GX373</f>
        <v>23644.959999999999</v>
      </c>
      <c r="GN373">
        <f>IF(OR(BI373=0,BI373=1),ROUND(O373+X373+Y373+GK373,2),0)</f>
        <v>0</v>
      </c>
      <c r="GO373">
        <f>IF(BI373=2,ROUND(O373+X373+Y373+GK373,2),0)</f>
        <v>0</v>
      </c>
      <c r="GP373">
        <f>IF(BI373=4,ROUND(O373+X373+Y373+GK373,2)+GX373,0)</f>
        <v>23644.959999999999</v>
      </c>
      <c r="GR373">
        <v>0</v>
      </c>
      <c r="GS373">
        <v>3</v>
      </c>
      <c r="GT373">
        <v>0</v>
      </c>
      <c r="GU373" t="s">
        <v>3</v>
      </c>
      <c r="GV373">
        <f>ROUND((GT373),6)</f>
        <v>0</v>
      </c>
      <c r="GW373">
        <v>1</v>
      </c>
      <c r="GX373">
        <f>ROUND(HC373*I373,2)</f>
        <v>0</v>
      </c>
      <c r="HA373">
        <v>0</v>
      </c>
      <c r="HB373">
        <v>0</v>
      </c>
      <c r="HC373">
        <f>GV373*GW373</f>
        <v>0</v>
      </c>
      <c r="IK373">
        <v>0</v>
      </c>
    </row>
    <row r="375" spans="1:245" x14ac:dyDescent="0.2">
      <c r="A375">
        <v>51</v>
      </c>
      <c r="B375">
        <f>B366</f>
        <v>1</v>
      </c>
      <c r="C375">
        <f>A366</f>
        <v>4</v>
      </c>
      <c r="D375">
        <f>ROW(A366)</f>
        <v>366</v>
      </c>
      <c r="F375" t="str">
        <f>IF(F366&lt;&gt;"",F366,"")</f>
        <v>Новый раздел</v>
      </c>
      <c r="G375" t="str">
        <f>IF(G366&lt;&gt;"",G366,"")</f>
        <v>Установка магистрального бортового камня  на бетонное основание БР 100.60.20</v>
      </c>
      <c r="H375">
        <v>0</v>
      </c>
      <c r="O375">
        <f t="shared" ref="O375:T375" si="296">ROUND(AB375,2)</f>
        <v>35986.239999999998</v>
      </c>
      <c r="P375">
        <f t="shared" si="296"/>
        <v>31193.72</v>
      </c>
      <c r="Q375">
        <f t="shared" si="296"/>
        <v>132.28</v>
      </c>
      <c r="R375">
        <f t="shared" si="296"/>
        <v>56.08</v>
      </c>
      <c r="S375">
        <f t="shared" si="296"/>
        <v>4660.24</v>
      </c>
      <c r="T375">
        <f t="shared" si="296"/>
        <v>0</v>
      </c>
      <c r="U375">
        <f>AH375</f>
        <v>23.566443999999997</v>
      </c>
      <c r="V375">
        <f>AI375</f>
        <v>0</v>
      </c>
      <c r="W375">
        <f>ROUND(AJ375,2)</f>
        <v>0</v>
      </c>
      <c r="X375">
        <f>ROUND(AK375,2)</f>
        <v>3262.17</v>
      </c>
      <c r="Y375">
        <f>ROUND(AL375,2)</f>
        <v>466.02</v>
      </c>
      <c r="AB375">
        <f>ROUND(SUMIF(AA370:AA373,"=71209905",O370:O373),2)</f>
        <v>35986.239999999998</v>
      </c>
      <c r="AC375">
        <f>ROUND(SUMIF(AA370:AA373,"=71209905",P370:P373),2)</f>
        <v>31193.72</v>
      </c>
      <c r="AD375">
        <f>ROUND(SUMIF(AA370:AA373,"=71209905",Q370:Q373),2)</f>
        <v>132.28</v>
      </c>
      <c r="AE375">
        <f>ROUND(SUMIF(AA370:AA373,"=71209905",R370:R373),2)</f>
        <v>56.08</v>
      </c>
      <c r="AF375">
        <f>ROUND(SUMIF(AA370:AA373,"=71209905",S370:S373),2)</f>
        <v>4660.24</v>
      </c>
      <c r="AG375">
        <f>ROUND(SUMIF(AA370:AA373,"=71209905",T370:T373),2)</f>
        <v>0</v>
      </c>
      <c r="AH375">
        <f>SUMIF(AA370:AA373,"=71209905",U370:U373)</f>
        <v>23.566443999999997</v>
      </c>
      <c r="AI375">
        <f>SUMIF(AA370:AA373,"=71209905",V370:V373)</f>
        <v>0</v>
      </c>
      <c r="AJ375">
        <f>ROUND(SUMIF(AA370:AA373,"=71209905",W370:W373),2)</f>
        <v>0</v>
      </c>
      <c r="AK375">
        <f>ROUND(SUMIF(AA370:AA373,"=71209905",X370:X373),2)</f>
        <v>3262.17</v>
      </c>
      <c r="AL375">
        <f>ROUND(SUMIF(AA370:AA373,"=71209905",Y370:Y373),2)</f>
        <v>466.02</v>
      </c>
      <c r="AO375">
        <f t="shared" ref="AO375:BD375" si="297">ROUND(BX375,2)</f>
        <v>0</v>
      </c>
      <c r="AP375">
        <f t="shared" si="297"/>
        <v>0</v>
      </c>
      <c r="AQ375">
        <f t="shared" si="297"/>
        <v>0</v>
      </c>
      <c r="AR375">
        <f t="shared" si="297"/>
        <v>39775</v>
      </c>
      <c r="AS375">
        <f t="shared" si="297"/>
        <v>0</v>
      </c>
      <c r="AT375">
        <f t="shared" si="297"/>
        <v>0</v>
      </c>
      <c r="AU375">
        <f t="shared" si="297"/>
        <v>39775</v>
      </c>
      <c r="AV375">
        <f t="shared" si="297"/>
        <v>31193.72</v>
      </c>
      <c r="AW375">
        <f t="shared" si="297"/>
        <v>31193.72</v>
      </c>
      <c r="AX375">
        <f t="shared" si="297"/>
        <v>0</v>
      </c>
      <c r="AY375">
        <f t="shared" si="297"/>
        <v>31193.72</v>
      </c>
      <c r="AZ375">
        <f t="shared" si="297"/>
        <v>0</v>
      </c>
      <c r="BA375">
        <f t="shared" si="297"/>
        <v>0</v>
      </c>
      <c r="BB375">
        <f t="shared" si="297"/>
        <v>0</v>
      </c>
      <c r="BC375">
        <f t="shared" si="297"/>
        <v>0</v>
      </c>
      <c r="BD375">
        <f t="shared" si="297"/>
        <v>0</v>
      </c>
      <c r="BX375">
        <f>ROUND(SUMIF(AA370:AA373,"=71209905",FQ370:FQ373),2)</f>
        <v>0</v>
      </c>
      <c r="BY375">
        <f>ROUND(SUMIF(AA370:AA373,"=71209905",FR370:FR373),2)</f>
        <v>0</v>
      </c>
      <c r="BZ375">
        <f>ROUND(SUMIF(AA370:AA373,"=71209905",GL370:GL373),2)</f>
        <v>0</v>
      </c>
      <c r="CA375">
        <f>ROUND(SUMIF(AA370:AA373,"=71209905",GM370:GM373),2)</f>
        <v>39775</v>
      </c>
      <c r="CB375">
        <f>ROUND(SUMIF(AA370:AA373,"=71209905",GN370:GN373),2)</f>
        <v>0</v>
      </c>
      <c r="CC375">
        <f>ROUND(SUMIF(AA370:AA373,"=71209905",GO370:GO373),2)</f>
        <v>0</v>
      </c>
      <c r="CD375">
        <f>ROUND(SUMIF(AA370:AA373,"=71209905",GP370:GP373),2)</f>
        <v>39775</v>
      </c>
      <c r="CE375">
        <f>AC375-BX375</f>
        <v>31193.72</v>
      </c>
      <c r="CF375">
        <f>AC375-BY375</f>
        <v>31193.72</v>
      </c>
      <c r="CG375">
        <f>BX375-BZ375</f>
        <v>0</v>
      </c>
      <c r="CH375">
        <f>AC375-BX375-BY375+BZ375</f>
        <v>31193.72</v>
      </c>
      <c r="CI375">
        <f>BY375-BZ375</f>
        <v>0</v>
      </c>
      <c r="CJ375">
        <f>ROUND(SUMIF(AA370:AA373,"=71209905",GX370:GX373),2)</f>
        <v>0</v>
      </c>
      <c r="CK375">
        <f>ROUND(SUMIF(AA370:AA373,"=71209905",GY370:GY373),2)</f>
        <v>0</v>
      </c>
      <c r="CL375">
        <f>ROUND(SUMIF(AA370:AA373,"=71209905",GZ370:GZ373),2)</f>
        <v>0</v>
      </c>
      <c r="CM375">
        <f>ROUND(SUMIF(AA370:AA373,"=71209905",HD370:HD373),2)</f>
        <v>0</v>
      </c>
      <c r="GX375">
        <v>0</v>
      </c>
    </row>
    <row r="377" spans="1:245" x14ac:dyDescent="0.2">
      <c r="A377">
        <v>50</v>
      </c>
      <c r="B377">
        <v>0</v>
      </c>
      <c r="C377">
        <v>0</v>
      </c>
      <c r="D377">
        <v>1</v>
      </c>
      <c r="E377">
        <v>201</v>
      </c>
      <c r="F377">
        <f>ROUND(Source!O375,O377)</f>
        <v>35986.239999999998</v>
      </c>
      <c r="G377" t="s">
        <v>142</v>
      </c>
      <c r="H377" t="s">
        <v>143</v>
      </c>
      <c r="K377">
        <v>201</v>
      </c>
      <c r="L377">
        <v>1</v>
      </c>
      <c r="M377">
        <v>3</v>
      </c>
      <c r="N377" t="s">
        <v>3</v>
      </c>
      <c r="O377">
        <v>2</v>
      </c>
    </row>
    <row r="378" spans="1:245" x14ac:dyDescent="0.2">
      <c r="A378">
        <v>50</v>
      </c>
      <c r="B378">
        <v>0</v>
      </c>
      <c r="C378">
        <v>0</v>
      </c>
      <c r="D378">
        <v>1</v>
      </c>
      <c r="E378">
        <v>202</v>
      </c>
      <c r="F378">
        <f>ROUND(Source!P375,O378)</f>
        <v>31193.72</v>
      </c>
      <c r="G378" t="s">
        <v>144</v>
      </c>
      <c r="H378" t="s">
        <v>145</v>
      </c>
      <c r="K378">
        <v>202</v>
      </c>
      <c r="L378">
        <v>2</v>
      </c>
      <c r="M378">
        <v>3</v>
      </c>
      <c r="N378" t="s">
        <v>3</v>
      </c>
      <c r="O378">
        <v>2</v>
      </c>
    </row>
    <row r="379" spans="1:245" x14ac:dyDescent="0.2">
      <c r="A379">
        <v>50</v>
      </c>
      <c r="B379">
        <v>0</v>
      </c>
      <c r="C379">
        <v>0</v>
      </c>
      <c r="D379">
        <v>1</v>
      </c>
      <c r="E379">
        <v>222</v>
      </c>
      <c r="F379">
        <f>ROUND(Source!AO375,O379)</f>
        <v>0</v>
      </c>
      <c r="G379" t="s">
        <v>146</v>
      </c>
      <c r="H379" t="s">
        <v>147</v>
      </c>
      <c r="K379">
        <v>222</v>
      </c>
      <c r="L379">
        <v>3</v>
      </c>
      <c r="M379">
        <v>3</v>
      </c>
      <c r="N379" t="s">
        <v>3</v>
      </c>
      <c r="O379">
        <v>2</v>
      </c>
    </row>
    <row r="380" spans="1:245" x14ac:dyDescent="0.2">
      <c r="A380">
        <v>50</v>
      </c>
      <c r="B380">
        <v>0</v>
      </c>
      <c r="C380">
        <v>0</v>
      </c>
      <c r="D380">
        <v>1</v>
      </c>
      <c r="E380">
        <v>225</v>
      </c>
      <c r="F380">
        <f>ROUND(Source!AV375,O380)</f>
        <v>31193.72</v>
      </c>
      <c r="G380" t="s">
        <v>148</v>
      </c>
      <c r="H380" t="s">
        <v>149</v>
      </c>
      <c r="K380">
        <v>225</v>
      </c>
      <c r="L380">
        <v>4</v>
      </c>
      <c r="M380">
        <v>3</v>
      </c>
      <c r="N380" t="s">
        <v>3</v>
      </c>
      <c r="O380">
        <v>2</v>
      </c>
    </row>
    <row r="381" spans="1:245" x14ac:dyDescent="0.2">
      <c r="A381">
        <v>50</v>
      </c>
      <c r="B381">
        <v>0</v>
      </c>
      <c r="C381">
        <v>0</v>
      </c>
      <c r="D381">
        <v>1</v>
      </c>
      <c r="E381">
        <v>226</v>
      </c>
      <c r="F381">
        <f>ROUND(Source!AW375,O381)</f>
        <v>31193.72</v>
      </c>
      <c r="G381" t="s">
        <v>150</v>
      </c>
      <c r="H381" t="s">
        <v>151</v>
      </c>
      <c r="K381">
        <v>226</v>
      </c>
      <c r="L381">
        <v>5</v>
      </c>
      <c r="M381">
        <v>3</v>
      </c>
      <c r="N381" t="s">
        <v>3</v>
      </c>
      <c r="O381">
        <v>2</v>
      </c>
    </row>
    <row r="382" spans="1:245" x14ac:dyDescent="0.2">
      <c r="A382">
        <v>50</v>
      </c>
      <c r="B382">
        <v>0</v>
      </c>
      <c r="C382">
        <v>0</v>
      </c>
      <c r="D382">
        <v>1</v>
      </c>
      <c r="E382">
        <v>227</v>
      </c>
      <c r="F382">
        <f>ROUND(Source!AX375,O382)</f>
        <v>0</v>
      </c>
      <c r="G382" t="s">
        <v>152</v>
      </c>
      <c r="H382" t="s">
        <v>153</v>
      </c>
      <c r="K382">
        <v>227</v>
      </c>
      <c r="L382">
        <v>6</v>
      </c>
      <c r="M382">
        <v>3</v>
      </c>
      <c r="N382" t="s">
        <v>3</v>
      </c>
      <c r="O382">
        <v>2</v>
      </c>
    </row>
    <row r="383" spans="1:245" x14ac:dyDescent="0.2">
      <c r="A383">
        <v>50</v>
      </c>
      <c r="B383">
        <v>0</v>
      </c>
      <c r="C383">
        <v>0</v>
      </c>
      <c r="D383">
        <v>1</v>
      </c>
      <c r="E383">
        <v>228</v>
      </c>
      <c r="F383">
        <f>ROUND(Source!AY375,O383)</f>
        <v>31193.72</v>
      </c>
      <c r="G383" t="s">
        <v>154</v>
      </c>
      <c r="H383" t="s">
        <v>155</v>
      </c>
      <c r="K383">
        <v>228</v>
      </c>
      <c r="L383">
        <v>7</v>
      </c>
      <c r="M383">
        <v>3</v>
      </c>
      <c r="N383" t="s">
        <v>3</v>
      </c>
      <c r="O383">
        <v>2</v>
      </c>
    </row>
    <row r="384" spans="1:245" x14ac:dyDescent="0.2">
      <c r="A384">
        <v>50</v>
      </c>
      <c r="B384">
        <v>0</v>
      </c>
      <c r="C384">
        <v>0</v>
      </c>
      <c r="D384">
        <v>1</v>
      </c>
      <c r="E384">
        <v>216</v>
      </c>
      <c r="F384">
        <f>ROUND(Source!AP375,O384)</f>
        <v>0</v>
      </c>
      <c r="G384" t="s">
        <v>156</v>
      </c>
      <c r="H384" t="s">
        <v>157</v>
      </c>
      <c r="K384">
        <v>216</v>
      </c>
      <c r="L384">
        <v>8</v>
      </c>
      <c r="M384">
        <v>3</v>
      </c>
      <c r="N384" t="s">
        <v>3</v>
      </c>
      <c r="O384">
        <v>2</v>
      </c>
    </row>
    <row r="385" spans="1:15" x14ac:dyDescent="0.2">
      <c r="A385">
        <v>50</v>
      </c>
      <c r="B385">
        <v>0</v>
      </c>
      <c r="C385">
        <v>0</v>
      </c>
      <c r="D385">
        <v>1</v>
      </c>
      <c r="E385">
        <v>223</v>
      </c>
      <c r="F385">
        <f>ROUND(Source!AQ375,O385)</f>
        <v>0</v>
      </c>
      <c r="G385" t="s">
        <v>158</v>
      </c>
      <c r="H385" t="s">
        <v>159</v>
      </c>
      <c r="K385">
        <v>223</v>
      </c>
      <c r="L385">
        <v>9</v>
      </c>
      <c r="M385">
        <v>3</v>
      </c>
      <c r="N385" t="s">
        <v>3</v>
      </c>
      <c r="O385">
        <v>2</v>
      </c>
    </row>
    <row r="386" spans="1:15" x14ac:dyDescent="0.2">
      <c r="A386">
        <v>50</v>
      </c>
      <c r="B386">
        <v>0</v>
      </c>
      <c r="C386">
        <v>0</v>
      </c>
      <c r="D386">
        <v>1</v>
      </c>
      <c r="E386">
        <v>229</v>
      </c>
      <c r="F386">
        <f>ROUND(Source!AZ375,O386)</f>
        <v>0</v>
      </c>
      <c r="G386" t="s">
        <v>160</v>
      </c>
      <c r="H386" t="s">
        <v>161</v>
      </c>
      <c r="K386">
        <v>229</v>
      </c>
      <c r="L386">
        <v>10</v>
      </c>
      <c r="M386">
        <v>3</v>
      </c>
      <c r="N386" t="s">
        <v>3</v>
      </c>
      <c r="O386">
        <v>2</v>
      </c>
    </row>
    <row r="387" spans="1:15" x14ac:dyDescent="0.2">
      <c r="A387">
        <v>50</v>
      </c>
      <c r="B387">
        <v>0</v>
      </c>
      <c r="C387">
        <v>0</v>
      </c>
      <c r="D387">
        <v>1</v>
      </c>
      <c r="E387">
        <v>203</v>
      </c>
      <c r="F387">
        <f>ROUND(Source!Q375,O387)</f>
        <v>132.28</v>
      </c>
      <c r="G387" t="s">
        <v>162</v>
      </c>
      <c r="H387" t="s">
        <v>163</v>
      </c>
      <c r="K387">
        <v>203</v>
      </c>
      <c r="L387">
        <v>11</v>
      </c>
      <c r="M387">
        <v>3</v>
      </c>
      <c r="N387" t="s">
        <v>3</v>
      </c>
      <c r="O387">
        <v>2</v>
      </c>
    </row>
    <row r="388" spans="1:15" x14ac:dyDescent="0.2">
      <c r="A388">
        <v>50</v>
      </c>
      <c r="B388">
        <v>0</v>
      </c>
      <c r="C388">
        <v>0</v>
      </c>
      <c r="D388">
        <v>1</v>
      </c>
      <c r="E388">
        <v>231</v>
      </c>
      <c r="F388">
        <f>ROUND(Source!BB375,O388)</f>
        <v>0</v>
      </c>
      <c r="G388" t="s">
        <v>164</v>
      </c>
      <c r="H388" t="s">
        <v>165</v>
      </c>
      <c r="K388">
        <v>231</v>
      </c>
      <c r="L388">
        <v>12</v>
      </c>
      <c r="M388">
        <v>3</v>
      </c>
      <c r="N388" t="s">
        <v>3</v>
      </c>
      <c r="O388">
        <v>2</v>
      </c>
    </row>
    <row r="389" spans="1:15" x14ac:dyDescent="0.2">
      <c r="A389">
        <v>50</v>
      </c>
      <c r="B389">
        <v>0</v>
      </c>
      <c r="C389">
        <v>0</v>
      </c>
      <c r="D389">
        <v>1</v>
      </c>
      <c r="E389">
        <v>204</v>
      </c>
      <c r="F389">
        <f>ROUND(Source!R375,O389)</f>
        <v>56.08</v>
      </c>
      <c r="G389" t="s">
        <v>166</v>
      </c>
      <c r="H389" t="s">
        <v>167</v>
      </c>
      <c r="K389">
        <v>204</v>
      </c>
      <c r="L389">
        <v>13</v>
      </c>
      <c r="M389">
        <v>3</v>
      </c>
      <c r="N389" t="s">
        <v>3</v>
      </c>
      <c r="O389">
        <v>2</v>
      </c>
    </row>
    <row r="390" spans="1:15" x14ac:dyDescent="0.2">
      <c r="A390">
        <v>50</v>
      </c>
      <c r="B390">
        <v>0</v>
      </c>
      <c r="C390">
        <v>0</v>
      </c>
      <c r="D390">
        <v>1</v>
      </c>
      <c r="E390">
        <v>205</v>
      </c>
      <c r="F390">
        <f>ROUND(Source!S375,O390)</f>
        <v>4660.24</v>
      </c>
      <c r="G390" t="s">
        <v>168</v>
      </c>
      <c r="H390" t="s">
        <v>169</v>
      </c>
      <c r="K390">
        <v>205</v>
      </c>
      <c r="L390">
        <v>14</v>
      </c>
      <c r="M390">
        <v>3</v>
      </c>
      <c r="N390" t="s">
        <v>3</v>
      </c>
      <c r="O390">
        <v>2</v>
      </c>
    </row>
    <row r="391" spans="1:15" x14ac:dyDescent="0.2">
      <c r="A391">
        <v>50</v>
      </c>
      <c r="B391">
        <v>0</v>
      </c>
      <c r="C391">
        <v>0</v>
      </c>
      <c r="D391">
        <v>1</v>
      </c>
      <c r="E391">
        <v>232</v>
      </c>
      <c r="F391">
        <f>ROUND(Source!BC375,O391)</f>
        <v>0</v>
      </c>
      <c r="G391" t="s">
        <v>170</v>
      </c>
      <c r="H391" t="s">
        <v>171</v>
      </c>
      <c r="K391">
        <v>232</v>
      </c>
      <c r="L391">
        <v>15</v>
      </c>
      <c r="M391">
        <v>3</v>
      </c>
      <c r="N391" t="s">
        <v>3</v>
      </c>
      <c r="O391">
        <v>2</v>
      </c>
    </row>
    <row r="392" spans="1:15" x14ac:dyDescent="0.2">
      <c r="A392">
        <v>50</v>
      </c>
      <c r="B392">
        <v>0</v>
      </c>
      <c r="C392">
        <v>0</v>
      </c>
      <c r="D392">
        <v>1</v>
      </c>
      <c r="E392">
        <v>214</v>
      </c>
      <c r="F392">
        <f>ROUND(Source!AS375,O392)</f>
        <v>0</v>
      </c>
      <c r="G392" t="s">
        <v>172</v>
      </c>
      <c r="H392" t="s">
        <v>173</v>
      </c>
      <c r="K392">
        <v>214</v>
      </c>
      <c r="L392">
        <v>16</v>
      </c>
      <c r="M392">
        <v>3</v>
      </c>
      <c r="N392" t="s">
        <v>3</v>
      </c>
      <c r="O392">
        <v>2</v>
      </c>
    </row>
    <row r="393" spans="1:15" x14ac:dyDescent="0.2">
      <c r="A393">
        <v>50</v>
      </c>
      <c r="B393">
        <v>0</v>
      </c>
      <c r="C393">
        <v>0</v>
      </c>
      <c r="D393">
        <v>1</v>
      </c>
      <c r="E393">
        <v>215</v>
      </c>
      <c r="F393">
        <f>ROUND(Source!AT375,O393)</f>
        <v>0</v>
      </c>
      <c r="G393" t="s">
        <v>174</v>
      </c>
      <c r="H393" t="s">
        <v>175</v>
      </c>
      <c r="K393">
        <v>215</v>
      </c>
      <c r="L393">
        <v>17</v>
      </c>
      <c r="M393">
        <v>3</v>
      </c>
      <c r="N393" t="s">
        <v>3</v>
      </c>
      <c r="O393">
        <v>2</v>
      </c>
    </row>
    <row r="394" spans="1:15" x14ac:dyDescent="0.2">
      <c r="A394">
        <v>50</v>
      </c>
      <c r="B394">
        <v>0</v>
      </c>
      <c r="C394">
        <v>0</v>
      </c>
      <c r="D394">
        <v>1</v>
      </c>
      <c r="E394">
        <v>217</v>
      </c>
      <c r="F394">
        <f>ROUND(Source!AU375,O394)</f>
        <v>39775</v>
      </c>
      <c r="G394" t="s">
        <v>176</v>
      </c>
      <c r="H394" t="s">
        <v>177</v>
      </c>
      <c r="K394">
        <v>217</v>
      </c>
      <c r="L394">
        <v>18</v>
      </c>
      <c r="M394">
        <v>3</v>
      </c>
      <c r="N394" t="s">
        <v>3</v>
      </c>
      <c r="O394">
        <v>2</v>
      </c>
    </row>
    <row r="395" spans="1:15" x14ac:dyDescent="0.2">
      <c r="A395">
        <v>50</v>
      </c>
      <c r="B395">
        <v>0</v>
      </c>
      <c r="C395">
        <v>0</v>
      </c>
      <c r="D395">
        <v>1</v>
      </c>
      <c r="E395">
        <v>230</v>
      </c>
      <c r="F395">
        <f>ROUND(Source!BA375,O395)</f>
        <v>0</v>
      </c>
      <c r="G395" t="s">
        <v>178</v>
      </c>
      <c r="H395" t="s">
        <v>179</v>
      </c>
      <c r="K395">
        <v>230</v>
      </c>
      <c r="L395">
        <v>19</v>
      </c>
      <c r="M395">
        <v>3</v>
      </c>
      <c r="N395" t="s">
        <v>3</v>
      </c>
      <c r="O395">
        <v>2</v>
      </c>
    </row>
    <row r="396" spans="1:15" x14ac:dyDescent="0.2">
      <c r="A396">
        <v>50</v>
      </c>
      <c r="B396">
        <v>0</v>
      </c>
      <c r="C396">
        <v>0</v>
      </c>
      <c r="D396">
        <v>1</v>
      </c>
      <c r="E396">
        <v>206</v>
      </c>
      <c r="F396">
        <f>ROUND(Source!T375,O396)</f>
        <v>0</v>
      </c>
      <c r="G396" t="s">
        <v>180</v>
      </c>
      <c r="H396" t="s">
        <v>181</v>
      </c>
      <c r="K396">
        <v>206</v>
      </c>
      <c r="L396">
        <v>20</v>
      </c>
      <c r="M396">
        <v>3</v>
      </c>
      <c r="N396" t="s">
        <v>3</v>
      </c>
      <c r="O396">
        <v>2</v>
      </c>
    </row>
    <row r="397" spans="1:15" x14ac:dyDescent="0.2">
      <c r="A397">
        <v>50</v>
      </c>
      <c r="B397">
        <v>0</v>
      </c>
      <c r="C397">
        <v>0</v>
      </c>
      <c r="D397">
        <v>1</v>
      </c>
      <c r="E397">
        <v>207</v>
      </c>
      <c r="F397">
        <f>Source!U375</f>
        <v>23.566443999999997</v>
      </c>
      <c r="G397" t="s">
        <v>182</v>
      </c>
      <c r="H397" t="s">
        <v>183</v>
      </c>
      <c r="K397">
        <v>207</v>
      </c>
      <c r="L397">
        <v>21</v>
      </c>
      <c r="M397">
        <v>3</v>
      </c>
      <c r="N397" t="s">
        <v>3</v>
      </c>
      <c r="O397">
        <v>-1</v>
      </c>
    </row>
    <row r="398" spans="1:15" x14ac:dyDescent="0.2">
      <c r="A398">
        <v>50</v>
      </c>
      <c r="B398">
        <v>0</v>
      </c>
      <c r="C398">
        <v>0</v>
      </c>
      <c r="D398">
        <v>1</v>
      </c>
      <c r="E398">
        <v>208</v>
      </c>
      <c r="F398">
        <f>Source!V375</f>
        <v>0</v>
      </c>
      <c r="G398" t="s">
        <v>184</v>
      </c>
      <c r="H398" t="s">
        <v>185</v>
      </c>
      <c r="K398">
        <v>208</v>
      </c>
      <c r="L398">
        <v>22</v>
      </c>
      <c r="M398">
        <v>3</v>
      </c>
      <c r="N398" t="s">
        <v>3</v>
      </c>
      <c r="O398">
        <v>-1</v>
      </c>
    </row>
    <row r="399" spans="1:15" x14ac:dyDescent="0.2">
      <c r="A399">
        <v>50</v>
      </c>
      <c r="B399">
        <v>0</v>
      </c>
      <c r="C399">
        <v>0</v>
      </c>
      <c r="D399">
        <v>1</v>
      </c>
      <c r="E399">
        <v>209</v>
      </c>
      <c r="F399">
        <f>ROUND(Source!W375,O399)</f>
        <v>0</v>
      </c>
      <c r="G399" t="s">
        <v>186</v>
      </c>
      <c r="H399" t="s">
        <v>187</v>
      </c>
      <c r="K399">
        <v>209</v>
      </c>
      <c r="L399">
        <v>23</v>
      </c>
      <c r="M399">
        <v>3</v>
      </c>
      <c r="N399" t="s">
        <v>3</v>
      </c>
      <c r="O399">
        <v>2</v>
      </c>
    </row>
    <row r="400" spans="1:15" x14ac:dyDescent="0.2">
      <c r="A400">
        <v>50</v>
      </c>
      <c r="B400">
        <v>0</v>
      </c>
      <c r="C400">
        <v>0</v>
      </c>
      <c r="D400">
        <v>1</v>
      </c>
      <c r="E400">
        <v>233</v>
      </c>
      <c r="F400">
        <f>ROUND(Source!BD375,O400)</f>
        <v>0</v>
      </c>
      <c r="G400" t="s">
        <v>188</v>
      </c>
      <c r="H400" t="s">
        <v>189</v>
      </c>
      <c r="K400">
        <v>233</v>
      </c>
      <c r="L400">
        <v>24</v>
      </c>
      <c r="M400">
        <v>3</v>
      </c>
      <c r="N400" t="s">
        <v>3</v>
      </c>
      <c r="O400">
        <v>2</v>
      </c>
    </row>
    <row r="401" spans="1:206" x14ac:dyDescent="0.2">
      <c r="A401">
        <v>50</v>
      </c>
      <c r="B401">
        <v>0</v>
      </c>
      <c r="C401">
        <v>0</v>
      </c>
      <c r="D401">
        <v>1</v>
      </c>
      <c r="E401">
        <v>210</v>
      </c>
      <c r="F401">
        <f>ROUND(Source!X375,O401)</f>
        <v>3262.17</v>
      </c>
      <c r="G401" t="s">
        <v>190</v>
      </c>
      <c r="H401" t="s">
        <v>191</v>
      </c>
      <c r="K401">
        <v>210</v>
      </c>
      <c r="L401">
        <v>25</v>
      </c>
      <c r="M401">
        <v>3</v>
      </c>
      <c r="N401" t="s">
        <v>3</v>
      </c>
      <c r="O401">
        <v>2</v>
      </c>
    </row>
    <row r="402" spans="1:206" x14ac:dyDescent="0.2">
      <c r="A402">
        <v>50</v>
      </c>
      <c r="B402">
        <v>0</v>
      </c>
      <c r="C402">
        <v>0</v>
      </c>
      <c r="D402">
        <v>1</v>
      </c>
      <c r="E402">
        <v>211</v>
      </c>
      <c r="F402">
        <f>ROUND(Source!Y375,O402)</f>
        <v>466.02</v>
      </c>
      <c r="G402" t="s">
        <v>192</v>
      </c>
      <c r="H402" t="s">
        <v>193</v>
      </c>
      <c r="K402">
        <v>211</v>
      </c>
      <c r="L402">
        <v>26</v>
      </c>
      <c r="M402">
        <v>3</v>
      </c>
      <c r="N402" t="s">
        <v>3</v>
      </c>
      <c r="O402">
        <v>2</v>
      </c>
    </row>
    <row r="403" spans="1:206" x14ac:dyDescent="0.2">
      <c r="A403">
        <v>50</v>
      </c>
      <c r="B403">
        <v>0</v>
      </c>
      <c r="C403">
        <v>0</v>
      </c>
      <c r="D403">
        <v>1</v>
      </c>
      <c r="E403">
        <v>224</v>
      </c>
      <c r="F403">
        <f>ROUND(Source!AR375,O403)</f>
        <v>39775</v>
      </c>
      <c r="G403" t="s">
        <v>194</v>
      </c>
      <c r="H403" t="s">
        <v>195</v>
      </c>
      <c r="K403">
        <v>224</v>
      </c>
      <c r="L403">
        <v>27</v>
      </c>
      <c r="M403">
        <v>3</v>
      </c>
      <c r="N403" t="s">
        <v>3</v>
      </c>
      <c r="O403">
        <v>2</v>
      </c>
    </row>
    <row r="405" spans="1:206" x14ac:dyDescent="0.2">
      <c r="A405">
        <v>51</v>
      </c>
      <c r="B405">
        <f>B20</f>
        <v>1</v>
      </c>
      <c r="C405">
        <f>A20</f>
        <v>3</v>
      </c>
      <c r="D405">
        <f>ROW(A20)</f>
        <v>20</v>
      </c>
      <c r="F405" t="str">
        <f>IF(F20&lt;&gt;"",F20,"")</f>
        <v>Новая локальная смета</v>
      </c>
      <c r="G405" t="str">
        <f>IF(G20&lt;&gt;"",G20,"")</f>
        <v>ЛС № 02-01-01 Благоустройство (ул. Свободы д. 15/10)</v>
      </c>
      <c r="H405">
        <v>0</v>
      </c>
      <c r="O405">
        <f t="shared" ref="O405:T405" si="298">ROUND(O65+O128+O175+O216+O255+O298+O336+O375+AB405,2)</f>
        <v>1349754.17</v>
      </c>
      <c r="P405">
        <f t="shared" si="298"/>
        <v>932604.97</v>
      </c>
      <c r="Q405">
        <f t="shared" si="298"/>
        <v>267563.03999999998</v>
      </c>
      <c r="R405">
        <f t="shared" si="298"/>
        <v>143899.42000000001</v>
      </c>
      <c r="S405">
        <f t="shared" si="298"/>
        <v>149586.16</v>
      </c>
      <c r="T405">
        <f t="shared" si="298"/>
        <v>0</v>
      </c>
      <c r="U405">
        <f>U65+U128+U175+U216+U255+U298+U336+U375+AH405</f>
        <v>737.09932776000005</v>
      </c>
      <c r="V405">
        <f>V65+V128+V175+V216+V255+V298+V336+V375+AI405</f>
        <v>0</v>
      </c>
      <c r="W405">
        <f>ROUND(W65+W128+W175+W216+W255+W298+W336+W375+AJ405,2)</f>
        <v>0</v>
      </c>
      <c r="X405">
        <f>ROUND(X65+X128+X175+X216+X255+X298+X336+X375+AK405,2)</f>
        <v>104710.33</v>
      </c>
      <c r="Y405">
        <f>ROUND(Y65+Y128+Y175+Y216+Y255+Y298+Y336+Y375+AL405,2)</f>
        <v>14958.62</v>
      </c>
      <c r="AO405">
        <f t="shared" ref="AO405:BD405" si="299">ROUND(AO65+AO128+AO175+AO216+AO255+AO298+AO336+AO375+BX405,2)</f>
        <v>0</v>
      </c>
      <c r="AP405">
        <f t="shared" si="299"/>
        <v>0</v>
      </c>
      <c r="AQ405">
        <f t="shared" si="299"/>
        <v>0</v>
      </c>
      <c r="AR405">
        <f t="shared" si="299"/>
        <v>1506516.38</v>
      </c>
      <c r="AS405">
        <f t="shared" si="299"/>
        <v>16541.66</v>
      </c>
      <c r="AT405">
        <f t="shared" si="299"/>
        <v>0</v>
      </c>
      <c r="AU405">
        <f t="shared" si="299"/>
        <v>1489974.72</v>
      </c>
      <c r="AV405">
        <f t="shared" si="299"/>
        <v>932604.97</v>
      </c>
      <c r="AW405">
        <f t="shared" si="299"/>
        <v>932604.97</v>
      </c>
      <c r="AX405">
        <f t="shared" si="299"/>
        <v>0</v>
      </c>
      <c r="AY405">
        <f t="shared" si="299"/>
        <v>932604.97</v>
      </c>
      <c r="AZ405">
        <f t="shared" si="299"/>
        <v>0</v>
      </c>
      <c r="BA405">
        <f t="shared" si="299"/>
        <v>0</v>
      </c>
      <c r="BB405">
        <f t="shared" si="299"/>
        <v>0</v>
      </c>
      <c r="BC405">
        <f t="shared" si="299"/>
        <v>0</v>
      </c>
      <c r="BD405">
        <f t="shared" si="299"/>
        <v>0</v>
      </c>
      <c r="GX405">
        <v>0</v>
      </c>
    </row>
    <row r="407" spans="1:206" x14ac:dyDescent="0.2">
      <c r="A407">
        <v>50</v>
      </c>
      <c r="B407">
        <v>0</v>
      </c>
      <c r="C407">
        <v>0</v>
      </c>
      <c r="D407">
        <v>1</v>
      </c>
      <c r="E407">
        <v>201</v>
      </c>
      <c r="F407">
        <f>ROUND(Source!O405,O407)</f>
        <v>1349754.17</v>
      </c>
      <c r="G407" t="s">
        <v>142</v>
      </c>
      <c r="H407" t="s">
        <v>143</v>
      </c>
      <c r="K407">
        <v>201</v>
      </c>
      <c r="L407">
        <v>1</v>
      </c>
      <c r="M407">
        <v>3</v>
      </c>
      <c r="N407" t="s">
        <v>3</v>
      </c>
      <c r="O407">
        <v>2</v>
      </c>
    </row>
    <row r="408" spans="1:206" x14ac:dyDescent="0.2">
      <c r="A408">
        <v>50</v>
      </c>
      <c r="B408">
        <v>0</v>
      </c>
      <c r="C408">
        <v>0</v>
      </c>
      <c r="D408">
        <v>1</v>
      </c>
      <c r="E408">
        <v>202</v>
      </c>
      <c r="F408">
        <f>ROUND(Source!P405,O408)</f>
        <v>932604.97</v>
      </c>
      <c r="G408" t="s">
        <v>144</v>
      </c>
      <c r="H408" t="s">
        <v>145</v>
      </c>
      <c r="K408">
        <v>202</v>
      </c>
      <c r="L408">
        <v>2</v>
      </c>
      <c r="M408">
        <v>3</v>
      </c>
      <c r="N408" t="s">
        <v>3</v>
      </c>
      <c r="O408">
        <v>2</v>
      </c>
    </row>
    <row r="409" spans="1:206" x14ac:dyDescent="0.2">
      <c r="A409">
        <v>50</v>
      </c>
      <c r="B409">
        <v>0</v>
      </c>
      <c r="C409">
        <v>0</v>
      </c>
      <c r="D409">
        <v>1</v>
      </c>
      <c r="E409">
        <v>222</v>
      </c>
      <c r="F409">
        <f>ROUND(Source!AO405,O409)</f>
        <v>0</v>
      </c>
      <c r="G409" t="s">
        <v>146</v>
      </c>
      <c r="H409" t="s">
        <v>147</v>
      </c>
      <c r="K409">
        <v>222</v>
      </c>
      <c r="L409">
        <v>3</v>
      </c>
      <c r="M409">
        <v>3</v>
      </c>
      <c r="N409" t="s">
        <v>3</v>
      </c>
      <c r="O409">
        <v>2</v>
      </c>
    </row>
    <row r="410" spans="1:206" x14ac:dyDescent="0.2">
      <c r="A410">
        <v>50</v>
      </c>
      <c r="B410">
        <v>0</v>
      </c>
      <c r="C410">
        <v>0</v>
      </c>
      <c r="D410">
        <v>1</v>
      </c>
      <c r="E410">
        <v>225</v>
      </c>
      <c r="F410">
        <f>ROUND(Source!AV405,O410)</f>
        <v>932604.97</v>
      </c>
      <c r="G410" t="s">
        <v>148</v>
      </c>
      <c r="H410" t="s">
        <v>149</v>
      </c>
      <c r="K410">
        <v>225</v>
      </c>
      <c r="L410">
        <v>4</v>
      </c>
      <c r="M410">
        <v>3</v>
      </c>
      <c r="N410" t="s">
        <v>3</v>
      </c>
      <c r="O410">
        <v>2</v>
      </c>
    </row>
    <row r="411" spans="1:206" x14ac:dyDescent="0.2">
      <c r="A411">
        <v>50</v>
      </c>
      <c r="B411">
        <v>0</v>
      </c>
      <c r="C411">
        <v>0</v>
      </c>
      <c r="D411">
        <v>1</v>
      </c>
      <c r="E411">
        <v>226</v>
      </c>
      <c r="F411">
        <f>ROUND(Source!AW405,O411)</f>
        <v>932604.97</v>
      </c>
      <c r="G411" t="s">
        <v>150</v>
      </c>
      <c r="H411" t="s">
        <v>151</v>
      </c>
      <c r="K411">
        <v>226</v>
      </c>
      <c r="L411">
        <v>5</v>
      </c>
      <c r="M411">
        <v>3</v>
      </c>
      <c r="N411" t="s">
        <v>3</v>
      </c>
      <c r="O411">
        <v>2</v>
      </c>
    </row>
    <row r="412" spans="1:206" x14ac:dyDescent="0.2">
      <c r="A412">
        <v>50</v>
      </c>
      <c r="B412">
        <v>0</v>
      </c>
      <c r="C412">
        <v>0</v>
      </c>
      <c r="D412">
        <v>1</v>
      </c>
      <c r="E412">
        <v>227</v>
      </c>
      <c r="F412">
        <f>ROUND(Source!AX405,O412)</f>
        <v>0</v>
      </c>
      <c r="G412" t="s">
        <v>152</v>
      </c>
      <c r="H412" t="s">
        <v>153</v>
      </c>
      <c r="K412">
        <v>227</v>
      </c>
      <c r="L412">
        <v>6</v>
      </c>
      <c r="M412">
        <v>3</v>
      </c>
      <c r="N412" t="s">
        <v>3</v>
      </c>
      <c r="O412">
        <v>2</v>
      </c>
    </row>
    <row r="413" spans="1:206" x14ac:dyDescent="0.2">
      <c r="A413">
        <v>50</v>
      </c>
      <c r="B413">
        <v>0</v>
      </c>
      <c r="C413">
        <v>0</v>
      </c>
      <c r="D413">
        <v>1</v>
      </c>
      <c r="E413">
        <v>228</v>
      </c>
      <c r="F413">
        <f>ROUND(Source!AY405,O413)</f>
        <v>932604.97</v>
      </c>
      <c r="G413" t="s">
        <v>154</v>
      </c>
      <c r="H413" t="s">
        <v>155</v>
      </c>
      <c r="K413">
        <v>228</v>
      </c>
      <c r="L413">
        <v>7</v>
      </c>
      <c r="M413">
        <v>3</v>
      </c>
      <c r="N413" t="s">
        <v>3</v>
      </c>
      <c r="O413">
        <v>2</v>
      </c>
    </row>
    <row r="414" spans="1:206" x14ac:dyDescent="0.2">
      <c r="A414">
        <v>50</v>
      </c>
      <c r="B414">
        <v>0</v>
      </c>
      <c r="C414">
        <v>0</v>
      </c>
      <c r="D414">
        <v>1</v>
      </c>
      <c r="E414">
        <v>216</v>
      </c>
      <c r="F414">
        <f>ROUND(Source!AP405,O414)</f>
        <v>0</v>
      </c>
      <c r="G414" t="s">
        <v>156</v>
      </c>
      <c r="H414" t="s">
        <v>157</v>
      </c>
      <c r="K414">
        <v>216</v>
      </c>
      <c r="L414">
        <v>8</v>
      </c>
      <c r="M414">
        <v>3</v>
      </c>
      <c r="N414" t="s">
        <v>3</v>
      </c>
      <c r="O414">
        <v>2</v>
      </c>
    </row>
    <row r="415" spans="1:206" x14ac:dyDescent="0.2">
      <c r="A415">
        <v>50</v>
      </c>
      <c r="B415">
        <v>0</v>
      </c>
      <c r="C415">
        <v>0</v>
      </c>
      <c r="D415">
        <v>1</v>
      </c>
      <c r="E415">
        <v>223</v>
      </c>
      <c r="F415">
        <f>ROUND(Source!AQ405,O415)</f>
        <v>0</v>
      </c>
      <c r="G415" t="s">
        <v>158</v>
      </c>
      <c r="H415" t="s">
        <v>159</v>
      </c>
      <c r="K415">
        <v>223</v>
      </c>
      <c r="L415">
        <v>9</v>
      </c>
      <c r="M415">
        <v>3</v>
      </c>
      <c r="N415" t="s">
        <v>3</v>
      </c>
      <c r="O415">
        <v>2</v>
      </c>
    </row>
    <row r="416" spans="1:206" x14ac:dyDescent="0.2">
      <c r="A416">
        <v>50</v>
      </c>
      <c r="B416">
        <v>0</v>
      </c>
      <c r="C416">
        <v>0</v>
      </c>
      <c r="D416">
        <v>1</v>
      </c>
      <c r="E416">
        <v>229</v>
      </c>
      <c r="F416">
        <f>ROUND(Source!AZ405,O416)</f>
        <v>0</v>
      </c>
      <c r="G416" t="s">
        <v>160</v>
      </c>
      <c r="H416" t="s">
        <v>161</v>
      </c>
      <c r="K416">
        <v>229</v>
      </c>
      <c r="L416">
        <v>10</v>
      </c>
      <c r="M416">
        <v>3</v>
      </c>
      <c r="N416" t="s">
        <v>3</v>
      </c>
      <c r="O416">
        <v>2</v>
      </c>
    </row>
    <row r="417" spans="1:15" x14ac:dyDescent="0.2">
      <c r="A417">
        <v>50</v>
      </c>
      <c r="B417">
        <v>0</v>
      </c>
      <c r="C417">
        <v>0</v>
      </c>
      <c r="D417">
        <v>1</v>
      </c>
      <c r="E417">
        <v>203</v>
      </c>
      <c r="F417">
        <f>ROUND(Source!Q405,O417)</f>
        <v>267563.03999999998</v>
      </c>
      <c r="G417" t="s">
        <v>162</v>
      </c>
      <c r="H417" t="s">
        <v>163</v>
      </c>
      <c r="K417">
        <v>203</v>
      </c>
      <c r="L417">
        <v>11</v>
      </c>
      <c r="M417">
        <v>3</v>
      </c>
      <c r="N417" t="s">
        <v>3</v>
      </c>
      <c r="O417">
        <v>2</v>
      </c>
    </row>
    <row r="418" spans="1:15" x14ac:dyDescent="0.2">
      <c r="A418">
        <v>50</v>
      </c>
      <c r="B418">
        <v>0</v>
      </c>
      <c r="C418">
        <v>0</v>
      </c>
      <c r="D418">
        <v>1</v>
      </c>
      <c r="E418">
        <v>231</v>
      </c>
      <c r="F418">
        <f>ROUND(Source!BB405,O418)</f>
        <v>0</v>
      </c>
      <c r="G418" t="s">
        <v>164</v>
      </c>
      <c r="H418" t="s">
        <v>165</v>
      </c>
      <c r="K418">
        <v>231</v>
      </c>
      <c r="L418">
        <v>12</v>
      </c>
      <c r="M418">
        <v>3</v>
      </c>
      <c r="N418" t="s">
        <v>3</v>
      </c>
      <c r="O418">
        <v>2</v>
      </c>
    </row>
    <row r="419" spans="1:15" x14ac:dyDescent="0.2">
      <c r="A419">
        <v>50</v>
      </c>
      <c r="B419">
        <v>0</v>
      </c>
      <c r="C419">
        <v>0</v>
      </c>
      <c r="D419">
        <v>1</v>
      </c>
      <c r="E419">
        <v>204</v>
      </c>
      <c r="F419">
        <f>ROUND(Source!R405,O419)</f>
        <v>143899.42000000001</v>
      </c>
      <c r="G419" t="s">
        <v>166</v>
      </c>
      <c r="H419" t="s">
        <v>167</v>
      </c>
      <c r="K419">
        <v>204</v>
      </c>
      <c r="L419">
        <v>13</v>
      </c>
      <c r="M419">
        <v>3</v>
      </c>
      <c r="N419" t="s">
        <v>3</v>
      </c>
      <c r="O419">
        <v>2</v>
      </c>
    </row>
    <row r="420" spans="1:15" x14ac:dyDescent="0.2">
      <c r="A420">
        <v>50</v>
      </c>
      <c r="B420">
        <v>0</v>
      </c>
      <c r="C420">
        <v>0</v>
      </c>
      <c r="D420">
        <v>1</v>
      </c>
      <c r="E420">
        <v>205</v>
      </c>
      <c r="F420">
        <f>ROUND(Source!S405,O420)</f>
        <v>149586.16</v>
      </c>
      <c r="G420" t="s">
        <v>168</v>
      </c>
      <c r="H420" t="s">
        <v>169</v>
      </c>
      <c r="K420">
        <v>205</v>
      </c>
      <c r="L420">
        <v>14</v>
      </c>
      <c r="M420">
        <v>3</v>
      </c>
      <c r="N420" t="s">
        <v>3</v>
      </c>
      <c r="O420">
        <v>2</v>
      </c>
    </row>
    <row r="421" spans="1:15" x14ac:dyDescent="0.2">
      <c r="A421">
        <v>50</v>
      </c>
      <c r="B421">
        <v>0</v>
      </c>
      <c r="C421">
        <v>0</v>
      </c>
      <c r="D421">
        <v>1</v>
      </c>
      <c r="E421">
        <v>232</v>
      </c>
      <c r="F421">
        <f>ROUND(Source!BC405,O421)</f>
        <v>0</v>
      </c>
      <c r="G421" t="s">
        <v>170</v>
      </c>
      <c r="H421" t="s">
        <v>171</v>
      </c>
      <c r="K421">
        <v>232</v>
      </c>
      <c r="L421">
        <v>15</v>
      </c>
      <c r="M421">
        <v>3</v>
      </c>
      <c r="N421" t="s">
        <v>3</v>
      </c>
      <c r="O421">
        <v>2</v>
      </c>
    </row>
    <row r="422" spans="1:15" x14ac:dyDescent="0.2">
      <c r="A422">
        <v>50</v>
      </c>
      <c r="B422">
        <v>0</v>
      </c>
      <c r="C422">
        <v>0</v>
      </c>
      <c r="D422">
        <v>1</v>
      </c>
      <c r="E422">
        <v>214</v>
      </c>
      <c r="F422">
        <f>ROUND(Source!AS405,O422)</f>
        <v>16541.66</v>
      </c>
      <c r="G422" t="s">
        <v>172</v>
      </c>
      <c r="H422" t="s">
        <v>173</v>
      </c>
      <c r="K422">
        <v>214</v>
      </c>
      <c r="L422">
        <v>16</v>
      </c>
      <c r="M422">
        <v>3</v>
      </c>
      <c r="N422" t="s">
        <v>3</v>
      </c>
      <c r="O422">
        <v>2</v>
      </c>
    </row>
    <row r="423" spans="1:15" x14ac:dyDescent="0.2">
      <c r="A423">
        <v>50</v>
      </c>
      <c r="B423">
        <v>0</v>
      </c>
      <c r="C423">
        <v>0</v>
      </c>
      <c r="D423">
        <v>1</v>
      </c>
      <c r="E423">
        <v>215</v>
      </c>
      <c r="F423">
        <f>ROUND(Source!AT405,O423)</f>
        <v>0</v>
      </c>
      <c r="G423" t="s">
        <v>174</v>
      </c>
      <c r="H423" t="s">
        <v>175</v>
      </c>
      <c r="K423">
        <v>215</v>
      </c>
      <c r="L423">
        <v>17</v>
      </c>
      <c r="M423">
        <v>3</v>
      </c>
      <c r="N423" t="s">
        <v>3</v>
      </c>
      <c r="O423">
        <v>2</v>
      </c>
    </row>
    <row r="424" spans="1:15" x14ac:dyDescent="0.2">
      <c r="A424">
        <v>50</v>
      </c>
      <c r="B424">
        <v>0</v>
      </c>
      <c r="C424">
        <v>0</v>
      </c>
      <c r="D424">
        <v>1</v>
      </c>
      <c r="E424">
        <v>217</v>
      </c>
      <c r="F424">
        <f>ROUND(Source!AU405,O424)</f>
        <v>1489974.72</v>
      </c>
      <c r="G424" t="s">
        <v>176</v>
      </c>
      <c r="H424" t="s">
        <v>177</v>
      </c>
      <c r="K424">
        <v>217</v>
      </c>
      <c r="L424">
        <v>18</v>
      </c>
      <c r="M424">
        <v>3</v>
      </c>
      <c r="N424" t="s">
        <v>3</v>
      </c>
      <c r="O424">
        <v>2</v>
      </c>
    </row>
    <row r="425" spans="1:15" x14ac:dyDescent="0.2">
      <c r="A425">
        <v>50</v>
      </c>
      <c r="B425">
        <v>0</v>
      </c>
      <c r="C425">
        <v>0</v>
      </c>
      <c r="D425">
        <v>1</v>
      </c>
      <c r="E425">
        <v>230</v>
      </c>
      <c r="F425">
        <f>ROUND(Source!BA405,O425)</f>
        <v>0</v>
      </c>
      <c r="G425" t="s">
        <v>178</v>
      </c>
      <c r="H425" t="s">
        <v>179</v>
      </c>
      <c r="K425">
        <v>230</v>
      </c>
      <c r="L425">
        <v>19</v>
      </c>
      <c r="M425">
        <v>3</v>
      </c>
      <c r="N425" t="s">
        <v>3</v>
      </c>
      <c r="O425">
        <v>2</v>
      </c>
    </row>
    <row r="426" spans="1:15" x14ac:dyDescent="0.2">
      <c r="A426">
        <v>50</v>
      </c>
      <c r="B426">
        <v>0</v>
      </c>
      <c r="C426">
        <v>0</v>
      </c>
      <c r="D426">
        <v>1</v>
      </c>
      <c r="E426">
        <v>206</v>
      </c>
      <c r="F426">
        <f>ROUND(Source!T405,O426)</f>
        <v>0</v>
      </c>
      <c r="G426" t="s">
        <v>180</v>
      </c>
      <c r="H426" t="s">
        <v>181</v>
      </c>
      <c r="K426">
        <v>206</v>
      </c>
      <c r="L426">
        <v>20</v>
      </c>
      <c r="M426">
        <v>3</v>
      </c>
      <c r="N426" t="s">
        <v>3</v>
      </c>
      <c r="O426">
        <v>2</v>
      </c>
    </row>
    <row r="427" spans="1:15" x14ac:dyDescent="0.2">
      <c r="A427">
        <v>50</v>
      </c>
      <c r="B427">
        <v>0</v>
      </c>
      <c r="C427">
        <v>0</v>
      </c>
      <c r="D427">
        <v>1</v>
      </c>
      <c r="E427">
        <v>207</v>
      </c>
      <c r="F427">
        <f>Source!U405</f>
        <v>737.09932776000005</v>
      </c>
      <c r="G427" t="s">
        <v>182</v>
      </c>
      <c r="H427" t="s">
        <v>183</v>
      </c>
      <c r="K427">
        <v>207</v>
      </c>
      <c r="L427">
        <v>21</v>
      </c>
      <c r="M427">
        <v>3</v>
      </c>
      <c r="N427" t="s">
        <v>3</v>
      </c>
      <c r="O427">
        <v>-1</v>
      </c>
    </row>
    <row r="428" spans="1:15" x14ac:dyDescent="0.2">
      <c r="A428">
        <v>50</v>
      </c>
      <c r="B428">
        <v>0</v>
      </c>
      <c r="C428">
        <v>0</v>
      </c>
      <c r="D428">
        <v>1</v>
      </c>
      <c r="E428">
        <v>208</v>
      </c>
      <c r="F428">
        <f>Source!V405</f>
        <v>0</v>
      </c>
      <c r="G428" t="s">
        <v>184</v>
      </c>
      <c r="H428" t="s">
        <v>185</v>
      </c>
      <c r="K428">
        <v>208</v>
      </c>
      <c r="L428">
        <v>22</v>
      </c>
      <c r="M428">
        <v>3</v>
      </c>
      <c r="N428" t="s">
        <v>3</v>
      </c>
      <c r="O428">
        <v>-1</v>
      </c>
    </row>
    <row r="429" spans="1:15" x14ac:dyDescent="0.2">
      <c r="A429">
        <v>50</v>
      </c>
      <c r="B429">
        <v>0</v>
      </c>
      <c r="C429">
        <v>0</v>
      </c>
      <c r="D429">
        <v>1</v>
      </c>
      <c r="E429">
        <v>209</v>
      </c>
      <c r="F429">
        <f>ROUND(Source!W405,O429)</f>
        <v>0</v>
      </c>
      <c r="G429" t="s">
        <v>186</v>
      </c>
      <c r="H429" t="s">
        <v>187</v>
      </c>
      <c r="K429">
        <v>209</v>
      </c>
      <c r="L429">
        <v>23</v>
      </c>
      <c r="M429">
        <v>3</v>
      </c>
      <c r="N429" t="s">
        <v>3</v>
      </c>
      <c r="O429">
        <v>2</v>
      </c>
    </row>
    <row r="430" spans="1:15" x14ac:dyDescent="0.2">
      <c r="A430">
        <v>50</v>
      </c>
      <c r="B430">
        <v>0</v>
      </c>
      <c r="C430">
        <v>0</v>
      </c>
      <c r="D430">
        <v>1</v>
      </c>
      <c r="E430">
        <v>233</v>
      </c>
      <c r="F430">
        <f>ROUND(Source!BD405,O430)</f>
        <v>0</v>
      </c>
      <c r="G430" t="s">
        <v>188</v>
      </c>
      <c r="H430" t="s">
        <v>189</v>
      </c>
      <c r="K430">
        <v>233</v>
      </c>
      <c r="L430">
        <v>24</v>
      </c>
      <c r="M430">
        <v>3</v>
      </c>
      <c r="N430" t="s">
        <v>3</v>
      </c>
      <c r="O430">
        <v>2</v>
      </c>
    </row>
    <row r="431" spans="1:15" x14ac:dyDescent="0.2">
      <c r="A431">
        <v>50</v>
      </c>
      <c r="B431">
        <v>0</v>
      </c>
      <c r="C431">
        <v>0</v>
      </c>
      <c r="D431">
        <v>1</v>
      </c>
      <c r="E431">
        <v>210</v>
      </c>
      <c r="F431">
        <f>ROUND(Source!X405,O431)</f>
        <v>104710.33</v>
      </c>
      <c r="G431" t="s">
        <v>190</v>
      </c>
      <c r="H431" t="s">
        <v>191</v>
      </c>
      <c r="K431">
        <v>210</v>
      </c>
      <c r="L431">
        <v>25</v>
      </c>
      <c r="M431">
        <v>3</v>
      </c>
      <c r="N431" t="s">
        <v>3</v>
      </c>
      <c r="O431">
        <v>2</v>
      </c>
    </row>
    <row r="432" spans="1:15" x14ac:dyDescent="0.2">
      <c r="A432">
        <v>50</v>
      </c>
      <c r="B432">
        <v>0</v>
      </c>
      <c r="C432">
        <v>0</v>
      </c>
      <c r="D432">
        <v>1</v>
      </c>
      <c r="E432">
        <v>211</v>
      </c>
      <c r="F432">
        <f>ROUND(Source!Y405,O432)</f>
        <v>14958.62</v>
      </c>
      <c r="G432" t="s">
        <v>192</v>
      </c>
      <c r="H432" t="s">
        <v>193</v>
      </c>
      <c r="K432">
        <v>211</v>
      </c>
      <c r="L432">
        <v>26</v>
      </c>
      <c r="M432">
        <v>3</v>
      </c>
      <c r="N432" t="s">
        <v>3</v>
      </c>
      <c r="O432">
        <v>2</v>
      </c>
    </row>
    <row r="433" spans="1:94" x14ac:dyDescent="0.2">
      <c r="A433">
        <v>50</v>
      </c>
      <c r="B433">
        <v>0</v>
      </c>
      <c r="C433">
        <v>0</v>
      </c>
      <c r="D433">
        <v>1</v>
      </c>
      <c r="E433">
        <v>224</v>
      </c>
      <c r="F433">
        <f>ROUND(Source!AR405,O433)</f>
        <v>1506516.38</v>
      </c>
      <c r="G433" t="s">
        <v>194</v>
      </c>
      <c r="H433" t="s">
        <v>195</v>
      </c>
      <c r="K433">
        <v>224</v>
      </c>
      <c r="L433">
        <v>27</v>
      </c>
      <c r="M433">
        <v>3</v>
      </c>
      <c r="N433" t="s">
        <v>3</v>
      </c>
      <c r="O433">
        <v>2</v>
      </c>
    </row>
    <row r="435" spans="1:94" x14ac:dyDescent="0.2">
      <c r="A435">
        <v>60</v>
      </c>
      <c r="B435">
        <f>IF(Source!F435&lt;&gt;0,1,0)</f>
        <v>1</v>
      </c>
      <c r="D435">
        <f>ROW(A20)</f>
        <v>20</v>
      </c>
      <c r="E435">
        <v>1</v>
      </c>
      <c r="F435">
        <v>786</v>
      </c>
      <c r="G435" t="s">
        <v>346</v>
      </c>
      <c r="H435" t="s">
        <v>3</v>
      </c>
    </row>
    <row r="436" spans="1:94" x14ac:dyDescent="0.2">
      <c r="A436">
        <v>60</v>
      </c>
      <c r="B436">
        <f>IF(Source!F436&lt;&gt;0,1,0)</f>
        <v>1</v>
      </c>
      <c r="D436">
        <f>ROW(A20)</f>
        <v>20</v>
      </c>
      <c r="E436">
        <v>2</v>
      </c>
      <c r="F436">
        <v>350</v>
      </c>
      <c r="G436" t="s">
        <v>347</v>
      </c>
      <c r="H436" t="s">
        <v>3</v>
      </c>
    </row>
    <row r="437" spans="1:94" x14ac:dyDescent="0.2">
      <c r="A437">
        <v>60</v>
      </c>
      <c r="B437">
        <f>IF(Source!F437&lt;&gt;0,1,0)</f>
        <v>1</v>
      </c>
      <c r="D437">
        <f>ROW(A20)</f>
        <v>20</v>
      </c>
      <c r="E437">
        <v>5</v>
      </c>
      <c r="F437">
        <v>71.400000000000006</v>
      </c>
      <c r="G437" t="s">
        <v>348</v>
      </c>
      <c r="H437" t="s">
        <v>3</v>
      </c>
    </row>
    <row r="438" spans="1:94" x14ac:dyDescent="0.2">
      <c r="A438">
        <v>60</v>
      </c>
      <c r="B438">
        <f>IF(Source!F438&lt;&gt;0,1,0)</f>
        <v>1</v>
      </c>
      <c r="D438">
        <f>ROW(A20)</f>
        <v>20</v>
      </c>
      <c r="E438">
        <v>6</v>
      </c>
      <c r="F438">
        <v>14.6</v>
      </c>
      <c r="G438" t="s">
        <v>349</v>
      </c>
      <c r="H438" t="s">
        <v>3</v>
      </c>
    </row>
    <row r="439" spans="1:94" x14ac:dyDescent="0.2">
      <c r="A439">
        <v>60</v>
      </c>
      <c r="B439">
        <f>IF(Source!F439&lt;&gt;0,1,0)</f>
        <v>1</v>
      </c>
      <c r="D439">
        <f>ROW(A20)</f>
        <v>20</v>
      </c>
      <c r="E439">
        <v>10</v>
      </c>
      <c r="F439">
        <v>170</v>
      </c>
      <c r="G439" t="s">
        <v>350</v>
      </c>
      <c r="H439" t="s">
        <v>3</v>
      </c>
    </row>
    <row r="440" spans="1:94" x14ac:dyDescent="0.2">
      <c r="A440">
        <v>60</v>
      </c>
      <c r="B440">
        <f>IF(Source!F440&lt;&gt;0,1,0)</f>
        <v>1</v>
      </c>
      <c r="D440">
        <f>ROW(A20)</f>
        <v>20</v>
      </c>
      <c r="E440">
        <v>11</v>
      </c>
      <c r="F440">
        <v>61</v>
      </c>
      <c r="G440" t="s">
        <v>351</v>
      </c>
      <c r="H440" t="s">
        <v>3</v>
      </c>
    </row>
    <row r="441" spans="1:94" x14ac:dyDescent="0.2">
      <c r="A441">
        <v>60</v>
      </c>
      <c r="B441">
        <f>IF(Source!F441&lt;&gt;0,1,0)</f>
        <v>1</v>
      </c>
      <c r="D441">
        <f>ROW(A20)</f>
        <v>20</v>
      </c>
      <c r="E441">
        <v>12</v>
      </c>
      <c r="F441">
        <v>3.6</v>
      </c>
      <c r="G441" t="s">
        <v>352</v>
      </c>
      <c r="H441" t="s">
        <v>3</v>
      </c>
    </row>
    <row r="442" spans="1:94" x14ac:dyDescent="0.2">
      <c r="A442">
        <v>60</v>
      </c>
      <c r="B442">
        <f>IF(Source!F442&lt;&gt;0,1,0)</f>
        <v>1</v>
      </c>
      <c r="D442">
        <f>ROW(A20)</f>
        <v>20</v>
      </c>
      <c r="E442">
        <v>13</v>
      </c>
      <c r="F442">
        <v>399.3</v>
      </c>
      <c r="G442" t="s">
        <v>353</v>
      </c>
      <c r="H442" t="s">
        <v>3</v>
      </c>
    </row>
    <row r="443" spans="1:94" x14ac:dyDescent="0.2">
      <c r="A443">
        <v>60</v>
      </c>
      <c r="B443">
        <f>IF(Source!F443&lt;&gt;0,1,0)</f>
        <v>1</v>
      </c>
      <c r="D443">
        <f>ROW(A20)</f>
        <v>20</v>
      </c>
      <c r="E443">
        <v>14</v>
      </c>
      <c r="F443">
        <v>251.9</v>
      </c>
      <c r="G443" t="s">
        <v>354</v>
      </c>
      <c r="H443" t="s">
        <v>3</v>
      </c>
    </row>
    <row r="444" spans="1:94" x14ac:dyDescent="0.2">
      <c r="A444">
        <v>60</v>
      </c>
      <c r="B444">
        <f>IF(Source!F444&lt;&gt;0,1,0)</f>
        <v>1</v>
      </c>
      <c r="D444">
        <f>ROW(A20)</f>
        <v>20</v>
      </c>
      <c r="E444">
        <v>15</v>
      </c>
      <c r="F444">
        <v>463.3</v>
      </c>
      <c r="G444" t="s">
        <v>354</v>
      </c>
      <c r="H444" t="s">
        <v>3</v>
      </c>
    </row>
    <row r="445" spans="1:94" x14ac:dyDescent="0.2">
      <c r="A445">
        <v>60</v>
      </c>
      <c r="B445">
        <f>IF(Source!F445&lt;&gt;0,1,0)</f>
        <v>1</v>
      </c>
      <c r="D445">
        <f>ROW(A20)</f>
        <v>20</v>
      </c>
      <c r="E445">
        <v>17</v>
      </c>
      <c r="F445">
        <v>694</v>
      </c>
      <c r="G445" t="s">
        <v>355</v>
      </c>
      <c r="H445" t="s">
        <v>3</v>
      </c>
    </row>
    <row r="447" spans="1:94" x14ac:dyDescent="0.2">
      <c r="A447">
        <v>3</v>
      </c>
      <c r="B447">
        <v>1</v>
      </c>
      <c r="D447">
        <f>ROW(A596)</f>
        <v>596</v>
      </c>
      <c r="F447" t="s">
        <v>12</v>
      </c>
      <c r="G447" t="s">
        <v>356</v>
      </c>
      <c r="H447" t="s">
        <v>3</v>
      </c>
      <c r="I447">
        <v>0</v>
      </c>
      <c r="J447" t="s">
        <v>3</v>
      </c>
      <c r="K447">
        <v>-1</v>
      </c>
      <c r="L447" t="s">
        <v>3</v>
      </c>
      <c r="U447" t="s">
        <v>3</v>
      </c>
      <c r="V447">
        <v>0</v>
      </c>
      <c r="AB447" t="s">
        <v>3</v>
      </c>
      <c r="AC447" t="s">
        <v>3</v>
      </c>
      <c r="AD447" t="s">
        <v>3</v>
      </c>
      <c r="AE447" t="s">
        <v>3</v>
      </c>
      <c r="AF447" t="s">
        <v>3</v>
      </c>
      <c r="AG447" t="s">
        <v>3</v>
      </c>
      <c r="AP447" t="s">
        <v>3</v>
      </c>
      <c r="AQ447" t="s">
        <v>3</v>
      </c>
      <c r="AR447" t="s">
        <v>3</v>
      </c>
      <c r="AZ447" t="s">
        <v>3</v>
      </c>
      <c r="BB447" t="s">
        <v>3</v>
      </c>
      <c r="BC447" t="s">
        <v>3</v>
      </c>
      <c r="BD447" t="s">
        <v>3</v>
      </c>
      <c r="BE447" t="s">
        <v>3</v>
      </c>
      <c r="BF447" t="s">
        <v>3</v>
      </c>
      <c r="BG447" t="s">
        <v>3</v>
      </c>
      <c r="BH447" t="s">
        <v>3</v>
      </c>
      <c r="BI447" t="s">
        <v>3</v>
      </c>
      <c r="BJ447" t="s">
        <v>3</v>
      </c>
      <c r="BK447" t="s">
        <v>3</v>
      </c>
      <c r="BL447" t="s">
        <v>3</v>
      </c>
      <c r="BM447" t="s">
        <v>3</v>
      </c>
      <c r="BN447" t="s">
        <v>3</v>
      </c>
      <c r="BO447" t="s">
        <v>3</v>
      </c>
      <c r="BP447" t="s">
        <v>3</v>
      </c>
      <c r="BX447">
        <v>0</v>
      </c>
      <c r="CF447">
        <v>0</v>
      </c>
      <c r="CG447">
        <v>0</v>
      </c>
      <c r="CI447" t="s">
        <v>3</v>
      </c>
      <c r="CJ447" t="s">
        <v>3</v>
      </c>
      <c r="CK447" t="s">
        <v>3</v>
      </c>
      <c r="CL447" t="s">
        <v>3</v>
      </c>
      <c r="CM447" t="s">
        <v>3</v>
      </c>
      <c r="CN447" t="s">
        <v>3</v>
      </c>
      <c r="CO447" t="s">
        <v>3</v>
      </c>
      <c r="CP447" t="s">
        <v>3</v>
      </c>
    </row>
    <row r="449" spans="1:245" x14ac:dyDescent="0.2">
      <c r="A449">
        <v>52</v>
      </c>
      <c r="B449">
        <f t="shared" ref="B449:G449" si="300">B596</f>
        <v>1</v>
      </c>
      <c r="C449">
        <f t="shared" si="300"/>
        <v>3</v>
      </c>
      <c r="D449">
        <f t="shared" si="300"/>
        <v>447</v>
      </c>
      <c r="E449">
        <f t="shared" si="300"/>
        <v>0</v>
      </c>
      <c r="F449" t="str">
        <f t="shared" si="300"/>
        <v>Новая локальная смета</v>
      </c>
      <c r="G449" t="str">
        <f t="shared" si="300"/>
        <v>ЛС № 02-01-02 Установка МАФ (ул. Свободы д. 15/10)</v>
      </c>
      <c r="O449">
        <f t="shared" ref="O449:AT449" si="301">O596</f>
        <v>2825601.35</v>
      </c>
      <c r="P449">
        <f t="shared" si="301"/>
        <v>2824921.43</v>
      </c>
      <c r="Q449">
        <f t="shared" si="301"/>
        <v>0</v>
      </c>
      <c r="R449">
        <f t="shared" si="301"/>
        <v>0</v>
      </c>
      <c r="S449">
        <f t="shared" si="301"/>
        <v>679.92</v>
      </c>
      <c r="T449">
        <f t="shared" si="301"/>
        <v>0</v>
      </c>
      <c r="U449">
        <f t="shared" si="301"/>
        <v>2.8632</v>
      </c>
      <c r="V449">
        <f t="shared" si="301"/>
        <v>0</v>
      </c>
      <c r="W449">
        <f t="shared" si="301"/>
        <v>0</v>
      </c>
      <c r="X449">
        <f t="shared" si="301"/>
        <v>475.94</v>
      </c>
      <c r="Y449">
        <f t="shared" si="301"/>
        <v>67.989999999999995</v>
      </c>
      <c r="Z449">
        <f t="shared" si="301"/>
        <v>0</v>
      </c>
      <c r="AA449">
        <f t="shared" si="301"/>
        <v>0</v>
      </c>
      <c r="AB449">
        <f t="shared" si="301"/>
        <v>0</v>
      </c>
      <c r="AC449">
        <f t="shared" si="301"/>
        <v>0</v>
      </c>
      <c r="AD449">
        <f t="shared" si="301"/>
        <v>0</v>
      </c>
      <c r="AE449">
        <f t="shared" si="301"/>
        <v>0</v>
      </c>
      <c r="AF449">
        <f t="shared" si="301"/>
        <v>0</v>
      </c>
      <c r="AG449">
        <f t="shared" si="301"/>
        <v>0</v>
      </c>
      <c r="AH449">
        <f t="shared" si="301"/>
        <v>0</v>
      </c>
      <c r="AI449">
        <f t="shared" si="301"/>
        <v>0</v>
      </c>
      <c r="AJ449">
        <f t="shared" si="301"/>
        <v>0</v>
      </c>
      <c r="AK449">
        <f t="shared" si="301"/>
        <v>0</v>
      </c>
      <c r="AL449">
        <f t="shared" si="301"/>
        <v>0</v>
      </c>
      <c r="AM449">
        <f t="shared" si="301"/>
        <v>0</v>
      </c>
      <c r="AN449">
        <f t="shared" si="301"/>
        <v>0</v>
      </c>
      <c r="AO449">
        <f t="shared" si="301"/>
        <v>0</v>
      </c>
      <c r="AP449">
        <f t="shared" si="301"/>
        <v>0</v>
      </c>
      <c r="AQ449">
        <f t="shared" si="301"/>
        <v>0</v>
      </c>
      <c r="AR449">
        <f t="shared" si="301"/>
        <v>2826145.28</v>
      </c>
      <c r="AS449">
        <f t="shared" si="301"/>
        <v>0</v>
      </c>
      <c r="AT449">
        <f t="shared" si="301"/>
        <v>0</v>
      </c>
      <c r="AU449">
        <f t="shared" ref="AU449:BZ449" si="302">AU596</f>
        <v>2826145.28</v>
      </c>
      <c r="AV449">
        <f t="shared" si="302"/>
        <v>2824921.43</v>
      </c>
      <c r="AW449">
        <f t="shared" si="302"/>
        <v>2824921.43</v>
      </c>
      <c r="AX449">
        <f t="shared" si="302"/>
        <v>0</v>
      </c>
      <c r="AY449">
        <f t="shared" si="302"/>
        <v>2824921.43</v>
      </c>
      <c r="AZ449">
        <f t="shared" si="302"/>
        <v>0</v>
      </c>
      <c r="BA449">
        <f t="shared" si="302"/>
        <v>0</v>
      </c>
      <c r="BB449">
        <f t="shared" si="302"/>
        <v>0</v>
      </c>
      <c r="BC449">
        <f t="shared" si="302"/>
        <v>0</v>
      </c>
      <c r="BD449">
        <f t="shared" si="302"/>
        <v>0</v>
      </c>
      <c r="BE449">
        <f t="shared" si="302"/>
        <v>0</v>
      </c>
      <c r="BF449">
        <f t="shared" si="302"/>
        <v>0</v>
      </c>
      <c r="BG449">
        <f t="shared" si="302"/>
        <v>0</v>
      </c>
      <c r="BH449">
        <f t="shared" si="302"/>
        <v>0</v>
      </c>
      <c r="BI449">
        <f t="shared" si="302"/>
        <v>0</v>
      </c>
      <c r="BJ449">
        <f t="shared" si="302"/>
        <v>0</v>
      </c>
      <c r="BK449">
        <f t="shared" si="302"/>
        <v>0</v>
      </c>
      <c r="BL449">
        <f t="shared" si="302"/>
        <v>0</v>
      </c>
      <c r="BM449">
        <f t="shared" si="302"/>
        <v>0</v>
      </c>
      <c r="BN449">
        <f t="shared" si="302"/>
        <v>0</v>
      </c>
      <c r="BO449">
        <f t="shared" si="302"/>
        <v>0</v>
      </c>
      <c r="BP449">
        <f t="shared" si="302"/>
        <v>0</v>
      </c>
      <c r="BQ449">
        <f t="shared" si="302"/>
        <v>0</v>
      </c>
      <c r="BR449">
        <f t="shared" si="302"/>
        <v>0</v>
      </c>
      <c r="BS449">
        <f t="shared" si="302"/>
        <v>0</v>
      </c>
      <c r="BT449">
        <f t="shared" si="302"/>
        <v>0</v>
      </c>
      <c r="BU449">
        <f t="shared" si="302"/>
        <v>0</v>
      </c>
      <c r="BV449">
        <f t="shared" si="302"/>
        <v>0</v>
      </c>
      <c r="BW449">
        <f t="shared" si="302"/>
        <v>0</v>
      </c>
      <c r="BX449">
        <f t="shared" si="302"/>
        <v>0</v>
      </c>
      <c r="BY449">
        <f t="shared" si="302"/>
        <v>0</v>
      </c>
      <c r="BZ449">
        <f t="shared" si="302"/>
        <v>0</v>
      </c>
      <c r="CA449">
        <f t="shared" ref="CA449:DF449" si="303">CA596</f>
        <v>0</v>
      </c>
      <c r="CB449">
        <f t="shared" si="303"/>
        <v>0</v>
      </c>
      <c r="CC449">
        <f t="shared" si="303"/>
        <v>0</v>
      </c>
      <c r="CD449">
        <f t="shared" si="303"/>
        <v>0</v>
      </c>
      <c r="CE449">
        <f t="shared" si="303"/>
        <v>0</v>
      </c>
      <c r="CF449">
        <f t="shared" si="303"/>
        <v>0</v>
      </c>
      <c r="CG449">
        <f t="shared" si="303"/>
        <v>0</v>
      </c>
      <c r="CH449">
        <f t="shared" si="303"/>
        <v>0</v>
      </c>
      <c r="CI449">
        <f t="shared" si="303"/>
        <v>0</v>
      </c>
      <c r="CJ449">
        <f t="shared" si="303"/>
        <v>0</v>
      </c>
      <c r="CK449">
        <f t="shared" si="303"/>
        <v>0</v>
      </c>
      <c r="CL449">
        <f t="shared" si="303"/>
        <v>0</v>
      </c>
      <c r="CM449">
        <f t="shared" si="303"/>
        <v>0</v>
      </c>
      <c r="CN449">
        <f t="shared" si="303"/>
        <v>0</v>
      </c>
      <c r="CO449">
        <f t="shared" si="303"/>
        <v>0</v>
      </c>
      <c r="CP449">
        <f t="shared" si="303"/>
        <v>0</v>
      </c>
      <c r="CQ449">
        <f t="shared" si="303"/>
        <v>0</v>
      </c>
      <c r="CR449">
        <f t="shared" si="303"/>
        <v>0</v>
      </c>
      <c r="CS449">
        <f t="shared" si="303"/>
        <v>0</v>
      </c>
      <c r="CT449">
        <f t="shared" si="303"/>
        <v>0</v>
      </c>
      <c r="CU449">
        <f t="shared" si="303"/>
        <v>0</v>
      </c>
      <c r="CV449">
        <f t="shared" si="303"/>
        <v>0</v>
      </c>
      <c r="CW449">
        <f t="shared" si="303"/>
        <v>0</v>
      </c>
      <c r="CX449">
        <f t="shared" si="303"/>
        <v>0</v>
      </c>
      <c r="CY449">
        <f t="shared" si="303"/>
        <v>0</v>
      </c>
      <c r="CZ449">
        <f t="shared" si="303"/>
        <v>0</v>
      </c>
      <c r="DA449">
        <f t="shared" si="303"/>
        <v>0</v>
      </c>
      <c r="DB449">
        <f t="shared" si="303"/>
        <v>0</v>
      </c>
      <c r="DC449">
        <f t="shared" si="303"/>
        <v>0</v>
      </c>
      <c r="DD449">
        <f t="shared" si="303"/>
        <v>0</v>
      </c>
      <c r="DE449">
        <f t="shared" si="303"/>
        <v>0</v>
      </c>
      <c r="DF449">
        <f t="shared" si="303"/>
        <v>0</v>
      </c>
      <c r="DG449">
        <f t="shared" ref="DG449:EL449" si="304">DG596</f>
        <v>0</v>
      </c>
      <c r="DH449">
        <f t="shared" si="304"/>
        <v>0</v>
      </c>
      <c r="DI449">
        <f t="shared" si="304"/>
        <v>0</v>
      </c>
      <c r="DJ449">
        <f t="shared" si="304"/>
        <v>0</v>
      </c>
      <c r="DK449">
        <f t="shared" si="304"/>
        <v>0</v>
      </c>
      <c r="DL449">
        <f t="shared" si="304"/>
        <v>0</v>
      </c>
      <c r="DM449">
        <f t="shared" si="304"/>
        <v>0</v>
      </c>
      <c r="DN449">
        <f t="shared" si="304"/>
        <v>0</v>
      </c>
      <c r="DO449">
        <f t="shared" si="304"/>
        <v>0</v>
      </c>
      <c r="DP449">
        <f t="shared" si="304"/>
        <v>0</v>
      </c>
      <c r="DQ449">
        <f t="shared" si="304"/>
        <v>0</v>
      </c>
      <c r="DR449">
        <f t="shared" si="304"/>
        <v>0</v>
      </c>
      <c r="DS449">
        <f t="shared" si="304"/>
        <v>0</v>
      </c>
      <c r="DT449">
        <f t="shared" si="304"/>
        <v>0</v>
      </c>
      <c r="DU449">
        <f t="shared" si="304"/>
        <v>0</v>
      </c>
      <c r="DV449">
        <f t="shared" si="304"/>
        <v>0</v>
      </c>
      <c r="DW449">
        <f t="shared" si="304"/>
        <v>0</v>
      </c>
      <c r="DX449">
        <f t="shared" si="304"/>
        <v>0</v>
      </c>
      <c r="DY449">
        <f t="shared" si="304"/>
        <v>0</v>
      </c>
      <c r="DZ449">
        <f t="shared" si="304"/>
        <v>0</v>
      </c>
      <c r="EA449">
        <f t="shared" si="304"/>
        <v>0</v>
      </c>
      <c r="EB449">
        <f t="shared" si="304"/>
        <v>0</v>
      </c>
      <c r="EC449">
        <f t="shared" si="304"/>
        <v>0</v>
      </c>
      <c r="ED449">
        <f t="shared" si="304"/>
        <v>0</v>
      </c>
      <c r="EE449">
        <f t="shared" si="304"/>
        <v>0</v>
      </c>
      <c r="EF449">
        <f t="shared" si="304"/>
        <v>0</v>
      </c>
      <c r="EG449">
        <f t="shared" si="304"/>
        <v>0</v>
      </c>
      <c r="EH449">
        <f t="shared" si="304"/>
        <v>0</v>
      </c>
      <c r="EI449">
        <f t="shared" si="304"/>
        <v>0</v>
      </c>
      <c r="EJ449">
        <f t="shared" si="304"/>
        <v>0</v>
      </c>
      <c r="EK449">
        <f t="shared" si="304"/>
        <v>0</v>
      </c>
      <c r="EL449">
        <f t="shared" si="304"/>
        <v>0</v>
      </c>
      <c r="EM449">
        <f t="shared" ref="EM449:FR449" si="305">EM596</f>
        <v>0</v>
      </c>
      <c r="EN449">
        <f t="shared" si="305"/>
        <v>0</v>
      </c>
      <c r="EO449">
        <f t="shared" si="305"/>
        <v>0</v>
      </c>
      <c r="EP449">
        <f t="shared" si="305"/>
        <v>0</v>
      </c>
      <c r="EQ449">
        <f t="shared" si="305"/>
        <v>0</v>
      </c>
      <c r="ER449">
        <f t="shared" si="305"/>
        <v>0</v>
      </c>
      <c r="ES449">
        <f t="shared" si="305"/>
        <v>0</v>
      </c>
      <c r="ET449">
        <f t="shared" si="305"/>
        <v>0</v>
      </c>
      <c r="EU449">
        <f t="shared" si="305"/>
        <v>0</v>
      </c>
      <c r="EV449">
        <f t="shared" si="305"/>
        <v>0</v>
      </c>
      <c r="EW449">
        <f t="shared" si="305"/>
        <v>0</v>
      </c>
      <c r="EX449">
        <f t="shared" si="305"/>
        <v>0</v>
      </c>
      <c r="EY449">
        <f t="shared" si="305"/>
        <v>0</v>
      </c>
      <c r="EZ449">
        <f t="shared" si="305"/>
        <v>0</v>
      </c>
      <c r="FA449">
        <f t="shared" si="305"/>
        <v>0</v>
      </c>
      <c r="FB449">
        <f t="shared" si="305"/>
        <v>0</v>
      </c>
      <c r="FC449">
        <f t="shared" si="305"/>
        <v>0</v>
      </c>
      <c r="FD449">
        <f t="shared" si="305"/>
        <v>0</v>
      </c>
      <c r="FE449">
        <f t="shared" si="305"/>
        <v>0</v>
      </c>
      <c r="FF449">
        <f t="shared" si="305"/>
        <v>0</v>
      </c>
      <c r="FG449">
        <f t="shared" si="305"/>
        <v>0</v>
      </c>
      <c r="FH449">
        <f t="shared" si="305"/>
        <v>0</v>
      </c>
      <c r="FI449">
        <f t="shared" si="305"/>
        <v>0</v>
      </c>
      <c r="FJ449">
        <f t="shared" si="305"/>
        <v>0</v>
      </c>
      <c r="FK449">
        <f t="shared" si="305"/>
        <v>0</v>
      </c>
      <c r="FL449">
        <f t="shared" si="305"/>
        <v>0</v>
      </c>
      <c r="FM449">
        <f t="shared" si="305"/>
        <v>0</v>
      </c>
      <c r="FN449">
        <f t="shared" si="305"/>
        <v>0</v>
      </c>
      <c r="FO449">
        <f t="shared" si="305"/>
        <v>0</v>
      </c>
      <c r="FP449">
        <f t="shared" si="305"/>
        <v>0</v>
      </c>
      <c r="FQ449">
        <f t="shared" si="305"/>
        <v>0</v>
      </c>
      <c r="FR449">
        <f t="shared" si="305"/>
        <v>0</v>
      </c>
      <c r="FS449">
        <f t="shared" ref="FS449:GX449" si="306">FS596</f>
        <v>0</v>
      </c>
      <c r="FT449">
        <f t="shared" si="306"/>
        <v>0</v>
      </c>
      <c r="FU449">
        <f t="shared" si="306"/>
        <v>0</v>
      </c>
      <c r="FV449">
        <f t="shared" si="306"/>
        <v>0</v>
      </c>
      <c r="FW449">
        <f t="shared" si="306"/>
        <v>0</v>
      </c>
      <c r="FX449">
        <f t="shared" si="306"/>
        <v>0</v>
      </c>
      <c r="FY449">
        <f t="shared" si="306"/>
        <v>0</v>
      </c>
      <c r="FZ449">
        <f t="shared" si="306"/>
        <v>0</v>
      </c>
      <c r="GA449">
        <f t="shared" si="306"/>
        <v>0</v>
      </c>
      <c r="GB449">
        <f t="shared" si="306"/>
        <v>0</v>
      </c>
      <c r="GC449">
        <f t="shared" si="306"/>
        <v>0</v>
      </c>
      <c r="GD449">
        <f t="shared" si="306"/>
        <v>0</v>
      </c>
      <c r="GE449">
        <f t="shared" si="306"/>
        <v>0</v>
      </c>
      <c r="GF449">
        <f t="shared" si="306"/>
        <v>0</v>
      </c>
      <c r="GG449">
        <f t="shared" si="306"/>
        <v>0</v>
      </c>
      <c r="GH449">
        <f t="shared" si="306"/>
        <v>0</v>
      </c>
      <c r="GI449">
        <f t="shared" si="306"/>
        <v>0</v>
      </c>
      <c r="GJ449">
        <f t="shared" si="306"/>
        <v>0</v>
      </c>
      <c r="GK449">
        <f t="shared" si="306"/>
        <v>0</v>
      </c>
      <c r="GL449">
        <f t="shared" si="306"/>
        <v>0</v>
      </c>
      <c r="GM449">
        <f t="shared" si="306"/>
        <v>0</v>
      </c>
      <c r="GN449">
        <f t="shared" si="306"/>
        <v>0</v>
      </c>
      <c r="GO449">
        <f t="shared" si="306"/>
        <v>0</v>
      </c>
      <c r="GP449">
        <f t="shared" si="306"/>
        <v>0</v>
      </c>
      <c r="GQ449">
        <f t="shared" si="306"/>
        <v>0</v>
      </c>
      <c r="GR449">
        <f t="shared" si="306"/>
        <v>0</v>
      </c>
      <c r="GS449">
        <f t="shared" si="306"/>
        <v>0</v>
      </c>
      <c r="GT449">
        <f t="shared" si="306"/>
        <v>0</v>
      </c>
      <c r="GU449">
        <f t="shared" si="306"/>
        <v>0</v>
      </c>
      <c r="GV449">
        <f t="shared" si="306"/>
        <v>0</v>
      </c>
      <c r="GW449">
        <f t="shared" si="306"/>
        <v>0</v>
      </c>
      <c r="GX449">
        <f t="shared" si="306"/>
        <v>0</v>
      </c>
    </row>
    <row r="451" spans="1:245" x14ac:dyDescent="0.2">
      <c r="A451">
        <v>4</v>
      </c>
      <c r="B451">
        <v>1</v>
      </c>
      <c r="D451">
        <f>ROW(A468)</f>
        <v>468</v>
      </c>
      <c r="F451" t="s">
        <v>14</v>
      </c>
      <c r="G451" t="s">
        <v>357</v>
      </c>
      <c r="H451" t="s">
        <v>3</v>
      </c>
      <c r="I451">
        <v>0</v>
      </c>
      <c r="K451">
        <v>0</v>
      </c>
      <c r="U451" t="s">
        <v>3</v>
      </c>
      <c r="V451">
        <v>0</v>
      </c>
      <c r="AB451" t="s">
        <v>3</v>
      </c>
      <c r="AC451" t="s">
        <v>3</v>
      </c>
      <c r="AD451" t="s">
        <v>3</v>
      </c>
      <c r="AE451" t="s">
        <v>3</v>
      </c>
      <c r="AF451" t="s">
        <v>3</v>
      </c>
      <c r="AG451" t="s">
        <v>3</v>
      </c>
      <c r="AP451" t="s">
        <v>3</v>
      </c>
      <c r="AQ451" t="s">
        <v>3</v>
      </c>
      <c r="AR451" t="s">
        <v>3</v>
      </c>
      <c r="AZ451" t="s">
        <v>3</v>
      </c>
      <c r="BB451" t="s">
        <v>3</v>
      </c>
      <c r="BC451" t="s">
        <v>3</v>
      </c>
      <c r="BD451" t="s">
        <v>3</v>
      </c>
      <c r="BE451" t="s">
        <v>3</v>
      </c>
      <c r="BF451" t="s">
        <v>3</v>
      </c>
      <c r="BG451" t="s">
        <v>3</v>
      </c>
      <c r="BH451" t="s">
        <v>3</v>
      </c>
      <c r="BI451" t="s">
        <v>3</v>
      </c>
      <c r="BJ451" t="s">
        <v>3</v>
      </c>
      <c r="BK451" t="s">
        <v>3</v>
      </c>
      <c r="BL451" t="s">
        <v>3</v>
      </c>
      <c r="BM451" t="s">
        <v>3</v>
      </c>
      <c r="BN451" t="s">
        <v>3</v>
      </c>
      <c r="BO451" t="s">
        <v>3</v>
      </c>
      <c r="BP451" t="s">
        <v>3</v>
      </c>
      <c r="BX451">
        <v>0</v>
      </c>
      <c r="CJ451">
        <v>0</v>
      </c>
    </row>
    <row r="453" spans="1:245" x14ac:dyDescent="0.2">
      <c r="A453">
        <v>52</v>
      </c>
      <c r="B453">
        <f t="shared" ref="B453:G453" si="307">B468</f>
        <v>1</v>
      </c>
      <c r="C453">
        <f t="shared" si="307"/>
        <v>4</v>
      </c>
      <c r="D453">
        <f t="shared" si="307"/>
        <v>451</v>
      </c>
      <c r="E453">
        <f t="shared" si="307"/>
        <v>0</v>
      </c>
      <c r="F453" t="str">
        <f t="shared" si="307"/>
        <v>Новый раздел</v>
      </c>
      <c r="G453" t="str">
        <f t="shared" si="307"/>
        <v>Общие МАФ</v>
      </c>
      <c r="O453">
        <f t="shared" ref="O453:AT453" si="308">O468</f>
        <v>1587633.53</v>
      </c>
      <c r="P453">
        <f t="shared" si="308"/>
        <v>1586953.61</v>
      </c>
      <c r="Q453">
        <f t="shared" si="308"/>
        <v>0</v>
      </c>
      <c r="R453">
        <f t="shared" si="308"/>
        <v>0</v>
      </c>
      <c r="S453">
        <f t="shared" si="308"/>
        <v>679.92</v>
      </c>
      <c r="T453">
        <f t="shared" si="308"/>
        <v>0</v>
      </c>
      <c r="U453">
        <f t="shared" si="308"/>
        <v>2.8632</v>
      </c>
      <c r="V453">
        <f t="shared" si="308"/>
        <v>0</v>
      </c>
      <c r="W453">
        <f t="shared" si="308"/>
        <v>0</v>
      </c>
      <c r="X453">
        <f t="shared" si="308"/>
        <v>475.94</v>
      </c>
      <c r="Y453">
        <f t="shared" si="308"/>
        <v>67.989999999999995</v>
      </c>
      <c r="Z453">
        <f t="shared" si="308"/>
        <v>0</v>
      </c>
      <c r="AA453">
        <f t="shared" si="308"/>
        <v>0</v>
      </c>
      <c r="AB453">
        <f t="shared" si="308"/>
        <v>1587633.53</v>
      </c>
      <c r="AC453">
        <f t="shared" si="308"/>
        <v>1586953.61</v>
      </c>
      <c r="AD453">
        <f t="shared" si="308"/>
        <v>0</v>
      </c>
      <c r="AE453">
        <f t="shared" si="308"/>
        <v>0</v>
      </c>
      <c r="AF453">
        <f t="shared" si="308"/>
        <v>679.92</v>
      </c>
      <c r="AG453">
        <f t="shared" si="308"/>
        <v>0</v>
      </c>
      <c r="AH453">
        <f t="shared" si="308"/>
        <v>2.8632</v>
      </c>
      <c r="AI453">
        <f t="shared" si="308"/>
        <v>0</v>
      </c>
      <c r="AJ453">
        <f t="shared" si="308"/>
        <v>0</v>
      </c>
      <c r="AK453">
        <f t="shared" si="308"/>
        <v>475.94</v>
      </c>
      <c r="AL453">
        <f t="shared" si="308"/>
        <v>67.989999999999995</v>
      </c>
      <c r="AM453">
        <f t="shared" si="308"/>
        <v>0</v>
      </c>
      <c r="AN453">
        <f t="shared" si="308"/>
        <v>0</v>
      </c>
      <c r="AO453">
        <f t="shared" si="308"/>
        <v>0</v>
      </c>
      <c r="AP453">
        <f t="shared" si="308"/>
        <v>0</v>
      </c>
      <c r="AQ453">
        <f t="shared" si="308"/>
        <v>0</v>
      </c>
      <c r="AR453">
        <f t="shared" si="308"/>
        <v>1588177.46</v>
      </c>
      <c r="AS453">
        <f t="shared" si="308"/>
        <v>0</v>
      </c>
      <c r="AT453">
        <f t="shared" si="308"/>
        <v>0</v>
      </c>
      <c r="AU453">
        <f t="shared" ref="AU453:BZ453" si="309">AU468</f>
        <v>1588177.46</v>
      </c>
      <c r="AV453">
        <f t="shared" si="309"/>
        <v>1586953.61</v>
      </c>
      <c r="AW453">
        <f t="shared" si="309"/>
        <v>1586953.61</v>
      </c>
      <c r="AX453">
        <f t="shared" si="309"/>
        <v>0</v>
      </c>
      <c r="AY453">
        <f t="shared" si="309"/>
        <v>1586953.61</v>
      </c>
      <c r="AZ453">
        <f t="shared" si="309"/>
        <v>0</v>
      </c>
      <c r="BA453">
        <f t="shared" si="309"/>
        <v>0</v>
      </c>
      <c r="BB453">
        <f t="shared" si="309"/>
        <v>0</v>
      </c>
      <c r="BC453">
        <f t="shared" si="309"/>
        <v>0</v>
      </c>
      <c r="BD453">
        <f t="shared" si="309"/>
        <v>0</v>
      </c>
      <c r="BE453">
        <f t="shared" si="309"/>
        <v>0</v>
      </c>
      <c r="BF453">
        <f t="shared" si="309"/>
        <v>0</v>
      </c>
      <c r="BG453">
        <f t="shared" si="309"/>
        <v>0</v>
      </c>
      <c r="BH453">
        <f t="shared" si="309"/>
        <v>0</v>
      </c>
      <c r="BI453">
        <f t="shared" si="309"/>
        <v>0</v>
      </c>
      <c r="BJ453">
        <f t="shared" si="309"/>
        <v>0</v>
      </c>
      <c r="BK453">
        <f t="shared" si="309"/>
        <v>0</v>
      </c>
      <c r="BL453">
        <f t="shared" si="309"/>
        <v>0</v>
      </c>
      <c r="BM453">
        <f t="shared" si="309"/>
        <v>0</v>
      </c>
      <c r="BN453">
        <f t="shared" si="309"/>
        <v>0</v>
      </c>
      <c r="BO453">
        <f t="shared" si="309"/>
        <v>0</v>
      </c>
      <c r="BP453">
        <f t="shared" si="309"/>
        <v>0</v>
      </c>
      <c r="BQ453">
        <f t="shared" si="309"/>
        <v>0</v>
      </c>
      <c r="BR453">
        <f t="shared" si="309"/>
        <v>0</v>
      </c>
      <c r="BS453">
        <f t="shared" si="309"/>
        <v>0</v>
      </c>
      <c r="BT453">
        <f t="shared" si="309"/>
        <v>0</v>
      </c>
      <c r="BU453">
        <f t="shared" si="309"/>
        <v>0</v>
      </c>
      <c r="BV453">
        <f t="shared" si="309"/>
        <v>0</v>
      </c>
      <c r="BW453">
        <f t="shared" si="309"/>
        <v>0</v>
      </c>
      <c r="BX453">
        <f t="shared" si="309"/>
        <v>0</v>
      </c>
      <c r="BY453">
        <f t="shared" si="309"/>
        <v>0</v>
      </c>
      <c r="BZ453">
        <f t="shared" si="309"/>
        <v>0</v>
      </c>
      <c r="CA453">
        <f t="shared" ref="CA453:DF453" si="310">CA468</f>
        <v>1588177.46</v>
      </c>
      <c r="CB453">
        <f t="shared" si="310"/>
        <v>0</v>
      </c>
      <c r="CC453">
        <f t="shared" si="310"/>
        <v>0</v>
      </c>
      <c r="CD453">
        <f t="shared" si="310"/>
        <v>1588177.46</v>
      </c>
      <c r="CE453">
        <f t="shared" si="310"/>
        <v>1586953.61</v>
      </c>
      <c r="CF453">
        <f t="shared" si="310"/>
        <v>1586953.61</v>
      </c>
      <c r="CG453">
        <f t="shared" si="310"/>
        <v>0</v>
      </c>
      <c r="CH453">
        <f t="shared" si="310"/>
        <v>1586953.61</v>
      </c>
      <c r="CI453">
        <f t="shared" si="310"/>
        <v>0</v>
      </c>
      <c r="CJ453">
        <f t="shared" si="310"/>
        <v>0</v>
      </c>
      <c r="CK453">
        <f t="shared" si="310"/>
        <v>0</v>
      </c>
      <c r="CL453">
        <f t="shared" si="310"/>
        <v>0</v>
      </c>
      <c r="CM453">
        <f t="shared" si="310"/>
        <v>0</v>
      </c>
      <c r="CN453">
        <f t="shared" si="310"/>
        <v>0</v>
      </c>
      <c r="CO453">
        <f t="shared" si="310"/>
        <v>0</v>
      </c>
      <c r="CP453">
        <f t="shared" si="310"/>
        <v>0</v>
      </c>
      <c r="CQ453">
        <f t="shared" si="310"/>
        <v>0</v>
      </c>
      <c r="CR453">
        <f t="shared" si="310"/>
        <v>0</v>
      </c>
      <c r="CS453">
        <f t="shared" si="310"/>
        <v>0</v>
      </c>
      <c r="CT453">
        <f t="shared" si="310"/>
        <v>0</v>
      </c>
      <c r="CU453">
        <f t="shared" si="310"/>
        <v>0</v>
      </c>
      <c r="CV453">
        <f t="shared" si="310"/>
        <v>0</v>
      </c>
      <c r="CW453">
        <f t="shared" si="310"/>
        <v>0</v>
      </c>
      <c r="CX453">
        <f t="shared" si="310"/>
        <v>0</v>
      </c>
      <c r="CY453">
        <f t="shared" si="310"/>
        <v>0</v>
      </c>
      <c r="CZ453">
        <f t="shared" si="310"/>
        <v>0</v>
      </c>
      <c r="DA453">
        <f t="shared" si="310"/>
        <v>0</v>
      </c>
      <c r="DB453">
        <f t="shared" si="310"/>
        <v>0</v>
      </c>
      <c r="DC453">
        <f t="shared" si="310"/>
        <v>0</v>
      </c>
      <c r="DD453">
        <f t="shared" si="310"/>
        <v>0</v>
      </c>
      <c r="DE453">
        <f t="shared" si="310"/>
        <v>0</v>
      </c>
      <c r="DF453">
        <f t="shared" si="310"/>
        <v>0</v>
      </c>
      <c r="DG453">
        <f t="shared" ref="DG453:EL453" si="311">DG468</f>
        <v>0</v>
      </c>
      <c r="DH453">
        <f t="shared" si="311"/>
        <v>0</v>
      </c>
      <c r="DI453">
        <f t="shared" si="311"/>
        <v>0</v>
      </c>
      <c r="DJ453">
        <f t="shared" si="311"/>
        <v>0</v>
      </c>
      <c r="DK453">
        <f t="shared" si="311"/>
        <v>0</v>
      </c>
      <c r="DL453">
        <f t="shared" si="311"/>
        <v>0</v>
      </c>
      <c r="DM453">
        <f t="shared" si="311"/>
        <v>0</v>
      </c>
      <c r="DN453">
        <f t="shared" si="311"/>
        <v>0</v>
      </c>
      <c r="DO453">
        <f t="shared" si="311"/>
        <v>0</v>
      </c>
      <c r="DP453">
        <f t="shared" si="311"/>
        <v>0</v>
      </c>
      <c r="DQ453">
        <f t="shared" si="311"/>
        <v>0</v>
      </c>
      <c r="DR453">
        <f t="shared" si="311"/>
        <v>0</v>
      </c>
      <c r="DS453">
        <f t="shared" si="311"/>
        <v>0</v>
      </c>
      <c r="DT453">
        <f t="shared" si="311"/>
        <v>0</v>
      </c>
      <c r="DU453">
        <f t="shared" si="311"/>
        <v>0</v>
      </c>
      <c r="DV453">
        <f t="shared" si="311"/>
        <v>0</v>
      </c>
      <c r="DW453">
        <f t="shared" si="311"/>
        <v>0</v>
      </c>
      <c r="DX453">
        <f t="shared" si="311"/>
        <v>0</v>
      </c>
      <c r="DY453">
        <f t="shared" si="311"/>
        <v>0</v>
      </c>
      <c r="DZ453">
        <f t="shared" si="311"/>
        <v>0</v>
      </c>
      <c r="EA453">
        <f t="shared" si="311"/>
        <v>0</v>
      </c>
      <c r="EB453">
        <f t="shared" si="311"/>
        <v>0</v>
      </c>
      <c r="EC453">
        <f t="shared" si="311"/>
        <v>0</v>
      </c>
      <c r="ED453">
        <f t="shared" si="311"/>
        <v>0</v>
      </c>
      <c r="EE453">
        <f t="shared" si="311"/>
        <v>0</v>
      </c>
      <c r="EF453">
        <f t="shared" si="311"/>
        <v>0</v>
      </c>
      <c r="EG453">
        <f t="shared" si="311"/>
        <v>0</v>
      </c>
      <c r="EH453">
        <f t="shared" si="311"/>
        <v>0</v>
      </c>
      <c r="EI453">
        <f t="shared" si="311"/>
        <v>0</v>
      </c>
      <c r="EJ453">
        <f t="shared" si="311"/>
        <v>0</v>
      </c>
      <c r="EK453">
        <f t="shared" si="311"/>
        <v>0</v>
      </c>
      <c r="EL453">
        <f t="shared" si="311"/>
        <v>0</v>
      </c>
      <c r="EM453">
        <f t="shared" ref="EM453:FR453" si="312">EM468</f>
        <v>0</v>
      </c>
      <c r="EN453">
        <f t="shared" si="312"/>
        <v>0</v>
      </c>
      <c r="EO453">
        <f t="shared" si="312"/>
        <v>0</v>
      </c>
      <c r="EP453">
        <f t="shared" si="312"/>
        <v>0</v>
      </c>
      <c r="EQ453">
        <f t="shared" si="312"/>
        <v>0</v>
      </c>
      <c r="ER453">
        <f t="shared" si="312"/>
        <v>0</v>
      </c>
      <c r="ES453">
        <f t="shared" si="312"/>
        <v>0</v>
      </c>
      <c r="ET453">
        <f t="shared" si="312"/>
        <v>0</v>
      </c>
      <c r="EU453">
        <f t="shared" si="312"/>
        <v>0</v>
      </c>
      <c r="EV453">
        <f t="shared" si="312"/>
        <v>0</v>
      </c>
      <c r="EW453">
        <f t="shared" si="312"/>
        <v>0</v>
      </c>
      <c r="EX453">
        <f t="shared" si="312"/>
        <v>0</v>
      </c>
      <c r="EY453">
        <f t="shared" si="312"/>
        <v>0</v>
      </c>
      <c r="EZ453">
        <f t="shared" si="312"/>
        <v>0</v>
      </c>
      <c r="FA453">
        <f t="shared" si="312"/>
        <v>0</v>
      </c>
      <c r="FB453">
        <f t="shared" si="312"/>
        <v>0</v>
      </c>
      <c r="FC453">
        <f t="shared" si="312"/>
        <v>0</v>
      </c>
      <c r="FD453">
        <f t="shared" si="312"/>
        <v>0</v>
      </c>
      <c r="FE453">
        <f t="shared" si="312"/>
        <v>0</v>
      </c>
      <c r="FF453">
        <f t="shared" si="312"/>
        <v>0</v>
      </c>
      <c r="FG453">
        <f t="shared" si="312"/>
        <v>0</v>
      </c>
      <c r="FH453">
        <f t="shared" si="312"/>
        <v>0</v>
      </c>
      <c r="FI453">
        <f t="shared" si="312"/>
        <v>0</v>
      </c>
      <c r="FJ453">
        <f t="shared" si="312"/>
        <v>0</v>
      </c>
      <c r="FK453">
        <f t="shared" si="312"/>
        <v>0</v>
      </c>
      <c r="FL453">
        <f t="shared" si="312"/>
        <v>0</v>
      </c>
      <c r="FM453">
        <f t="shared" si="312"/>
        <v>0</v>
      </c>
      <c r="FN453">
        <f t="shared" si="312"/>
        <v>0</v>
      </c>
      <c r="FO453">
        <f t="shared" si="312"/>
        <v>0</v>
      </c>
      <c r="FP453">
        <f t="shared" si="312"/>
        <v>0</v>
      </c>
      <c r="FQ453">
        <f t="shared" si="312"/>
        <v>0</v>
      </c>
      <c r="FR453">
        <f t="shared" si="312"/>
        <v>0</v>
      </c>
      <c r="FS453">
        <f t="shared" ref="FS453:GX453" si="313">FS468</f>
        <v>0</v>
      </c>
      <c r="FT453">
        <f t="shared" si="313"/>
        <v>0</v>
      </c>
      <c r="FU453">
        <f t="shared" si="313"/>
        <v>0</v>
      </c>
      <c r="FV453">
        <f t="shared" si="313"/>
        <v>0</v>
      </c>
      <c r="FW453">
        <f t="shared" si="313"/>
        <v>0</v>
      </c>
      <c r="FX453">
        <f t="shared" si="313"/>
        <v>0</v>
      </c>
      <c r="FY453">
        <f t="shared" si="313"/>
        <v>0</v>
      </c>
      <c r="FZ453">
        <f t="shared" si="313"/>
        <v>0</v>
      </c>
      <c r="GA453">
        <f t="shared" si="313"/>
        <v>0</v>
      </c>
      <c r="GB453">
        <f t="shared" si="313"/>
        <v>0</v>
      </c>
      <c r="GC453">
        <f t="shared" si="313"/>
        <v>0</v>
      </c>
      <c r="GD453">
        <f t="shared" si="313"/>
        <v>0</v>
      </c>
      <c r="GE453">
        <f t="shared" si="313"/>
        <v>0</v>
      </c>
      <c r="GF453">
        <f t="shared" si="313"/>
        <v>0</v>
      </c>
      <c r="GG453">
        <f t="shared" si="313"/>
        <v>0</v>
      </c>
      <c r="GH453">
        <f t="shared" si="313"/>
        <v>0</v>
      </c>
      <c r="GI453">
        <f t="shared" si="313"/>
        <v>0</v>
      </c>
      <c r="GJ453">
        <f t="shared" si="313"/>
        <v>0</v>
      </c>
      <c r="GK453">
        <f t="shared" si="313"/>
        <v>0</v>
      </c>
      <c r="GL453">
        <f t="shared" si="313"/>
        <v>0</v>
      </c>
      <c r="GM453">
        <f t="shared" si="313"/>
        <v>0</v>
      </c>
      <c r="GN453">
        <f t="shared" si="313"/>
        <v>0</v>
      </c>
      <c r="GO453">
        <f t="shared" si="313"/>
        <v>0</v>
      </c>
      <c r="GP453">
        <f t="shared" si="313"/>
        <v>0</v>
      </c>
      <c r="GQ453">
        <f t="shared" si="313"/>
        <v>0</v>
      </c>
      <c r="GR453">
        <f t="shared" si="313"/>
        <v>0</v>
      </c>
      <c r="GS453">
        <f t="shared" si="313"/>
        <v>0</v>
      </c>
      <c r="GT453">
        <f t="shared" si="313"/>
        <v>0</v>
      </c>
      <c r="GU453">
        <f t="shared" si="313"/>
        <v>0</v>
      </c>
      <c r="GV453">
        <f t="shared" si="313"/>
        <v>0</v>
      </c>
      <c r="GW453">
        <f t="shared" si="313"/>
        <v>0</v>
      </c>
      <c r="GX453">
        <f t="shared" si="313"/>
        <v>0</v>
      </c>
    </row>
    <row r="455" spans="1:245" x14ac:dyDescent="0.2">
      <c r="A455">
        <v>17</v>
      </c>
      <c r="B455">
        <v>1</v>
      </c>
      <c r="E455" t="s">
        <v>3</v>
      </c>
      <c r="F455" t="s">
        <v>358</v>
      </c>
      <c r="G455" t="s">
        <v>359</v>
      </c>
      <c r="H455" t="s">
        <v>232</v>
      </c>
      <c r="I455">
        <v>1</v>
      </c>
      <c r="J455">
        <v>0</v>
      </c>
      <c r="O455">
        <f t="shared" ref="O455:O466" si="314">ROUND(CP455,2)</f>
        <v>7270.83</v>
      </c>
      <c r="P455">
        <f t="shared" ref="P455:P466" si="315">ROUND(CQ455*I455,2)</f>
        <v>7270.83</v>
      </c>
      <c r="Q455">
        <f t="shared" ref="Q455:Q466" si="316">ROUND(CR455*I455,2)</f>
        <v>0</v>
      </c>
      <c r="R455">
        <f t="shared" ref="R455:R466" si="317">ROUND(CS455*I455,2)</f>
        <v>0</v>
      </c>
      <c r="S455">
        <f t="shared" ref="S455:S466" si="318">ROUND(CT455*I455,2)</f>
        <v>0</v>
      </c>
      <c r="T455">
        <f t="shared" ref="T455:T466" si="319">ROUND(CU455*I455,2)</f>
        <v>0</v>
      </c>
      <c r="U455">
        <f t="shared" ref="U455:U466" si="320">CV455*I455</f>
        <v>0</v>
      </c>
      <c r="V455">
        <f t="shared" ref="V455:V466" si="321">CW455*I455</f>
        <v>0</v>
      </c>
      <c r="W455">
        <f t="shared" ref="W455:W466" si="322">ROUND(CX455*I455,2)</f>
        <v>0</v>
      </c>
      <c r="X455">
        <f t="shared" ref="X455:X466" si="323">ROUND(CY455,2)</f>
        <v>0</v>
      </c>
      <c r="Y455">
        <f t="shared" ref="Y455:Y466" si="324">ROUND(CZ455,2)</f>
        <v>0</v>
      </c>
      <c r="AA455">
        <v>-1</v>
      </c>
      <c r="AB455">
        <f t="shared" ref="AB455:AB466" si="325">ROUND((AC455+AD455+AF455),6)</f>
        <v>7270.83</v>
      </c>
      <c r="AC455">
        <f t="shared" ref="AC455:AC466" si="326">ROUND((ES455),6)</f>
        <v>7270.83</v>
      </c>
      <c r="AD455">
        <f t="shared" ref="AD455:AD466" si="327">ROUND((((ET455)-(EU455))+AE455),6)</f>
        <v>0</v>
      </c>
      <c r="AE455">
        <f t="shared" ref="AE455:AE466" si="328">ROUND((EU455),6)</f>
        <v>0</v>
      </c>
      <c r="AF455">
        <f t="shared" ref="AF455:AF466" si="329">ROUND((EV455),6)</f>
        <v>0</v>
      </c>
      <c r="AG455">
        <f t="shared" ref="AG455:AG466" si="330">ROUND((AP455),6)</f>
        <v>0</v>
      </c>
      <c r="AH455">
        <f t="shared" ref="AH455:AH466" si="331">(EW455)</f>
        <v>0</v>
      </c>
      <c r="AI455">
        <f t="shared" ref="AI455:AI466" si="332">(EX455)</f>
        <v>0</v>
      </c>
      <c r="AJ455">
        <f t="shared" ref="AJ455:AJ466" si="333">(AS455)</f>
        <v>0</v>
      </c>
      <c r="AK455">
        <v>7270.83</v>
      </c>
      <c r="AL455">
        <v>7270.83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70</v>
      </c>
      <c r="AU455">
        <v>10</v>
      </c>
      <c r="AV455">
        <v>1</v>
      </c>
      <c r="AW455">
        <v>1</v>
      </c>
      <c r="AZ455">
        <v>1</v>
      </c>
      <c r="BA455">
        <v>1</v>
      </c>
      <c r="BB455">
        <v>1</v>
      </c>
      <c r="BC455">
        <v>1</v>
      </c>
      <c r="BD455" t="s">
        <v>3</v>
      </c>
      <c r="BE455" t="s">
        <v>3</v>
      </c>
      <c r="BF455" t="s">
        <v>3</v>
      </c>
      <c r="BG455" t="s">
        <v>3</v>
      </c>
      <c r="BH455">
        <v>3</v>
      </c>
      <c r="BI455">
        <v>4</v>
      </c>
      <c r="BJ455" t="s">
        <v>360</v>
      </c>
      <c r="BM455">
        <v>0</v>
      </c>
      <c r="BN455">
        <v>0</v>
      </c>
      <c r="BO455" t="s">
        <v>3</v>
      </c>
      <c r="BP455">
        <v>0</v>
      </c>
      <c r="BQ455">
        <v>1</v>
      </c>
      <c r="BR455">
        <v>0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 t="s">
        <v>3</v>
      </c>
      <c r="BZ455">
        <v>70</v>
      </c>
      <c r="CA455">
        <v>10</v>
      </c>
      <c r="CE455">
        <v>0</v>
      </c>
      <c r="CF455">
        <v>0</v>
      </c>
      <c r="CG455">
        <v>0</v>
      </c>
      <c r="CM455">
        <v>0</v>
      </c>
      <c r="CN455" t="s">
        <v>3</v>
      </c>
      <c r="CO455">
        <v>0</v>
      </c>
      <c r="CP455">
        <f t="shared" ref="CP455:CP466" si="334">(P455+Q455+S455)</f>
        <v>7270.83</v>
      </c>
      <c r="CQ455">
        <f t="shared" ref="CQ455:CQ466" si="335">(AC455*BC455*AW455)</f>
        <v>7270.83</v>
      </c>
      <c r="CR455">
        <f t="shared" ref="CR455:CR466" si="336">((((ET455)*BB455-(EU455)*BS455)+AE455*BS455)*AV455)</f>
        <v>0</v>
      </c>
      <c r="CS455">
        <f t="shared" ref="CS455:CS466" si="337">(AE455*BS455*AV455)</f>
        <v>0</v>
      </c>
      <c r="CT455">
        <f t="shared" ref="CT455:CT466" si="338">(AF455*BA455*AV455)</f>
        <v>0</v>
      </c>
      <c r="CU455">
        <f t="shared" ref="CU455:CU466" si="339">AG455</f>
        <v>0</v>
      </c>
      <c r="CV455">
        <f t="shared" ref="CV455:CV466" si="340">(AH455*AV455)</f>
        <v>0</v>
      </c>
      <c r="CW455">
        <f t="shared" ref="CW455:CW466" si="341">AI455</f>
        <v>0</v>
      </c>
      <c r="CX455">
        <f t="shared" ref="CX455:CX466" si="342">AJ455</f>
        <v>0</v>
      </c>
      <c r="CY455">
        <f t="shared" ref="CY455:CY466" si="343">((S455*BZ455)/100)</f>
        <v>0</v>
      </c>
      <c r="CZ455">
        <f t="shared" ref="CZ455:CZ466" si="344">((S455*CA455)/100)</f>
        <v>0</v>
      </c>
      <c r="DC455" t="s">
        <v>3</v>
      </c>
      <c r="DD455" t="s">
        <v>3</v>
      </c>
      <c r="DE455" t="s">
        <v>3</v>
      </c>
      <c r="DF455" t="s">
        <v>3</v>
      </c>
      <c r="DG455" t="s">
        <v>3</v>
      </c>
      <c r="DH455" t="s">
        <v>3</v>
      </c>
      <c r="DI455" t="s">
        <v>3</v>
      </c>
      <c r="DJ455" t="s">
        <v>3</v>
      </c>
      <c r="DK455" t="s">
        <v>3</v>
      </c>
      <c r="DL455" t="s">
        <v>3</v>
      </c>
      <c r="DM455" t="s">
        <v>3</v>
      </c>
      <c r="DN455">
        <v>0</v>
      </c>
      <c r="DO455">
        <v>0</v>
      </c>
      <c r="DP455">
        <v>1</v>
      </c>
      <c r="DQ455">
        <v>1</v>
      </c>
      <c r="DU455">
        <v>1010</v>
      </c>
      <c r="DV455" t="s">
        <v>232</v>
      </c>
      <c r="DW455" t="s">
        <v>232</v>
      </c>
      <c r="DX455">
        <v>1</v>
      </c>
      <c r="EE455">
        <v>67874524</v>
      </c>
      <c r="EF455">
        <v>1</v>
      </c>
      <c r="EG455" t="s">
        <v>20</v>
      </c>
      <c r="EH455">
        <v>0</v>
      </c>
      <c r="EI455" t="s">
        <v>3</v>
      </c>
      <c r="EJ455">
        <v>4</v>
      </c>
      <c r="EK455">
        <v>0</v>
      </c>
      <c r="EL455" t="s">
        <v>21</v>
      </c>
      <c r="EM455" t="s">
        <v>22</v>
      </c>
      <c r="EO455" t="s">
        <v>3</v>
      </c>
      <c r="EQ455">
        <v>1024</v>
      </c>
      <c r="ER455">
        <v>7270.83</v>
      </c>
      <c r="ES455">
        <v>7270.83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FQ455">
        <v>0</v>
      </c>
      <c r="FR455">
        <f t="shared" ref="FR455:FR466" si="345">ROUND(IF(AND(BH455=3,BI455=3),P455,0),2)</f>
        <v>0</v>
      </c>
      <c r="FS455">
        <v>0</v>
      </c>
      <c r="FX455">
        <v>70</v>
      </c>
      <c r="FY455">
        <v>10</v>
      </c>
      <c r="GA455" t="s">
        <v>3</v>
      </c>
      <c r="GD455">
        <v>0</v>
      </c>
      <c r="GF455">
        <v>439258543</v>
      </c>
      <c r="GG455">
        <v>2</v>
      </c>
      <c r="GH455">
        <v>1</v>
      </c>
      <c r="GI455">
        <v>-2</v>
      </c>
      <c r="GJ455">
        <v>0</v>
      </c>
      <c r="GK455">
        <f>ROUND(R455*(R12)/100,2)</f>
        <v>0</v>
      </c>
      <c r="GL455">
        <f t="shared" ref="GL455:GL466" si="346">ROUND(IF(AND(BH455=3,BI455=3,FS455&lt;&gt;0),P455,0),2)</f>
        <v>0</v>
      </c>
      <c r="GM455">
        <f t="shared" ref="GM455:GM466" si="347">ROUND(O455+X455+Y455+GK455,2)+GX455</f>
        <v>7270.83</v>
      </c>
      <c r="GN455">
        <f t="shared" ref="GN455:GN466" si="348">IF(OR(BI455=0,BI455=1),ROUND(O455+X455+Y455+GK455,2),0)</f>
        <v>0</v>
      </c>
      <c r="GO455">
        <f t="shared" ref="GO455:GO466" si="349">IF(BI455=2,ROUND(O455+X455+Y455+GK455,2),0)</f>
        <v>0</v>
      </c>
      <c r="GP455">
        <f t="shared" ref="GP455:GP466" si="350">IF(BI455=4,ROUND(O455+X455+Y455+GK455,2)+GX455,0)</f>
        <v>7270.83</v>
      </c>
      <c r="GR455">
        <v>0</v>
      </c>
      <c r="GS455">
        <v>3</v>
      </c>
      <c r="GT455">
        <v>0</v>
      </c>
      <c r="GU455" t="s">
        <v>3</v>
      </c>
      <c r="GV455">
        <f t="shared" ref="GV455:GV466" si="351">ROUND((GT455),6)</f>
        <v>0</v>
      </c>
      <c r="GW455">
        <v>1</v>
      </c>
      <c r="GX455">
        <f t="shared" ref="GX455:GX466" si="352">ROUND(HC455*I455,2)</f>
        <v>0</v>
      </c>
      <c r="HA455">
        <v>0</v>
      </c>
      <c r="HB455">
        <v>0</v>
      </c>
      <c r="HC455">
        <f t="shared" ref="HC455:HC466" si="353">GV455*GW455</f>
        <v>0</v>
      </c>
      <c r="IK455">
        <v>0</v>
      </c>
    </row>
    <row r="456" spans="1:245" x14ac:dyDescent="0.2">
      <c r="A456">
        <v>17</v>
      </c>
      <c r="B456">
        <v>1</v>
      </c>
      <c r="E456" t="s">
        <v>95</v>
      </c>
      <c r="F456" t="s">
        <v>361</v>
      </c>
      <c r="G456" t="s">
        <v>362</v>
      </c>
      <c r="H456" t="s">
        <v>232</v>
      </c>
      <c r="I456">
        <v>4</v>
      </c>
      <c r="J456">
        <v>0</v>
      </c>
      <c r="O456">
        <f t="shared" si="314"/>
        <v>80416.679999999993</v>
      </c>
      <c r="P456">
        <f t="shared" si="315"/>
        <v>80416.679999999993</v>
      </c>
      <c r="Q456">
        <f t="shared" si="316"/>
        <v>0</v>
      </c>
      <c r="R456">
        <f t="shared" si="317"/>
        <v>0</v>
      </c>
      <c r="S456">
        <f t="shared" si="318"/>
        <v>0</v>
      </c>
      <c r="T456">
        <f t="shared" si="319"/>
        <v>0</v>
      </c>
      <c r="U456">
        <f t="shared" si="320"/>
        <v>0</v>
      </c>
      <c r="V456">
        <f t="shared" si="321"/>
        <v>0</v>
      </c>
      <c r="W456">
        <f t="shared" si="322"/>
        <v>0</v>
      </c>
      <c r="X456">
        <f t="shared" si="323"/>
        <v>0</v>
      </c>
      <c r="Y456">
        <f t="shared" si="324"/>
        <v>0</v>
      </c>
      <c r="AA456">
        <v>71209905</v>
      </c>
      <c r="AB456">
        <f t="shared" si="325"/>
        <v>20104.169999999998</v>
      </c>
      <c r="AC456">
        <f t="shared" si="326"/>
        <v>20104.169999999998</v>
      </c>
      <c r="AD456">
        <f t="shared" si="327"/>
        <v>0</v>
      </c>
      <c r="AE456">
        <f t="shared" si="328"/>
        <v>0</v>
      </c>
      <c r="AF456">
        <f t="shared" si="329"/>
        <v>0</v>
      </c>
      <c r="AG456">
        <f t="shared" si="330"/>
        <v>0</v>
      </c>
      <c r="AH456">
        <f t="shared" si="331"/>
        <v>0</v>
      </c>
      <c r="AI456">
        <f t="shared" si="332"/>
        <v>0</v>
      </c>
      <c r="AJ456">
        <f t="shared" si="333"/>
        <v>0</v>
      </c>
      <c r="AK456">
        <v>20104.169999999998</v>
      </c>
      <c r="AL456">
        <v>20104.169999999998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70</v>
      </c>
      <c r="AU456">
        <v>10</v>
      </c>
      <c r="AV456">
        <v>1</v>
      </c>
      <c r="AW456">
        <v>1</v>
      </c>
      <c r="AZ456">
        <v>1</v>
      </c>
      <c r="BA456">
        <v>1</v>
      </c>
      <c r="BB456">
        <v>1</v>
      </c>
      <c r="BC456">
        <v>1</v>
      </c>
      <c r="BD456" t="s">
        <v>3</v>
      </c>
      <c r="BE456" t="s">
        <v>3</v>
      </c>
      <c r="BF456" t="s">
        <v>3</v>
      </c>
      <c r="BG456" t="s">
        <v>3</v>
      </c>
      <c r="BH456">
        <v>3</v>
      </c>
      <c r="BI456">
        <v>4</v>
      </c>
      <c r="BJ456" t="s">
        <v>363</v>
      </c>
      <c r="BM456">
        <v>0</v>
      </c>
      <c r="BN456">
        <v>0</v>
      </c>
      <c r="BO456" t="s">
        <v>3</v>
      </c>
      <c r="BP456">
        <v>0</v>
      </c>
      <c r="BQ456">
        <v>1</v>
      </c>
      <c r="BR456">
        <v>0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 t="s">
        <v>3</v>
      </c>
      <c r="BZ456">
        <v>70</v>
      </c>
      <c r="CA456">
        <v>10</v>
      </c>
      <c r="CE456">
        <v>0</v>
      </c>
      <c r="CF456">
        <v>0</v>
      </c>
      <c r="CG456">
        <v>0</v>
      </c>
      <c r="CM456">
        <v>0</v>
      </c>
      <c r="CN456" t="s">
        <v>3</v>
      </c>
      <c r="CO456">
        <v>0</v>
      </c>
      <c r="CP456">
        <f t="shared" si="334"/>
        <v>80416.679999999993</v>
      </c>
      <c r="CQ456">
        <f t="shared" si="335"/>
        <v>20104.169999999998</v>
      </c>
      <c r="CR456">
        <f t="shared" si="336"/>
        <v>0</v>
      </c>
      <c r="CS456">
        <f t="shared" si="337"/>
        <v>0</v>
      </c>
      <c r="CT456">
        <f t="shared" si="338"/>
        <v>0</v>
      </c>
      <c r="CU456">
        <f t="shared" si="339"/>
        <v>0</v>
      </c>
      <c r="CV456">
        <f t="shared" si="340"/>
        <v>0</v>
      </c>
      <c r="CW456">
        <f t="shared" si="341"/>
        <v>0</v>
      </c>
      <c r="CX456">
        <f t="shared" si="342"/>
        <v>0</v>
      </c>
      <c r="CY456">
        <f t="shared" si="343"/>
        <v>0</v>
      </c>
      <c r="CZ456">
        <f t="shared" si="344"/>
        <v>0</v>
      </c>
      <c r="DC456" t="s">
        <v>3</v>
      </c>
      <c r="DD456" t="s">
        <v>3</v>
      </c>
      <c r="DE456" t="s">
        <v>3</v>
      </c>
      <c r="DF456" t="s">
        <v>3</v>
      </c>
      <c r="DG456" t="s">
        <v>3</v>
      </c>
      <c r="DH456" t="s">
        <v>3</v>
      </c>
      <c r="DI456" t="s">
        <v>3</v>
      </c>
      <c r="DJ456" t="s">
        <v>3</v>
      </c>
      <c r="DK456" t="s">
        <v>3</v>
      </c>
      <c r="DL456" t="s">
        <v>3</v>
      </c>
      <c r="DM456" t="s">
        <v>3</v>
      </c>
      <c r="DN456">
        <v>0</v>
      </c>
      <c r="DO456">
        <v>0</v>
      </c>
      <c r="DP456">
        <v>1</v>
      </c>
      <c r="DQ456">
        <v>1</v>
      </c>
      <c r="DU456">
        <v>1010</v>
      </c>
      <c r="DV456" t="s">
        <v>232</v>
      </c>
      <c r="DW456" t="s">
        <v>232</v>
      </c>
      <c r="DX456">
        <v>1</v>
      </c>
      <c r="EE456">
        <v>67874524</v>
      </c>
      <c r="EF456">
        <v>1</v>
      </c>
      <c r="EG456" t="s">
        <v>20</v>
      </c>
      <c r="EH456">
        <v>0</v>
      </c>
      <c r="EI456" t="s">
        <v>3</v>
      </c>
      <c r="EJ456">
        <v>4</v>
      </c>
      <c r="EK456">
        <v>0</v>
      </c>
      <c r="EL456" t="s">
        <v>21</v>
      </c>
      <c r="EM456" t="s">
        <v>22</v>
      </c>
      <c r="EO456" t="s">
        <v>3</v>
      </c>
      <c r="EQ456">
        <v>0</v>
      </c>
      <c r="ER456">
        <v>20104.169999999998</v>
      </c>
      <c r="ES456">
        <v>20104.169999999998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FQ456">
        <v>0</v>
      </c>
      <c r="FR456">
        <f t="shared" si="345"/>
        <v>0</v>
      </c>
      <c r="FS456">
        <v>0</v>
      </c>
      <c r="FX456">
        <v>70</v>
      </c>
      <c r="FY456">
        <v>10</v>
      </c>
      <c r="GA456" t="s">
        <v>3</v>
      </c>
      <c r="GD456">
        <v>0</v>
      </c>
      <c r="GF456">
        <v>-15522992</v>
      </c>
      <c r="GG456">
        <v>2</v>
      </c>
      <c r="GH456">
        <v>1</v>
      </c>
      <c r="GI456">
        <v>-2</v>
      </c>
      <c r="GJ456">
        <v>0</v>
      </c>
      <c r="GK456">
        <f>ROUND(R456*(R12)/100,2)</f>
        <v>0</v>
      </c>
      <c r="GL456">
        <f t="shared" si="346"/>
        <v>0</v>
      </c>
      <c r="GM456">
        <f t="shared" si="347"/>
        <v>80416.679999999993</v>
      </c>
      <c r="GN456">
        <f t="shared" si="348"/>
        <v>0</v>
      </c>
      <c r="GO456">
        <f t="shared" si="349"/>
        <v>0</v>
      </c>
      <c r="GP456">
        <f t="shared" si="350"/>
        <v>80416.679999999993</v>
      </c>
      <c r="GR456">
        <v>0</v>
      </c>
      <c r="GS456">
        <v>3</v>
      </c>
      <c r="GT456">
        <v>0</v>
      </c>
      <c r="GU456" t="s">
        <v>3</v>
      </c>
      <c r="GV456">
        <f t="shared" si="351"/>
        <v>0</v>
      </c>
      <c r="GW456">
        <v>1</v>
      </c>
      <c r="GX456">
        <f t="shared" si="352"/>
        <v>0</v>
      </c>
      <c r="HA456">
        <v>0</v>
      </c>
      <c r="HB456">
        <v>0</v>
      </c>
      <c r="HC456">
        <f t="shared" si="353"/>
        <v>0</v>
      </c>
      <c r="IK456">
        <v>0</v>
      </c>
    </row>
    <row r="457" spans="1:245" x14ac:dyDescent="0.2">
      <c r="A457">
        <v>17</v>
      </c>
      <c r="B457">
        <v>1</v>
      </c>
      <c r="E457" t="s">
        <v>3</v>
      </c>
      <c r="F457" t="s">
        <v>364</v>
      </c>
      <c r="G457" t="s">
        <v>946</v>
      </c>
      <c r="H457" t="s">
        <v>232</v>
      </c>
      <c r="I457">
        <v>1</v>
      </c>
      <c r="J457">
        <v>0</v>
      </c>
      <c r="O457">
        <f t="shared" si="314"/>
        <v>12031.25</v>
      </c>
      <c r="P457">
        <f t="shared" si="315"/>
        <v>12031.25</v>
      </c>
      <c r="Q457">
        <f t="shared" si="316"/>
        <v>0</v>
      </c>
      <c r="R457">
        <f t="shared" si="317"/>
        <v>0</v>
      </c>
      <c r="S457">
        <f t="shared" si="318"/>
        <v>0</v>
      </c>
      <c r="T457">
        <f t="shared" si="319"/>
        <v>0</v>
      </c>
      <c r="U457">
        <f t="shared" si="320"/>
        <v>0</v>
      </c>
      <c r="V457">
        <f t="shared" si="321"/>
        <v>0</v>
      </c>
      <c r="W457">
        <f t="shared" si="322"/>
        <v>0</v>
      </c>
      <c r="X457">
        <f t="shared" si="323"/>
        <v>0</v>
      </c>
      <c r="Y457">
        <f t="shared" si="324"/>
        <v>0</v>
      </c>
      <c r="AA457">
        <v>-1</v>
      </c>
      <c r="AB457">
        <f t="shared" si="325"/>
        <v>12031.25</v>
      </c>
      <c r="AC457">
        <f t="shared" si="326"/>
        <v>12031.25</v>
      </c>
      <c r="AD457">
        <f t="shared" si="327"/>
        <v>0</v>
      </c>
      <c r="AE457">
        <f t="shared" si="328"/>
        <v>0</v>
      </c>
      <c r="AF457">
        <f t="shared" si="329"/>
        <v>0</v>
      </c>
      <c r="AG457">
        <f t="shared" si="330"/>
        <v>0</v>
      </c>
      <c r="AH457">
        <f t="shared" si="331"/>
        <v>0</v>
      </c>
      <c r="AI457">
        <f t="shared" si="332"/>
        <v>0</v>
      </c>
      <c r="AJ457">
        <f t="shared" si="333"/>
        <v>0</v>
      </c>
      <c r="AK457">
        <v>12031.25</v>
      </c>
      <c r="AL457">
        <v>12031.25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70</v>
      </c>
      <c r="AU457">
        <v>10</v>
      </c>
      <c r="AV457">
        <v>1</v>
      </c>
      <c r="AW457">
        <v>1</v>
      </c>
      <c r="AZ457">
        <v>1</v>
      </c>
      <c r="BA457">
        <v>1</v>
      </c>
      <c r="BB457">
        <v>1</v>
      </c>
      <c r="BC457">
        <v>1</v>
      </c>
      <c r="BD457" t="s">
        <v>3</v>
      </c>
      <c r="BE457" t="s">
        <v>3</v>
      </c>
      <c r="BF457" t="s">
        <v>3</v>
      </c>
      <c r="BG457" t="s">
        <v>3</v>
      </c>
      <c r="BH457">
        <v>3</v>
      </c>
      <c r="BI457">
        <v>4</v>
      </c>
      <c r="BJ457" t="s">
        <v>365</v>
      </c>
      <c r="BM457">
        <v>0</v>
      </c>
      <c r="BN457">
        <v>0</v>
      </c>
      <c r="BO457" t="s">
        <v>3</v>
      </c>
      <c r="BP457">
        <v>0</v>
      </c>
      <c r="BQ457">
        <v>1</v>
      </c>
      <c r="BR457">
        <v>0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 t="s">
        <v>3</v>
      </c>
      <c r="BZ457">
        <v>70</v>
      </c>
      <c r="CA457">
        <v>10</v>
      </c>
      <c r="CE457">
        <v>0</v>
      </c>
      <c r="CF457">
        <v>0</v>
      </c>
      <c r="CG457">
        <v>0</v>
      </c>
      <c r="CM457">
        <v>0</v>
      </c>
      <c r="CN457" t="s">
        <v>3</v>
      </c>
      <c r="CO457">
        <v>0</v>
      </c>
      <c r="CP457">
        <f t="shared" si="334"/>
        <v>12031.25</v>
      </c>
      <c r="CQ457">
        <f t="shared" si="335"/>
        <v>12031.25</v>
      </c>
      <c r="CR457">
        <f t="shared" si="336"/>
        <v>0</v>
      </c>
      <c r="CS457">
        <f t="shared" si="337"/>
        <v>0</v>
      </c>
      <c r="CT457">
        <f t="shared" si="338"/>
        <v>0</v>
      </c>
      <c r="CU457">
        <f t="shared" si="339"/>
        <v>0</v>
      </c>
      <c r="CV457">
        <f t="shared" si="340"/>
        <v>0</v>
      </c>
      <c r="CW457">
        <f t="shared" si="341"/>
        <v>0</v>
      </c>
      <c r="CX457">
        <f t="shared" si="342"/>
        <v>0</v>
      </c>
      <c r="CY457">
        <f t="shared" si="343"/>
        <v>0</v>
      </c>
      <c r="CZ457">
        <f t="shared" si="344"/>
        <v>0</v>
      </c>
      <c r="DC457" t="s">
        <v>3</v>
      </c>
      <c r="DD457" t="s">
        <v>3</v>
      </c>
      <c r="DE457" t="s">
        <v>3</v>
      </c>
      <c r="DF457" t="s">
        <v>3</v>
      </c>
      <c r="DG457" t="s">
        <v>3</v>
      </c>
      <c r="DH457" t="s">
        <v>3</v>
      </c>
      <c r="DI457" t="s">
        <v>3</v>
      </c>
      <c r="DJ457" t="s">
        <v>3</v>
      </c>
      <c r="DK457" t="s">
        <v>3</v>
      </c>
      <c r="DL457" t="s">
        <v>3</v>
      </c>
      <c r="DM457" t="s">
        <v>3</v>
      </c>
      <c r="DN457">
        <v>0</v>
      </c>
      <c r="DO457">
        <v>0</v>
      </c>
      <c r="DP457">
        <v>1</v>
      </c>
      <c r="DQ457">
        <v>1</v>
      </c>
      <c r="DU457">
        <v>1010</v>
      </c>
      <c r="DV457" t="s">
        <v>232</v>
      </c>
      <c r="DW457" t="s">
        <v>232</v>
      </c>
      <c r="DX457">
        <v>1</v>
      </c>
      <c r="EE457">
        <v>67874524</v>
      </c>
      <c r="EF457">
        <v>1</v>
      </c>
      <c r="EG457" t="s">
        <v>20</v>
      </c>
      <c r="EH457">
        <v>0</v>
      </c>
      <c r="EI457" t="s">
        <v>3</v>
      </c>
      <c r="EJ457">
        <v>4</v>
      </c>
      <c r="EK457">
        <v>0</v>
      </c>
      <c r="EL457" t="s">
        <v>21</v>
      </c>
      <c r="EM457" t="s">
        <v>22</v>
      </c>
      <c r="EO457" t="s">
        <v>3</v>
      </c>
      <c r="EQ457">
        <v>132096</v>
      </c>
      <c r="ER457">
        <v>12031.25</v>
      </c>
      <c r="ES457">
        <v>12031.25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FQ457">
        <v>0</v>
      </c>
      <c r="FR457">
        <f t="shared" si="345"/>
        <v>0</v>
      </c>
      <c r="FS457">
        <v>0</v>
      </c>
      <c r="FX457">
        <v>70</v>
      </c>
      <c r="FY457">
        <v>10</v>
      </c>
      <c r="GA457" t="s">
        <v>3</v>
      </c>
      <c r="GD457">
        <v>0</v>
      </c>
      <c r="GF457">
        <v>-1043113834</v>
      </c>
      <c r="GG457">
        <v>2</v>
      </c>
      <c r="GH457">
        <v>1</v>
      </c>
      <c r="GI457">
        <v>-2</v>
      </c>
      <c r="GJ457">
        <v>0</v>
      </c>
      <c r="GK457">
        <f>ROUND(R457*(R12)/100,2)</f>
        <v>0</v>
      </c>
      <c r="GL457">
        <f t="shared" si="346"/>
        <v>0</v>
      </c>
      <c r="GM457">
        <f t="shared" si="347"/>
        <v>12031.25</v>
      </c>
      <c r="GN457">
        <f t="shared" si="348"/>
        <v>0</v>
      </c>
      <c r="GO457">
        <f t="shared" si="349"/>
        <v>0</v>
      </c>
      <c r="GP457">
        <f t="shared" si="350"/>
        <v>12031.25</v>
      </c>
      <c r="GR457">
        <v>0</v>
      </c>
      <c r="GS457">
        <v>3</v>
      </c>
      <c r="GT457">
        <v>0</v>
      </c>
      <c r="GU457" t="s">
        <v>3</v>
      </c>
      <c r="GV457">
        <f t="shared" si="351"/>
        <v>0</v>
      </c>
      <c r="GW457">
        <v>1</v>
      </c>
      <c r="GX457">
        <f t="shared" si="352"/>
        <v>0</v>
      </c>
      <c r="HA457">
        <v>0</v>
      </c>
      <c r="HB457">
        <v>0</v>
      </c>
      <c r="HC457">
        <f t="shared" si="353"/>
        <v>0</v>
      </c>
      <c r="IK457">
        <v>0</v>
      </c>
    </row>
    <row r="458" spans="1:245" x14ac:dyDescent="0.2">
      <c r="A458">
        <v>17</v>
      </c>
      <c r="B458">
        <v>1</v>
      </c>
      <c r="E458" t="s">
        <v>96</v>
      </c>
      <c r="F458" t="s">
        <v>366</v>
      </c>
      <c r="G458" t="s">
        <v>947</v>
      </c>
      <c r="H458" t="s">
        <v>367</v>
      </c>
      <c r="I458">
        <v>2</v>
      </c>
      <c r="J458">
        <v>0</v>
      </c>
      <c r="O458">
        <f t="shared" si="314"/>
        <v>651850.18000000005</v>
      </c>
      <c r="P458">
        <f t="shared" si="315"/>
        <v>651850.18000000005</v>
      </c>
      <c r="Q458">
        <f t="shared" si="316"/>
        <v>0</v>
      </c>
      <c r="R458">
        <f t="shared" si="317"/>
        <v>0</v>
      </c>
      <c r="S458">
        <f t="shared" si="318"/>
        <v>0</v>
      </c>
      <c r="T458">
        <f t="shared" si="319"/>
        <v>0</v>
      </c>
      <c r="U458">
        <f t="shared" si="320"/>
        <v>0</v>
      </c>
      <c r="V458">
        <f t="shared" si="321"/>
        <v>0</v>
      </c>
      <c r="W458">
        <f t="shared" si="322"/>
        <v>0</v>
      </c>
      <c r="X458">
        <f t="shared" si="323"/>
        <v>0</v>
      </c>
      <c r="Y458">
        <f t="shared" si="324"/>
        <v>0</v>
      </c>
      <c r="AA458">
        <v>71209905</v>
      </c>
      <c r="AB458">
        <f t="shared" si="325"/>
        <v>325925.09000000003</v>
      </c>
      <c r="AC458">
        <f t="shared" si="326"/>
        <v>325925.09000000003</v>
      </c>
      <c r="AD458">
        <f t="shared" si="327"/>
        <v>0</v>
      </c>
      <c r="AE458">
        <f t="shared" si="328"/>
        <v>0</v>
      </c>
      <c r="AF458">
        <f t="shared" si="329"/>
        <v>0</v>
      </c>
      <c r="AG458">
        <f t="shared" si="330"/>
        <v>0</v>
      </c>
      <c r="AH458">
        <f t="shared" si="331"/>
        <v>0</v>
      </c>
      <c r="AI458">
        <f t="shared" si="332"/>
        <v>0</v>
      </c>
      <c r="AJ458">
        <f t="shared" si="333"/>
        <v>0</v>
      </c>
      <c r="AK458">
        <v>325925.09000000003</v>
      </c>
      <c r="AL458">
        <v>325925.09000000003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70</v>
      </c>
      <c r="AU458">
        <v>10</v>
      </c>
      <c r="AV458">
        <v>1</v>
      </c>
      <c r="AW458">
        <v>1</v>
      </c>
      <c r="AZ458">
        <v>1</v>
      </c>
      <c r="BA458">
        <v>1</v>
      </c>
      <c r="BB458">
        <v>1</v>
      </c>
      <c r="BC458">
        <v>1</v>
      </c>
      <c r="BD458" t="s">
        <v>3</v>
      </c>
      <c r="BE458" t="s">
        <v>3</v>
      </c>
      <c r="BF458" t="s">
        <v>3</v>
      </c>
      <c r="BG458" t="s">
        <v>3</v>
      </c>
      <c r="BH458">
        <v>3</v>
      </c>
      <c r="BI458">
        <v>4</v>
      </c>
      <c r="BJ458" t="s">
        <v>368</v>
      </c>
      <c r="BM458">
        <v>0</v>
      </c>
      <c r="BN458">
        <v>0</v>
      </c>
      <c r="BO458" t="s">
        <v>3</v>
      </c>
      <c r="BP458">
        <v>0</v>
      </c>
      <c r="BQ458">
        <v>1</v>
      </c>
      <c r="BR458">
        <v>0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 t="s">
        <v>3</v>
      </c>
      <c r="BZ458">
        <v>70</v>
      </c>
      <c r="CA458">
        <v>10</v>
      </c>
      <c r="CE458">
        <v>0</v>
      </c>
      <c r="CF458">
        <v>0</v>
      </c>
      <c r="CG458">
        <v>0</v>
      </c>
      <c r="CM458">
        <v>0</v>
      </c>
      <c r="CN458" t="s">
        <v>3</v>
      </c>
      <c r="CO458">
        <v>0</v>
      </c>
      <c r="CP458">
        <f t="shared" si="334"/>
        <v>651850.18000000005</v>
      </c>
      <c r="CQ458">
        <f t="shared" si="335"/>
        <v>325925.09000000003</v>
      </c>
      <c r="CR458">
        <f t="shared" si="336"/>
        <v>0</v>
      </c>
      <c r="CS458">
        <f t="shared" si="337"/>
        <v>0</v>
      </c>
      <c r="CT458">
        <f t="shared" si="338"/>
        <v>0</v>
      </c>
      <c r="CU458">
        <f t="shared" si="339"/>
        <v>0</v>
      </c>
      <c r="CV458">
        <f t="shared" si="340"/>
        <v>0</v>
      </c>
      <c r="CW458">
        <f t="shared" si="341"/>
        <v>0</v>
      </c>
      <c r="CX458">
        <f t="shared" si="342"/>
        <v>0</v>
      </c>
      <c r="CY458">
        <f t="shared" si="343"/>
        <v>0</v>
      </c>
      <c r="CZ458">
        <f t="shared" si="344"/>
        <v>0</v>
      </c>
      <c r="DC458" t="s">
        <v>3</v>
      </c>
      <c r="DD458" t="s">
        <v>3</v>
      </c>
      <c r="DE458" t="s">
        <v>3</v>
      </c>
      <c r="DF458" t="s">
        <v>3</v>
      </c>
      <c r="DG458" t="s">
        <v>3</v>
      </c>
      <c r="DH458" t="s">
        <v>3</v>
      </c>
      <c r="DI458" t="s">
        <v>3</v>
      </c>
      <c r="DJ458" t="s">
        <v>3</v>
      </c>
      <c r="DK458" t="s">
        <v>3</v>
      </c>
      <c r="DL458" t="s">
        <v>3</v>
      </c>
      <c r="DM458" t="s">
        <v>3</v>
      </c>
      <c r="DN458">
        <v>0</v>
      </c>
      <c r="DO458">
        <v>0</v>
      </c>
      <c r="DP458">
        <v>1</v>
      </c>
      <c r="DQ458">
        <v>1</v>
      </c>
      <c r="DU458">
        <v>1013</v>
      </c>
      <c r="DV458" t="s">
        <v>367</v>
      </c>
      <c r="DW458" t="s">
        <v>367</v>
      </c>
      <c r="DX458">
        <v>1</v>
      </c>
      <c r="EE458">
        <v>67874524</v>
      </c>
      <c r="EF458">
        <v>1</v>
      </c>
      <c r="EG458" t="s">
        <v>20</v>
      </c>
      <c r="EH458">
        <v>0</v>
      </c>
      <c r="EI458" t="s">
        <v>3</v>
      </c>
      <c r="EJ458">
        <v>4</v>
      </c>
      <c r="EK458">
        <v>0</v>
      </c>
      <c r="EL458" t="s">
        <v>21</v>
      </c>
      <c r="EM458" t="s">
        <v>22</v>
      </c>
      <c r="EO458" t="s">
        <v>3</v>
      </c>
      <c r="EQ458">
        <v>0</v>
      </c>
      <c r="ER458">
        <v>325925.09000000003</v>
      </c>
      <c r="ES458">
        <v>325925.09000000003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FQ458">
        <v>0</v>
      </c>
      <c r="FR458">
        <f t="shared" si="345"/>
        <v>0</v>
      </c>
      <c r="FS458">
        <v>0</v>
      </c>
      <c r="FX458">
        <v>70</v>
      </c>
      <c r="FY458">
        <v>10</v>
      </c>
      <c r="GA458" t="s">
        <v>3</v>
      </c>
      <c r="GD458">
        <v>0</v>
      </c>
      <c r="GF458">
        <v>-1768185017</v>
      </c>
      <c r="GG458">
        <v>2</v>
      </c>
      <c r="GH458">
        <v>1</v>
      </c>
      <c r="GI458">
        <v>-2</v>
      </c>
      <c r="GJ458">
        <v>0</v>
      </c>
      <c r="GK458">
        <f>ROUND(R458*(R12)/100,2)</f>
        <v>0</v>
      </c>
      <c r="GL458">
        <f t="shared" si="346"/>
        <v>0</v>
      </c>
      <c r="GM458">
        <f t="shared" si="347"/>
        <v>651850.18000000005</v>
      </c>
      <c r="GN458">
        <f t="shared" si="348"/>
        <v>0</v>
      </c>
      <c r="GO458">
        <f t="shared" si="349"/>
        <v>0</v>
      </c>
      <c r="GP458">
        <f t="shared" si="350"/>
        <v>651850.18000000005</v>
      </c>
      <c r="GR458">
        <v>0</v>
      </c>
      <c r="GS458">
        <v>3</v>
      </c>
      <c r="GT458">
        <v>0</v>
      </c>
      <c r="GU458" t="s">
        <v>3</v>
      </c>
      <c r="GV458">
        <f t="shared" si="351"/>
        <v>0</v>
      </c>
      <c r="GW458">
        <v>1</v>
      </c>
      <c r="GX458">
        <f t="shared" si="352"/>
        <v>0</v>
      </c>
      <c r="HA458">
        <v>0</v>
      </c>
      <c r="HB458">
        <v>0</v>
      </c>
      <c r="HC458">
        <f t="shared" si="353"/>
        <v>0</v>
      </c>
      <c r="IK458">
        <v>0</v>
      </c>
    </row>
    <row r="459" spans="1:245" x14ac:dyDescent="0.2">
      <c r="A459">
        <v>17</v>
      </c>
      <c r="B459">
        <v>1</v>
      </c>
      <c r="E459" t="s">
        <v>100</v>
      </c>
      <c r="F459" t="s">
        <v>369</v>
      </c>
      <c r="G459" t="s">
        <v>948</v>
      </c>
      <c r="H459" t="s">
        <v>367</v>
      </c>
      <c r="I459">
        <v>2</v>
      </c>
      <c r="J459">
        <v>0</v>
      </c>
      <c r="O459">
        <f t="shared" si="314"/>
        <v>822114.62</v>
      </c>
      <c r="P459">
        <f t="shared" si="315"/>
        <v>822114.62</v>
      </c>
      <c r="Q459">
        <f t="shared" si="316"/>
        <v>0</v>
      </c>
      <c r="R459">
        <f t="shared" si="317"/>
        <v>0</v>
      </c>
      <c r="S459">
        <f t="shared" si="318"/>
        <v>0</v>
      </c>
      <c r="T459">
        <f t="shared" si="319"/>
        <v>0</v>
      </c>
      <c r="U459">
        <f t="shared" si="320"/>
        <v>0</v>
      </c>
      <c r="V459">
        <f t="shared" si="321"/>
        <v>0</v>
      </c>
      <c r="W459">
        <f t="shared" si="322"/>
        <v>0</v>
      </c>
      <c r="X459">
        <f t="shared" si="323"/>
        <v>0</v>
      </c>
      <c r="Y459">
        <f t="shared" si="324"/>
        <v>0</v>
      </c>
      <c r="AA459">
        <v>71209905</v>
      </c>
      <c r="AB459">
        <f t="shared" si="325"/>
        <v>411057.31</v>
      </c>
      <c r="AC459">
        <f t="shared" si="326"/>
        <v>411057.31</v>
      </c>
      <c r="AD459">
        <f t="shared" si="327"/>
        <v>0</v>
      </c>
      <c r="AE459">
        <f t="shared" si="328"/>
        <v>0</v>
      </c>
      <c r="AF459">
        <f t="shared" si="329"/>
        <v>0</v>
      </c>
      <c r="AG459">
        <f t="shared" si="330"/>
        <v>0</v>
      </c>
      <c r="AH459">
        <f t="shared" si="331"/>
        <v>0</v>
      </c>
      <c r="AI459">
        <f t="shared" si="332"/>
        <v>0</v>
      </c>
      <c r="AJ459">
        <f t="shared" si="333"/>
        <v>0</v>
      </c>
      <c r="AK459">
        <v>411057.31</v>
      </c>
      <c r="AL459">
        <v>411057.31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70</v>
      </c>
      <c r="AU459">
        <v>10</v>
      </c>
      <c r="AV459">
        <v>1</v>
      </c>
      <c r="AW459">
        <v>1</v>
      </c>
      <c r="AZ459">
        <v>1</v>
      </c>
      <c r="BA459">
        <v>1</v>
      </c>
      <c r="BB459">
        <v>1</v>
      </c>
      <c r="BC459">
        <v>1</v>
      </c>
      <c r="BD459" t="s">
        <v>3</v>
      </c>
      <c r="BE459" t="s">
        <v>3</v>
      </c>
      <c r="BF459" t="s">
        <v>3</v>
      </c>
      <c r="BG459" t="s">
        <v>3</v>
      </c>
      <c r="BH459">
        <v>3</v>
      </c>
      <c r="BI459">
        <v>4</v>
      </c>
      <c r="BJ459" t="s">
        <v>370</v>
      </c>
      <c r="BM459">
        <v>0</v>
      </c>
      <c r="BN459">
        <v>0</v>
      </c>
      <c r="BO459" t="s">
        <v>3</v>
      </c>
      <c r="BP459">
        <v>0</v>
      </c>
      <c r="BQ459">
        <v>1</v>
      </c>
      <c r="BR459">
        <v>0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 t="s">
        <v>3</v>
      </c>
      <c r="BZ459">
        <v>70</v>
      </c>
      <c r="CA459">
        <v>10</v>
      </c>
      <c r="CE459">
        <v>0</v>
      </c>
      <c r="CF459">
        <v>0</v>
      </c>
      <c r="CG459">
        <v>0</v>
      </c>
      <c r="CM459">
        <v>0</v>
      </c>
      <c r="CN459" t="s">
        <v>3</v>
      </c>
      <c r="CO459">
        <v>0</v>
      </c>
      <c r="CP459">
        <f t="shared" si="334"/>
        <v>822114.62</v>
      </c>
      <c r="CQ459">
        <f t="shared" si="335"/>
        <v>411057.31</v>
      </c>
      <c r="CR459">
        <f t="shared" si="336"/>
        <v>0</v>
      </c>
      <c r="CS459">
        <f t="shared" si="337"/>
        <v>0</v>
      </c>
      <c r="CT459">
        <f t="shared" si="338"/>
        <v>0</v>
      </c>
      <c r="CU459">
        <f t="shared" si="339"/>
        <v>0</v>
      </c>
      <c r="CV459">
        <f t="shared" si="340"/>
        <v>0</v>
      </c>
      <c r="CW459">
        <f t="shared" si="341"/>
        <v>0</v>
      </c>
      <c r="CX459">
        <f t="shared" si="342"/>
        <v>0</v>
      </c>
      <c r="CY459">
        <f t="shared" si="343"/>
        <v>0</v>
      </c>
      <c r="CZ459">
        <f t="shared" si="344"/>
        <v>0</v>
      </c>
      <c r="DC459" t="s">
        <v>3</v>
      </c>
      <c r="DD459" t="s">
        <v>3</v>
      </c>
      <c r="DE459" t="s">
        <v>3</v>
      </c>
      <c r="DF459" t="s">
        <v>3</v>
      </c>
      <c r="DG459" t="s">
        <v>3</v>
      </c>
      <c r="DH459" t="s">
        <v>3</v>
      </c>
      <c r="DI459" t="s">
        <v>3</v>
      </c>
      <c r="DJ459" t="s">
        <v>3</v>
      </c>
      <c r="DK459" t="s">
        <v>3</v>
      </c>
      <c r="DL459" t="s">
        <v>3</v>
      </c>
      <c r="DM459" t="s">
        <v>3</v>
      </c>
      <c r="DN459">
        <v>0</v>
      </c>
      <c r="DO459">
        <v>0</v>
      </c>
      <c r="DP459">
        <v>1</v>
      </c>
      <c r="DQ459">
        <v>1</v>
      </c>
      <c r="DU459">
        <v>1013</v>
      </c>
      <c r="DV459" t="s">
        <v>367</v>
      </c>
      <c r="DW459" t="s">
        <v>367</v>
      </c>
      <c r="DX459">
        <v>1</v>
      </c>
      <c r="EE459">
        <v>67874524</v>
      </c>
      <c r="EF459">
        <v>1</v>
      </c>
      <c r="EG459" t="s">
        <v>20</v>
      </c>
      <c r="EH459">
        <v>0</v>
      </c>
      <c r="EI459" t="s">
        <v>3</v>
      </c>
      <c r="EJ459">
        <v>4</v>
      </c>
      <c r="EK459">
        <v>0</v>
      </c>
      <c r="EL459" t="s">
        <v>21</v>
      </c>
      <c r="EM459" t="s">
        <v>22</v>
      </c>
      <c r="EO459" t="s">
        <v>3</v>
      </c>
      <c r="EQ459">
        <v>0</v>
      </c>
      <c r="ER459">
        <v>411057.31</v>
      </c>
      <c r="ES459">
        <v>411057.31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FQ459">
        <v>0</v>
      </c>
      <c r="FR459">
        <f t="shared" si="345"/>
        <v>0</v>
      </c>
      <c r="FS459">
        <v>0</v>
      </c>
      <c r="FX459">
        <v>70</v>
      </c>
      <c r="FY459">
        <v>10</v>
      </c>
      <c r="GA459" t="s">
        <v>3</v>
      </c>
      <c r="GD459">
        <v>0</v>
      </c>
      <c r="GF459">
        <v>1454345579</v>
      </c>
      <c r="GG459">
        <v>2</v>
      </c>
      <c r="GH459">
        <v>1</v>
      </c>
      <c r="GI459">
        <v>-2</v>
      </c>
      <c r="GJ459">
        <v>0</v>
      </c>
      <c r="GK459">
        <f>ROUND(R459*(R12)/100,2)</f>
        <v>0</v>
      </c>
      <c r="GL459">
        <f t="shared" si="346"/>
        <v>0</v>
      </c>
      <c r="GM459">
        <f t="shared" si="347"/>
        <v>822114.62</v>
      </c>
      <c r="GN459">
        <f t="shared" si="348"/>
        <v>0</v>
      </c>
      <c r="GO459">
        <f t="shared" si="349"/>
        <v>0</v>
      </c>
      <c r="GP459">
        <f t="shared" si="350"/>
        <v>822114.62</v>
      </c>
      <c r="GR459">
        <v>0</v>
      </c>
      <c r="GS459">
        <v>3</v>
      </c>
      <c r="GT459">
        <v>0</v>
      </c>
      <c r="GU459" t="s">
        <v>3</v>
      </c>
      <c r="GV459">
        <f t="shared" si="351"/>
        <v>0</v>
      </c>
      <c r="GW459">
        <v>1</v>
      </c>
      <c r="GX459">
        <f t="shared" si="352"/>
        <v>0</v>
      </c>
      <c r="HA459">
        <v>0</v>
      </c>
      <c r="HB459">
        <v>0</v>
      </c>
      <c r="HC459">
        <f t="shared" si="353"/>
        <v>0</v>
      </c>
      <c r="IK459">
        <v>0</v>
      </c>
    </row>
    <row r="460" spans="1:245" x14ac:dyDescent="0.2">
      <c r="A460">
        <v>17</v>
      </c>
      <c r="B460">
        <v>1</v>
      </c>
      <c r="C460">
        <f>ROW(SmtRes!A72)</f>
        <v>72</v>
      </c>
      <c r="D460">
        <f>ROW(EtalonRes!A413)</f>
        <v>413</v>
      </c>
      <c r="E460" t="s">
        <v>105</v>
      </c>
      <c r="F460" t="s">
        <v>77</v>
      </c>
      <c r="G460" t="s">
        <v>371</v>
      </c>
      <c r="H460" t="s">
        <v>72</v>
      </c>
      <c r="I460">
        <f>ROUND((6)/100,9)</f>
        <v>0.06</v>
      </c>
      <c r="J460">
        <v>0</v>
      </c>
      <c r="O460">
        <f t="shared" si="314"/>
        <v>10179.65</v>
      </c>
      <c r="P460">
        <f t="shared" si="315"/>
        <v>9499.73</v>
      </c>
      <c r="Q460">
        <f t="shared" si="316"/>
        <v>0</v>
      </c>
      <c r="R460">
        <f t="shared" si="317"/>
        <v>0</v>
      </c>
      <c r="S460">
        <f t="shared" si="318"/>
        <v>679.92</v>
      </c>
      <c r="T460">
        <f t="shared" si="319"/>
        <v>0</v>
      </c>
      <c r="U460">
        <f t="shared" si="320"/>
        <v>2.8632</v>
      </c>
      <c r="V460">
        <f t="shared" si="321"/>
        <v>0</v>
      </c>
      <c r="W460">
        <f t="shared" si="322"/>
        <v>0</v>
      </c>
      <c r="X460">
        <f t="shared" si="323"/>
        <v>475.94</v>
      </c>
      <c r="Y460">
        <f t="shared" si="324"/>
        <v>67.989999999999995</v>
      </c>
      <c r="AA460">
        <v>71209905</v>
      </c>
      <c r="AB460">
        <f t="shared" si="325"/>
        <v>169660.92</v>
      </c>
      <c r="AC460">
        <f t="shared" si="326"/>
        <v>158328.85</v>
      </c>
      <c r="AD460">
        <f t="shared" si="327"/>
        <v>0</v>
      </c>
      <c r="AE460">
        <f t="shared" si="328"/>
        <v>0</v>
      </c>
      <c r="AF460">
        <f t="shared" si="329"/>
        <v>11332.07</v>
      </c>
      <c r="AG460">
        <f t="shared" si="330"/>
        <v>0</v>
      </c>
      <c r="AH460">
        <f t="shared" si="331"/>
        <v>47.72</v>
      </c>
      <c r="AI460">
        <f t="shared" si="332"/>
        <v>0</v>
      </c>
      <c r="AJ460">
        <f t="shared" si="333"/>
        <v>0</v>
      </c>
      <c r="AK460">
        <v>169660.92</v>
      </c>
      <c r="AL460">
        <v>158328.85</v>
      </c>
      <c r="AM460">
        <v>0</v>
      </c>
      <c r="AN460">
        <v>0</v>
      </c>
      <c r="AO460">
        <v>11332.07</v>
      </c>
      <c r="AP460">
        <v>0</v>
      </c>
      <c r="AQ460">
        <v>47.72</v>
      </c>
      <c r="AR460">
        <v>0</v>
      </c>
      <c r="AS460">
        <v>0</v>
      </c>
      <c r="AT460">
        <v>70</v>
      </c>
      <c r="AU460">
        <v>10</v>
      </c>
      <c r="AV460">
        <v>1</v>
      </c>
      <c r="AW460">
        <v>1</v>
      </c>
      <c r="AZ460">
        <v>1</v>
      </c>
      <c r="BA460">
        <v>1</v>
      </c>
      <c r="BB460">
        <v>1</v>
      </c>
      <c r="BC460">
        <v>1</v>
      </c>
      <c r="BD460" t="s">
        <v>3</v>
      </c>
      <c r="BE460" t="s">
        <v>3</v>
      </c>
      <c r="BF460" t="s">
        <v>3</v>
      </c>
      <c r="BG460" t="s">
        <v>3</v>
      </c>
      <c r="BH460">
        <v>0</v>
      </c>
      <c r="BI460">
        <v>4</v>
      </c>
      <c r="BJ460" t="s">
        <v>79</v>
      </c>
      <c r="BM460">
        <v>0</v>
      </c>
      <c r="BN460">
        <v>0</v>
      </c>
      <c r="BO460" t="s">
        <v>3</v>
      </c>
      <c r="BP460">
        <v>0</v>
      </c>
      <c r="BQ460">
        <v>1</v>
      </c>
      <c r="BR460">
        <v>0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 t="s">
        <v>3</v>
      </c>
      <c r="BZ460">
        <v>70</v>
      </c>
      <c r="CA460">
        <v>10</v>
      </c>
      <c r="CE460">
        <v>0</v>
      </c>
      <c r="CF460">
        <v>0</v>
      </c>
      <c r="CG460">
        <v>0</v>
      </c>
      <c r="CM460">
        <v>0</v>
      </c>
      <c r="CN460" t="s">
        <v>3</v>
      </c>
      <c r="CO460">
        <v>0</v>
      </c>
      <c r="CP460">
        <f t="shared" si="334"/>
        <v>10179.65</v>
      </c>
      <c r="CQ460">
        <f t="shared" si="335"/>
        <v>158328.85</v>
      </c>
      <c r="CR460">
        <f t="shared" si="336"/>
        <v>0</v>
      </c>
      <c r="CS460">
        <f t="shared" si="337"/>
        <v>0</v>
      </c>
      <c r="CT460">
        <f t="shared" si="338"/>
        <v>11332.07</v>
      </c>
      <c r="CU460">
        <f t="shared" si="339"/>
        <v>0</v>
      </c>
      <c r="CV460">
        <f t="shared" si="340"/>
        <v>47.72</v>
      </c>
      <c r="CW460">
        <f t="shared" si="341"/>
        <v>0</v>
      </c>
      <c r="CX460">
        <f t="shared" si="342"/>
        <v>0</v>
      </c>
      <c r="CY460">
        <f t="shared" si="343"/>
        <v>475.94399999999996</v>
      </c>
      <c r="CZ460">
        <f t="shared" si="344"/>
        <v>67.992000000000004</v>
      </c>
      <c r="DC460" t="s">
        <v>3</v>
      </c>
      <c r="DD460" t="s">
        <v>3</v>
      </c>
      <c r="DE460" t="s">
        <v>3</v>
      </c>
      <c r="DF460" t="s">
        <v>3</v>
      </c>
      <c r="DG460" t="s">
        <v>3</v>
      </c>
      <c r="DH460" t="s">
        <v>3</v>
      </c>
      <c r="DI460" t="s">
        <v>3</v>
      </c>
      <c r="DJ460" t="s">
        <v>3</v>
      </c>
      <c r="DK460" t="s">
        <v>3</v>
      </c>
      <c r="DL460" t="s">
        <v>3</v>
      </c>
      <c r="DM460" t="s">
        <v>3</v>
      </c>
      <c r="DN460">
        <v>0</v>
      </c>
      <c r="DO460">
        <v>0</v>
      </c>
      <c r="DP460">
        <v>1</v>
      </c>
      <c r="DQ460">
        <v>1</v>
      </c>
      <c r="DU460">
        <v>1003</v>
      </c>
      <c r="DV460" t="s">
        <v>72</v>
      </c>
      <c r="DW460" t="s">
        <v>72</v>
      </c>
      <c r="DX460">
        <v>100</v>
      </c>
      <c r="EE460">
        <v>67874524</v>
      </c>
      <c r="EF460">
        <v>1</v>
      </c>
      <c r="EG460" t="s">
        <v>20</v>
      </c>
      <c r="EH460">
        <v>0</v>
      </c>
      <c r="EI460" t="s">
        <v>3</v>
      </c>
      <c r="EJ460">
        <v>4</v>
      </c>
      <c r="EK460">
        <v>0</v>
      </c>
      <c r="EL460" t="s">
        <v>21</v>
      </c>
      <c r="EM460" t="s">
        <v>22</v>
      </c>
      <c r="EO460" t="s">
        <v>3</v>
      </c>
      <c r="EQ460">
        <v>0</v>
      </c>
      <c r="ER460">
        <v>169660.92</v>
      </c>
      <c r="ES460">
        <v>158328.85</v>
      </c>
      <c r="ET460">
        <v>0</v>
      </c>
      <c r="EU460">
        <v>0</v>
      </c>
      <c r="EV460">
        <v>11332.07</v>
      </c>
      <c r="EW460">
        <v>47.72</v>
      </c>
      <c r="EX460">
        <v>0</v>
      </c>
      <c r="EY460">
        <v>0</v>
      </c>
      <c r="FQ460">
        <v>0</v>
      </c>
      <c r="FR460">
        <f t="shared" si="345"/>
        <v>0</v>
      </c>
      <c r="FS460">
        <v>0</v>
      </c>
      <c r="FX460">
        <v>70</v>
      </c>
      <c r="FY460">
        <v>10</v>
      </c>
      <c r="GA460" t="s">
        <v>3</v>
      </c>
      <c r="GD460">
        <v>0</v>
      </c>
      <c r="GF460">
        <v>-1179760209</v>
      </c>
      <c r="GG460">
        <v>2</v>
      </c>
      <c r="GH460">
        <v>1</v>
      </c>
      <c r="GI460">
        <v>-2</v>
      </c>
      <c r="GJ460">
        <v>0</v>
      </c>
      <c r="GK460">
        <f>ROUND(R460*(R12)/100,2)</f>
        <v>0</v>
      </c>
      <c r="GL460">
        <f t="shared" si="346"/>
        <v>0</v>
      </c>
      <c r="GM460">
        <f t="shared" si="347"/>
        <v>10723.58</v>
      </c>
      <c r="GN460">
        <f t="shared" si="348"/>
        <v>0</v>
      </c>
      <c r="GO460">
        <f t="shared" si="349"/>
        <v>0</v>
      </c>
      <c r="GP460">
        <f t="shared" si="350"/>
        <v>10723.58</v>
      </c>
      <c r="GR460">
        <v>0</v>
      </c>
      <c r="GS460">
        <v>3</v>
      </c>
      <c r="GT460">
        <v>0</v>
      </c>
      <c r="GU460" t="s">
        <v>3</v>
      </c>
      <c r="GV460">
        <f t="shared" si="351"/>
        <v>0</v>
      </c>
      <c r="GW460">
        <v>1</v>
      </c>
      <c r="GX460">
        <f t="shared" si="352"/>
        <v>0</v>
      </c>
      <c r="HA460">
        <v>0</v>
      </c>
      <c r="HB460">
        <v>0</v>
      </c>
      <c r="HC460">
        <f t="shared" si="353"/>
        <v>0</v>
      </c>
      <c r="IK460">
        <v>0</v>
      </c>
    </row>
    <row r="461" spans="1:245" x14ac:dyDescent="0.2">
      <c r="A461">
        <v>17</v>
      </c>
      <c r="B461">
        <v>1</v>
      </c>
      <c r="E461" t="s">
        <v>109</v>
      </c>
      <c r="F461" t="s">
        <v>372</v>
      </c>
      <c r="G461" t="s">
        <v>373</v>
      </c>
      <c r="H461" t="s">
        <v>232</v>
      </c>
      <c r="I461">
        <v>3</v>
      </c>
      <c r="J461">
        <v>0</v>
      </c>
      <c r="O461">
        <f t="shared" si="314"/>
        <v>23072.400000000001</v>
      </c>
      <c r="P461">
        <f t="shared" si="315"/>
        <v>23072.400000000001</v>
      </c>
      <c r="Q461">
        <f t="shared" si="316"/>
        <v>0</v>
      </c>
      <c r="R461">
        <f t="shared" si="317"/>
        <v>0</v>
      </c>
      <c r="S461">
        <f t="shared" si="318"/>
        <v>0</v>
      </c>
      <c r="T461">
        <f t="shared" si="319"/>
        <v>0</v>
      </c>
      <c r="U461">
        <f t="shared" si="320"/>
        <v>0</v>
      </c>
      <c r="V461">
        <f t="shared" si="321"/>
        <v>0</v>
      </c>
      <c r="W461">
        <f t="shared" si="322"/>
        <v>0</v>
      </c>
      <c r="X461">
        <f t="shared" si="323"/>
        <v>0</v>
      </c>
      <c r="Y461">
        <f t="shared" si="324"/>
        <v>0</v>
      </c>
      <c r="AA461">
        <v>71209905</v>
      </c>
      <c r="AB461">
        <f t="shared" si="325"/>
        <v>7690.8</v>
      </c>
      <c r="AC461">
        <f t="shared" si="326"/>
        <v>7690.8</v>
      </c>
      <c r="AD461">
        <f t="shared" si="327"/>
        <v>0</v>
      </c>
      <c r="AE461">
        <f t="shared" si="328"/>
        <v>0</v>
      </c>
      <c r="AF461">
        <f t="shared" si="329"/>
        <v>0</v>
      </c>
      <c r="AG461">
        <f t="shared" si="330"/>
        <v>0</v>
      </c>
      <c r="AH461">
        <f t="shared" si="331"/>
        <v>0</v>
      </c>
      <c r="AI461">
        <f t="shared" si="332"/>
        <v>0</v>
      </c>
      <c r="AJ461">
        <f t="shared" si="333"/>
        <v>0</v>
      </c>
      <c r="AK461">
        <v>7690.8</v>
      </c>
      <c r="AL461">
        <v>7690.8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70</v>
      </c>
      <c r="AU461">
        <v>10</v>
      </c>
      <c r="AV461">
        <v>1</v>
      </c>
      <c r="AW461">
        <v>1</v>
      </c>
      <c r="AZ461">
        <v>1</v>
      </c>
      <c r="BA461">
        <v>1</v>
      </c>
      <c r="BB461">
        <v>1</v>
      </c>
      <c r="BC461">
        <v>1</v>
      </c>
      <c r="BD461" t="s">
        <v>3</v>
      </c>
      <c r="BE461" t="s">
        <v>3</v>
      </c>
      <c r="BF461" t="s">
        <v>3</v>
      </c>
      <c r="BG461" t="s">
        <v>3</v>
      </c>
      <c r="BH461">
        <v>3</v>
      </c>
      <c r="BI461">
        <v>4</v>
      </c>
      <c r="BJ461" t="s">
        <v>374</v>
      </c>
      <c r="BM461">
        <v>0</v>
      </c>
      <c r="BN461">
        <v>0</v>
      </c>
      <c r="BO461" t="s">
        <v>3</v>
      </c>
      <c r="BP461">
        <v>0</v>
      </c>
      <c r="BQ461">
        <v>1</v>
      </c>
      <c r="BR461">
        <v>0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 t="s">
        <v>3</v>
      </c>
      <c r="BZ461">
        <v>70</v>
      </c>
      <c r="CA461">
        <v>10</v>
      </c>
      <c r="CE461">
        <v>0</v>
      </c>
      <c r="CF461">
        <v>0</v>
      </c>
      <c r="CG461">
        <v>0</v>
      </c>
      <c r="CM461">
        <v>0</v>
      </c>
      <c r="CN461" t="s">
        <v>3</v>
      </c>
      <c r="CO461">
        <v>0</v>
      </c>
      <c r="CP461">
        <f t="shared" si="334"/>
        <v>23072.400000000001</v>
      </c>
      <c r="CQ461">
        <f t="shared" si="335"/>
        <v>7690.8</v>
      </c>
      <c r="CR461">
        <f t="shared" si="336"/>
        <v>0</v>
      </c>
      <c r="CS461">
        <f t="shared" si="337"/>
        <v>0</v>
      </c>
      <c r="CT461">
        <f t="shared" si="338"/>
        <v>0</v>
      </c>
      <c r="CU461">
        <f t="shared" si="339"/>
        <v>0</v>
      </c>
      <c r="CV461">
        <f t="shared" si="340"/>
        <v>0</v>
      </c>
      <c r="CW461">
        <f t="shared" si="341"/>
        <v>0</v>
      </c>
      <c r="CX461">
        <f t="shared" si="342"/>
        <v>0</v>
      </c>
      <c r="CY461">
        <f t="shared" si="343"/>
        <v>0</v>
      </c>
      <c r="CZ461">
        <f t="shared" si="344"/>
        <v>0</v>
      </c>
      <c r="DC461" t="s">
        <v>3</v>
      </c>
      <c r="DD461" t="s">
        <v>3</v>
      </c>
      <c r="DE461" t="s">
        <v>3</v>
      </c>
      <c r="DF461" t="s">
        <v>3</v>
      </c>
      <c r="DG461" t="s">
        <v>3</v>
      </c>
      <c r="DH461" t="s">
        <v>3</v>
      </c>
      <c r="DI461" t="s">
        <v>3</v>
      </c>
      <c r="DJ461" t="s">
        <v>3</v>
      </c>
      <c r="DK461" t="s">
        <v>3</v>
      </c>
      <c r="DL461" t="s">
        <v>3</v>
      </c>
      <c r="DM461" t="s">
        <v>3</v>
      </c>
      <c r="DN461">
        <v>0</v>
      </c>
      <c r="DO461">
        <v>0</v>
      </c>
      <c r="DP461">
        <v>1</v>
      </c>
      <c r="DQ461">
        <v>1</v>
      </c>
      <c r="DU461">
        <v>1010</v>
      </c>
      <c r="DV461" t="s">
        <v>232</v>
      </c>
      <c r="DW461" t="s">
        <v>232</v>
      </c>
      <c r="DX461">
        <v>1</v>
      </c>
      <c r="EE461">
        <v>67874524</v>
      </c>
      <c r="EF461">
        <v>1</v>
      </c>
      <c r="EG461" t="s">
        <v>20</v>
      </c>
      <c r="EH461">
        <v>0</v>
      </c>
      <c r="EI461" t="s">
        <v>3</v>
      </c>
      <c r="EJ461">
        <v>4</v>
      </c>
      <c r="EK461">
        <v>0</v>
      </c>
      <c r="EL461" t="s">
        <v>21</v>
      </c>
      <c r="EM461" t="s">
        <v>22</v>
      </c>
      <c r="EO461" t="s">
        <v>3</v>
      </c>
      <c r="EQ461">
        <v>0</v>
      </c>
      <c r="ER461">
        <v>7690.8</v>
      </c>
      <c r="ES461">
        <v>7690.8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FQ461">
        <v>0</v>
      </c>
      <c r="FR461">
        <f t="shared" si="345"/>
        <v>0</v>
      </c>
      <c r="FS461">
        <v>0</v>
      </c>
      <c r="FX461">
        <v>70</v>
      </c>
      <c r="FY461">
        <v>10</v>
      </c>
      <c r="GA461" t="s">
        <v>3</v>
      </c>
      <c r="GD461">
        <v>0</v>
      </c>
      <c r="GF461">
        <v>977591839</v>
      </c>
      <c r="GG461">
        <v>2</v>
      </c>
      <c r="GH461">
        <v>1</v>
      </c>
      <c r="GI461">
        <v>-2</v>
      </c>
      <c r="GJ461">
        <v>0</v>
      </c>
      <c r="GK461">
        <f>ROUND(R461*(R12)/100,2)</f>
        <v>0</v>
      </c>
      <c r="GL461">
        <f t="shared" si="346"/>
        <v>0</v>
      </c>
      <c r="GM461">
        <f t="shared" si="347"/>
        <v>23072.400000000001</v>
      </c>
      <c r="GN461">
        <f t="shared" si="348"/>
        <v>0</v>
      </c>
      <c r="GO461">
        <f t="shared" si="349"/>
        <v>0</v>
      </c>
      <c r="GP461">
        <f t="shared" si="350"/>
        <v>23072.400000000001</v>
      </c>
      <c r="GR461">
        <v>0</v>
      </c>
      <c r="GS461">
        <v>3</v>
      </c>
      <c r="GT461">
        <v>0</v>
      </c>
      <c r="GU461" t="s">
        <v>3</v>
      </c>
      <c r="GV461">
        <f t="shared" si="351"/>
        <v>0</v>
      </c>
      <c r="GW461">
        <v>1</v>
      </c>
      <c r="GX461">
        <f t="shared" si="352"/>
        <v>0</v>
      </c>
      <c r="HA461">
        <v>0</v>
      </c>
      <c r="HB461">
        <v>0</v>
      </c>
      <c r="HC461">
        <f t="shared" si="353"/>
        <v>0</v>
      </c>
      <c r="IK461">
        <v>0</v>
      </c>
    </row>
    <row r="462" spans="1:245" x14ac:dyDescent="0.2">
      <c r="A462">
        <v>17</v>
      </c>
      <c r="B462">
        <v>1</v>
      </c>
      <c r="E462" t="s">
        <v>3</v>
      </c>
      <c r="F462" t="s">
        <v>375</v>
      </c>
      <c r="G462" t="s">
        <v>376</v>
      </c>
      <c r="H462" t="s">
        <v>377</v>
      </c>
      <c r="I462">
        <v>1</v>
      </c>
      <c r="J462">
        <v>0</v>
      </c>
      <c r="O462">
        <f t="shared" si="314"/>
        <v>11138.4</v>
      </c>
      <c r="P462">
        <f t="shared" si="315"/>
        <v>11138.4</v>
      </c>
      <c r="Q462">
        <f t="shared" si="316"/>
        <v>0</v>
      </c>
      <c r="R462">
        <f t="shared" si="317"/>
        <v>0</v>
      </c>
      <c r="S462">
        <f t="shared" si="318"/>
        <v>0</v>
      </c>
      <c r="T462">
        <f t="shared" si="319"/>
        <v>0</v>
      </c>
      <c r="U462">
        <f t="shared" si="320"/>
        <v>0</v>
      </c>
      <c r="V462">
        <f t="shared" si="321"/>
        <v>0</v>
      </c>
      <c r="W462">
        <f t="shared" si="322"/>
        <v>0</v>
      </c>
      <c r="X462">
        <f t="shared" si="323"/>
        <v>0</v>
      </c>
      <c r="Y462">
        <f t="shared" si="324"/>
        <v>0</v>
      </c>
      <c r="AA462">
        <v>-1</v>
      </c>
      <c r="AB462">
        <f t="shared" si="325"/>
        <v>11138.4</v>
      </c>
      <c r="AC462">
        <f t="shared" si="326"/>
        <v>11138.4</v>
      </c>
      <c r="AD462">
        <f t="shared" si="327"/>
        <v>0</v>
      </c>
      <c r="AE462">
        <f t="shared" si="328"/>
        <v>0</v>
      </c>
      <c r="AF462">
        <f t="shared" si="329"/>
        <v>0</v>
      </c>
      <c r="AG462">
        <f t="shared" si="330"/>
        <v>0</v>
      </c>
      <c r="AH462">
        <f t="shared" si="331"/>
        <v>0</v>
      </c>
      <c r="AI462">
        <f t="shared" si="332"/>
        <v>0</v>
      </c>
      <c r="AJ462">
        <f t="shared" si="333"/>
        <v>0</v>
      </c>
      <c r="AK462">
        <v>11138.4</v>
      </c>
      <c r="AL462">
        <v>11138.4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70</v>
      </c>
      <c r="AU462">
        <v>10</v>
      </c>
      <c r="AV462">
        <v>1</v>
      </c>
      <c r="AW462">
        <v>1</v>
      </c>
      <c r="AZ462">
        <v>1</v>
      </c>
      <c r="BA462">
        <v>1</v>
      </c>
      <c r="BB462">
        <v>1</v>
      </c>
      <c r="BC462">
        <v>1</v>
      </c>
      <c r="BD462" t="s">
        <v>3</v>
      </c>
      <c r="BE462" t="s">
        <v>3</v>
      </c>
      <c r="BF462" t="s">
        <v>3</v>
      </c>
      <c r="BG462" t="s">
        <v>3</v>
      </c>
      <c r="BH462">
        <v>3</v>
      </c>
      <c r="BI462">
        <v>4</v>
      </c>
      <c r="BJ462" t="s">
        <v>378</v>
      </c>
      <c r="BM462">
        <v>0</v>
      </c>
      <c r="BN462">
        <v>0</v>
      </c>
      <c r="BO462" t="s">
        <v>3</v>
      </c>
      <c r="BP462">
        <v>0</v>
      </c>
      <c r="BQ462">
        <v>1</v>
      </c>
      <c r="BR462">
        <v>0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 t="s">
        <v>3</v>
      </c>
      <c r="BZ462">
        <v>70</v>
      </c>
      <c r="CA462">
        <v>10</v>
      </c>
      <c r="CE462">
        <v>0</v>
      </c>
      <c r="CF462">
        <v>0</v>
      </c>
      <c r="CG462">
        <v>0</v>
      </c>
      <c r="CM462">
        <v>0</v>
      </c>
      <c r="CN462" t="s">
        <v>3</v>
      </c>
      <c r="CO462">
        <v>0</v>
      </c>
      <c r="CP462">
        <f t="shared" si="334"/>
        <v>11138.4</v>
      </c>
      <c r="CQ462">
        <f t="shared" si="335"/>
        <v>11138.4</v>
      </c>
      <c r="CR462">
        <f t="shared" si="336"/>
        <v>0</v>
      </c>
      <c r="CS462">
        <f t="shared" si="337"/>
        <v>0</v>
      </c>
      <c r="CT462">
        <f t="shared" si="338"/>
        <v>0</v>
      </c>
      <c r="CU462">
        <f t="shared" si="339"/>
        <v>0</v>
      </c>
      <c r="CV462">
        <f t="shared" si="340"/>
        <v>0</v>
      </c>
      <c r="CW462">
        <f t="shared" si="341"/>
        <v>0</v>
      </c>
      <c r="CX462">
        <f t="shared" si="342"/>
        <v>0</v>
      </c>
      <c r="CY462">
        <f t="shared" si="343"/>
        <v>0</v>
      </c>
      <c r="CZ462">
        <f t="shared" si="344"/>
        <v>0</v>
      </c>
      <c r="DC462" t="s">
        <v>3</v>
      </c>
      <c r="DD462" t="s">
        <v>3</v>
      </c>
      <c r="DE462" t="s">
        <v>3</v>
      </c>
      <c r="DF462" t="s">
        <v>3</v>
      </c>
      <c r="DG462" t="s">
        <v>3</v>
      </c>
      <c r="DH462" t="s">
        <v>3</v>
      </c>
      <c r="DI462" t="s">
        <v>3</v>
      </c>
      <c r="DJ462" t="s">
        <v>3</v>
      </c>
      <c r="DK462" t="s">
        <v>3</v>
      </c>
      <c r="DL462" t="s">
        <v>3</v>
      </c>
      <c r="DM462" t="s">
        <v>3</v>
      </c>
      <c r="DN462">
        <v>0</v>
      </c>
      <c r="DO462">
        <v>0</v>
      </c>
      <c r="DP462">
        <v>1</v>
      </c>
      <c r="DQ462">
        <v>1</v>
      </c>
      <c r="DU462">
        <v>1013</v>
      </c>
      <c r="DV462" t="s">
        <v>377</v>
      </c>
      <c r="DW462" t="s">
        <v>377</v>
      </c>
      <c r="DX462">
        <v>1</v>
      </c>
      <c r="EE462">
        <v>67874524</v>
      </c>
      <c r="EF462">
        <v>1</v>
      </c>
      <c r="EG462" t="s">
        <v>20</v>
      </c>
      <c r="EH462">
        <v>0</v>
      </c>
      <c r="EI462" t="s">
        <v>3</v>
      </c>
      <c r="EJ462">
        <v>4</v>
      </c>
      <c r="EK462">
        <v>0</v>
      </c>
      <c r="EL462" t="s">
        <v>21</v>
      </c>
      <c r="EM462" t="s">
        <v>22</v>
      </c>
      <c r="EO462" t="s">
        <v>3</v>
      </c>
      <c r="EQ462">
        <v>1024</v>
      </c>
      <c r="ER462">
        <v>11138.4</v>
      </c>
      <c r="ES462">
        <v>11138.4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FQ462">
        <v>0</v>
      </c>
      <c r="FR462">
        <f t="shared" si="345"/>
        <v>0</v>
      </c>
      <c r="FS462">
        <v>0</v>
      </c>
      <c r="FX462">
        <v>70</v>
      </c>
      <c r="FY462">
        <v>10</v>
      </c>
      <c r="GA462" t="s">
        <v>3</v>
      </c>
      <c r="GD462">
        <v>0</v>
      </c>
      <c r="GF462">
        <v>1698488765</v>
      </c>
      <c r="GG462">
        <v>2</v>
      </c>
      <c r="GH462">
        <v>1</v>
      </c>
      <c r="GI462">
        <v>-2</v>
      </c>
      <c r="GJ462">
        <v>0</v>
      </c>
      <c r="GK462">
        <f>ROUND(R462*(R12)/100,2)</f>
        <v>0</v>
      </c>
      <c r="GL462">
        <f t="shared" si="346"/>
        <v>0</v>
      </c>
      <c r="GM462">
        <f t="shared" si="347"/>
        <v>11138.4</v>
      </c>
      <c r="GN462">
        <f t="shared" si="348"/>
        <v>0</v>
      </c>
      <c r="GO462">
        <f t="shared" si="349"/>
        <v>0</v>
      </c>
      <c r="GP462">
        <f t="shared" si="350"/>
        <v>11138.4</v>
      </c>
      <c r="GR462">
        <v>0</v>
      </c>
      <c r="GS462">
        <v>3</v>
      </c>
      <c r="GT462">
        <v>0</v>
      </c>
      <c r="GU462" t="s">
        <v>3</v>
      </c>
      <c r="GV462">
        <f t="shared" si="351"/>
        <v>0</v>
      </c>
      <c r="GW462">
        <v>1</v>
      </c>
      <c r="GX462">
        <f t="shared" si="352"/>
        <v>0</v>
      </c>
      <c r="HA462">
        <v>0</v>
      </c>
      <c r="HB462">
        <v>0</v>
      </c>
      <c r="HC462">
        <f t="shared" si="353"/>
        <v>0</v>
      </c>
      <c r="IK462">
        <v>0</v>
      </c>
    </row>
    <row r="463" spans="1:245" x14ac:dyDescent="0.2">
      <c r="A463">
        <v>17</v>
      </c>
      <c r="B463">
        <v>1</v>
      </c>
      <c r="C463">
        <f>ROW(SmtRes!A73)</f>
        <v>73</v>
      </c>
      <c r="D463">
        <f>ROW(EtalonRes!A418)</f>
        <v>418</v>
      </c>
      <c r="E463" t="s">
        <v>3</v>
      </c>
      <c r="F463" t="s">
        <v>379</v>
      </c>
      <c r="G463" t="s">
        <v>380</v>
      </c>
      <c r="H463" t="s">
        <v>381</v>
      </c>
      <c r="I463">
        <f>ROUND(17/10,9)</f>
        <v>1.7</v>
      </c>
      <c r="J463">
        <v>0</v>
      </c>
      <c r="O463">
        <f t="shared" si="314"/>
        <v>7085.05</v>
      </c>
      <c r="P463">
        <f t="shared" si="315"/>
        <v>5091.26</v>
      </c>
      <c r="Q463">
        <f t="shared" si="316"/>
        <v>0</v>
      </c>
      <c r="R463">
        <f t="shared" si="317"/>
        <v>0</v>
      </c>
      <c r="S463">
        <f t="shared" si="318"/>
        <v>1993.79</v>
      </c>
      <c r="T463">
        <f t="shared" si="319"/>
        <v>0</v>
      </c>
      <c r="U463">
        <f t="shared" si="320"/>
        <v>10.574</v>
      </c>
      <c r="V463">
        <f t="shared" si="321"/>
        <v>0</v>
      </c>
      <c r="W463">
        <f t="shared" si="322"/>
        <v>0</v>
      </c>
      <c r="X463">
        <f t="shared" si="323"/>
        <v>1395.65</v>
      </c>
      <c r="Y463">
        <f t="shared" si="324"/>
        <v>199.38</v>
      </c>
      <c r="AA463">
        <v>-1</v>
      </c>
      <c r="AB463">
        <f t="shared" si="325"/>
        <v>4167.68</v>
      </c>
      <c r="AC463">
        <f t="shared" si="326"/>
        <v>2994.86</v>
      </c>
      <c r="AD463">
        <f t="shared" si="327"/>
        <v>0</v>
      </c>
      <c r="AE463">
        <f t="shared" si="328"/>
        <v>0</v>
      </c>
      <c r="AF463">
        <f t="shared" si="329"/>
        <v>1172.82</v>
      </c>
      <c r="AG463">
        <f t="shared" si="330"/>
        <v>0</v>
      </c>
      <c r="AH463">
        <f t="shared" si="331"/>
        <v>6.22</v>
      </c>
      <c r="AI463">
        <f t="shared" si="332"/>
        <v>0</v>
      </c>
      <c r="AJ463">
        <f t="shared" si="333"/>
        <v>0</v>
      </c>
      <c r="AK463">
        <v>4167.68</v>
      </c>
      <c r="AL463">
        <v>2994.86</v>
      </c>
      <c r="AM463">
        <v>0</v>
      </c>
      <c r="AN463">
        <v>0</v>
      </c>
      <c r="AO463">
        <v>1172.82</v>
      </c>
      <c r="AP463">
        <v>0</v>
      </c>
      <c r="AQ463">
        <v>6.22</v>
      </c>
      <c r="AR463">
        <v>0</v>
      </c>
      <c r="AS463">
        <v>0</v>
      </c>
      <c r="AT463">
        <v>70</v>
      </c>
      <c r="AU463">
        <v>10</v>
      </c>
      <c r="AV463">
        <v>1</v>
      </c>
      <c r="AW463">
        <v>1</v>
      </c>
      <c r="AZ463">
        <v>1</v>
      </c>
      <c r="BA463">
        <v>1</v>
      </c>
      <c r="BB463">
        <v>1</v>
      </c>
      <c r="BC463">
        <v>1</v>
      </c>
      <c r="BD463" t="s">
        <v>3</v>
      </c>
      <c r="BE463" t="s">
        <v>3</v>
      </c>
      <c r="BF463" t="s">
        <v>3</v>
      </c>
      <c r="BG463" t="s">
        <v>3</v>
      </c>
      <c r="BH463">
        <v>0</v>
      </c>
      <c r="BI463">
        <v>4</v>
      </c>
      <c r="BJ463" t="s">
        <v>382</v>
      </c>
      <c r="BM463">
        <v>0</v>
      </c>
      <c r="BN463">
        <v>0</v>
      </c>
      <c r="BO463" t="s">
        <v>3</v>
      </c>
      <c r="BP463">
        <v>0</v>
      </c>
      <c r="BQ463">
        <v>1</v>
      </c>
      <c r="BR463">
        <v>0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 t="s">
        <v>3</v>
      </c>
      <c r="BZ463">
        <v>70</v>
      </c>
      <c r="CA463">
        <v>10</v>
      </c>
      <c r="CE463">
        <v>0</v>
      </c>
      <c r="CF463">
        <v>0</v>
      </c>
      <c r="CG463">
        <v>0</v>
      </c>
      <c r="CM463">
        <v>0</v>
      </c>
      <c r="CN463" t="s">
        <v>3</v>
      </c>
      <c r="CO463">
        <v>0</v>
      </c>
      <c r="CP463">
        <f t="shared" si="334"/>
        <v>7085.05</v>
      </c>
      <c r="CQ463">
        <f t="shared" si="335"/>
        <v>2994.86</v>
      </c>
      <c r="CR463">
        <f t="shared" si="336"/>
        <v>0</v>
      </c>
      <c r="CS463">
        <f t="shared" si="337"/>
        <v>0</v>
      </c>
      <c r="CT463">
        <f t="shared" si="338"/>
        <v>1172.82</v>
      </c>
      <c r="CU463">
        <f t="shared" si="339"/>
        <v>0</v>
      </c>
      <c r="CV463">
        <f t="shared" si="340"/>
        <v>6.22</v>
      </c>
      <c r="CW463">
        <f t="shared" si="341"/>
        <v>0</v>
      </c>
      <c r="CX463">
        <f t="shared" si="342"/>
        <v>0</v>
      </c>
      <c r="CY463">
        <f t="shared" si="343"/>
        <v>1395.6529999999998</v>
      </c>
      <c r="CZ463">
        <f t="shared" si="344"/>
        <v>199.37900000000002</v>
      </c>
      <c r="DC463" t="s">
        <v>3</v>
      </c>
      <c r="DD463" t="s">
        <v>3</v>
      </c>
      <c r="DE463" t="s">
        <v>3</v>
      </c>
      <c r="DF463" t="s">
        <v>3</v>
      </c>
      <c r="DG463" t="s">
        <v>3</v>
      </c>
      <c r="DH463" t="s">
        <v>3</v>
      </c>
      <c r="DI463" t="s">
        <v>3</v>
      </c>
      <c r="DJ463" t="s">
        <v>3</v>
      </c>
      <c r="DK463" t="s">
        <v>3</v>
      </c>
      <c r="DL463" t="s">
        <v>3</v>
      </c>
      <c r="DM463" t="s">
        <v>3</v>
      </c>
      <c r="DN463">
        <v>0</v>
      </c>
      <c r="DO463">
        <v>0</v>
      </c>
      <c r="DP463">
        <v>1</v>
      </c>
      <c r="DQ463">
        <v>1</v>
      </c>
      <c r="DU463">
        <v>1010</v>
      </c>
      <c r="DV463" t="s">
        <v>381</v>
      </c>
      <c r="DW463" t="s">
        <v>381</v>
      </c>
      <c r="DX463">
        <v>10</v>
      </c>
      <c r="EE463">
        <v>67874524</v>
      </c>
      <c r="EF463">
        <v>1</v>
      </c>
      <c r="EG463" t="s">
        <v>20</v>
      </c>
      <c r="EH463">
        <v>0</v>
      </c>
      <c r="EI463" t="s">
        <v>3</v>
      </c>
      <c r="EJ463">
        <v>4</v>
      </c>
      <c r="EK463">
        <v>0</v>
      </c>
      <c r="EL463" t="s">
        <v>21</v>
      </c>
      <c r="EM463" t="s">
        <v>22</v>
      </c>
      <c r="EO463" t="s">
        <v>3</v>
      </c>
      <c r="EQ463">
        <v>1024</v>
      </c>
      <c r="ER463">
        <v>4167.68</v>
      </c>
      <c r="ES463">
        <v>2994.86</v>
      </c>
      <c r="ET463">
        <v>0</v>
      </c>
      <c r="EU463">
        <v>0</v>
      </c>
      <c r="EV463">
        <v>1172.82</v>
      </c>
      <c r="EW463">
        <v>6.22</v>
      </c>
      <c r="EX463">
        <v>0</v>
      </c>
      <c r="EY463">
        <v>0</v>
      </c>
      <c r="FQ463">
        <v>0</v>
      </c>
      <c r="FR463">
        <f t="shared" si="345"/>
        <v>0</v>
      </c>
      <c r="FS463">
        <v>0</v>
      </c>
      <c r="FX463">
        <v>70</v>
      </c>
      <c r="FY463">
        <v>10</v>
      </c>
      <c r="GA463" t="s">
        <v>3</v>
      </c>
      <c r="GD463">
        <v>0</v>
      </c>
      <c r="GF463">
        <v>-1736434182</v>
      </c>
      <c r="GG463">
        <v>2</v>
      </c>
      <c r="GH463">
        <v>1</v>
      </c>
      <c r="GI463">
        <v>-2</v>
      </c>
      <c r="GJ463">
        <v>0</v>
      </c>
      <c r="GK463">
        <f>ROUND(R463*(R12)/100,2)</f>
        <v>0</v>
      </c>
      <c r="GL463">
        <f t="shared" si="346"/>
        <v>0</v>
      </c>
      <c r="GM463">
        <f t="shared" si="347"/>
        <v>8680.08</v>
      </c>
      <c r="GN463">
        <f t="shared" si="348"/>
        <v>0</v>
      </c>
      <c r="GO463">
        <f t="shared" si="349"/>
        <v>0</v>
      </c>
      <c r="GP463">
        <f t="shared" si="350"/>
        <v>8680.08</v>
      </c>
      <c r="GR463">
        <v>0</v>
      </c>
      <c r="GS463">
        <v>3</v>
      </c>
      <c r="GT463">
        <v>0</v>
      </c>
      <c r="GU463" t="s">
        <v>3</v>
      </c>
      <c r="GV463">
        <f t="shared" si="351"/>
        <v>0</v>
      </c>
      <c r="GW463">
        <v>1</v>
      </c>
      <c r="GX463">
        <f t="shared" si="352"/>
        <v>0</v>
      </c>
      <c r="HA463">
        <v>0</v>
      </c>
      <c r="HB463">
        <v>0</v>
      </c>
      <c r="HC463">
        <f t="shared" si="353"/>
        <v>0</v>
      </c>
      <c r="IK463">
        <v>0</v>
      </c>
    </row>
    <row r="464" spans="1:245" x14ac:dyDescent="0.2">
      <c r="A464">
        <v>18</v>
      </c>
      <c r="B464">
        <v>1</v>
      </c>
      <c r="C464">
        <v>73</v>
      </c>
      <c r="E464" t="s">
        <v>3</v>
      </c>
      <c r="F464" t="s">
        <v>383</v>
      </c>
      <c r="G464" t="s">
        <v>384</v>
      </c>
      <c r="H464" t="s">
        <v>232</v>
      </c>
      <c r="I464">
        <f>I463*J464</f>
        <v>17</v>
      </c>
      <c r="J464">
        <v>10</v>
      </c>
      <c r="O464">
        <f t="shared" si="314"/>
        <v>4021.01</v>
      </c>
      <c r="P464">
        <f t="shared" si="315"/>
        <v>4021.01</v>
      </c>
      <c r="Q464">
        <f t="shared" si="316"/>
        <v>0</v>
      </c>
      <c r="R464">
        <f t="shared" si="317"/>
        <v>0</v>
      </c>
      <c r="S464">
        <f t="shared" si="318"/>
        <v>0</v>
      </c>
      <c r="T464">
        <f t="shared" si="319"/>
        <v>0</v>
      </c>
      <c r="U464">
        <f t="shared" si="320"/>
        <v>0</v>
      </c>
      <c r="V464">
        <f t="shared" si="321"/>
        <v>0</v>
      </c>
      <c r="W464">
        <f t="shared" si="322"/>
        <v>0</v>
      </c>
      <c r="X464">
        <f t="shared" si="323"/>
        <v>0</v>
      </c>
      <c r="Y464">
        <f t="shared" si="324"/>
        <v>0</v>
      </c>
      <c r="AA464">
        <v>-1</v>
      </c>
      <c r="AB464">
        <f t="shared" si="325"/>
        <v>236.53</v>
      </c>
      <c r="AC464">
        <f t="shared" si="326"/>
        <v>236.53</v>
      </c>
      <c r="AD464">
        <f t="shared" si="327"/>
        <v>0</v>
      </c>
      <c r="AE464">
        <f t="shared" si="328"/>
        <v>0</v>
      </c>
      <c r="AF464">
        <f t="shared" si="329"/>
        <v>0</v>
      </c>
      <c r="AG464">
        <f t="shared" si="330"/>
        <v>0</v>
      </c>
      <c r="AH464">
        <f t="shared" si="331"/>
        <v>0</v>
      </c>
      <c r="AI464">
        <f t="shared" si="332"/>
        <v>0</v>
      </c>
      <c r="AJ464">
        <f t="shared" si="333"/>
        <v>0</v>
      </c>
      <c r="AK464">
        <v>236.53</v>
      </c>
      <c r="AL464">
        <v>236.53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70</v>
      </c>
      <c r="AU464">
        <v>10</v>
      </c>
      <c r="AV464">
        <v>1</v>
      </c>
      <c r="AW464">
        <v>1</v>
      </c>
      <c r="AZ464">
        <v>1</v>
      </c>
      <c r="BA464">
        <v>1</v>
      </c>
      <c r="BB464">
        <v>1</v>
      </c>
      <c r="BC464">
        <v>1</v>
      </c>
      <c r="BD464" t="s">
        <v>3</v>
      </c>
      <c r="BE464" t="s">
        <v>3</v>
      </c>
      <c r="BF464" t="s">
        <v>3</v>
      </c>
      <c r="BG464" t="s">
        <v>3</v>
      </c>
      <c r="BH464">
        <v>3</v>
      </c>
      <c r="BI464">
        <v>4</v>
      </c>
      <c r="BJ464" t="s">
        <v>385</v>
      </c>
      <c r="BM464">
        <v>0</v>
      </c>
      <c r="BN464">
        <v>0</v>
      </c>
      <c r="BO464" t="s">
        <v>3</v>
      </c>
      <c r="BP464">
        <v>0</v>
      </c>
      <c r="BQ464">
        <v>1</v>
      </c>
      <c r="BR464">
        <v>0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 t="s">
        <v>3</v>
      </c>
      <c r="BZ464">
        <v>70</v>
      </c>
      <c r="CA464">
        <v>10</v>
      </c>
      <c r="CE464">
        <v>0</v>
      </c>
      <c r="CF464">
        <v>0</v>
      </c>
      <c r="CG464">
        <v>0</v>
      </c>
      <c r="CM464">
        <v>0</v>
      </c>
      <c r="CN464" t="s">
        <v>3</v>
      </c>
      <c r="CO464">
        <v>0</v>
      </c>
      <c r="CP464">
        <f t="shared" si="334"/>
        <v>4021.01</v>
      </c>
      <c r="CQ464">
        <f t="shared" si="335"/>
        <v>236.53</v>
      </c>
      <c r="CR464">
        <f t="shared" si="336"/>
        <v>0</v>
      </c>
      <c r="CS464">
        <f t="shared" si="337"/>
        <v>0</v>
      </c>
      <c r="CT464">
        <f t="shared" si="338"/>
        <v>0</v>
      </c>
      <c r="CU464">
        <f t="shared" si="339"/>
        <v>0</v>
      </c>
      <c r="CV464">
        <f t="shared" si="340"/>
        <v>0</v>
      </c>
      <c r="CW464">
        <f t="shared" si="341"/>
        <v>0</v>
      </c>
      <c r="CX464">
        <f t="shared" si="342"/>
        <v>0</v>
      </c>
      <c r="CY464">
        <f t="shared" si="343"/>
        <v>0</v>
      </c>
      <c r="CZ464">
        <f t="shared" si="344"/>
        <v>0</v>
      </c>
      <c r="DC464" t="s">
        <v>3</v>
      </c>
      <c r="DD464" t="s">
        <v>3</v>
      </c>
      <c r="DE464" t="s">
        <v>3</v>
      </c>
      <c r="DF464" t="s">
        <v>3</v>
      </c>
      <c r="DG464" t="s">
        <v>3</v>
      </c>
      <c r="DH464" t="s">
        <v>3</v>
      </c>
      <c r="DI464" t="s">
        <v>3</v>
      </c>
      <c r="DJ464" t="s">
        <v>3</v>
      </c>
      <c r="DK464" t="s">
        <v>3</v>
      </c>
      <c r="DL464" t="s">
        <v>3</v>
      </c>
      <c r="DM464" t="s">
        <v>3</v>
      </c>
      <c r="DN464">
        <v>0</v>
      </c>
      <c r="DO464">
        <v>0</v>
      </c>
      <c r="DP464">
        <v>1</v>
      </c>
      <c r="DQ464">
        <v>1</v>
      </c>
      <c r="DU464">
        <v>1010</v>
      </c>
      <c r="DV464" t="s">
        <v>232</v>
      </c>
      <c r="DW464" t="s">
        <v>232</v>
      </c>
      <c r="DX464">
        <v>1</v>
      </c>
      <c r="EE464">
        <v>67874524</v>
      </c>
      <c r="EF464">
        <v>1</v>
      </c>
      <c r="EG464" t="s">
        <v>20</v>
      </c>
      <c r="EH464">
        <v>0</v>
      </c>
      <c r="EI464" t="s">
        <v>3</v>
      </c>
      <c r="EJ464">
        <v>4</v>
      </c>
      <c r="EK464">
        <v>0</v>
      </c>
      <c r="EL464" t="s">
        <v>21</v>
      </c>
      <c r="EM464" t="s">
        <v>22</v>
      </c>
      <c r="EO464" t="s">
        <v>3</v>
      </c>
      <c r="EQ464">
        <v>1024</v>
      </c>
      <c r="ER464">
        <v>236.53</v>
      </c>
      <c r="ES464">
        <v>236.53</v>
      </c>
      <c r="ET464">
        <v>0</v>
      </c>
      <c r="EU464">
        <v>0</v>
      </c>
      <c r="EV464">
        <v>0</v>
      </c>
      <c r="EW464">
        <v>0</v>
      </c>
      <c r="EX464">
        <v>0</v>
      </c>
      <c r="FQ464">
        <v>0</v>
      </c>
      <c r="FR464">
        <f t="shared" si="345"/>
        <v>0</v>
      </c>
      <c r="FS464">
        <v>0</v>
      </c>
      <c r="FX464">
        <v>70</v>
      </c>
      <c r="FY464">
        <v>10</v>
      </c>
      <c r="GA464" t="s">
        <v>3</v>
      </c>
      <c r="GD464">
        <v>0</v>
      </c>
      <c r="GF464">
        <v>-1214334053</v>
      </c>
      <c r="GG464">
        <v>2</v>
      </c>
      <c r="GH464">
        <v>1</v>
      </c>
      <c r="GI464">
        <v>-2</v>
      </c>
      <c r="GJ464">
        <v>0</v>
      </c>
      <c r="GK464">
        <f>ROUND(R464*(R12)/100,2)</f>
        <v>0</v>
      </c>
      <c r="GL464">
        <f t="shared" si="346"/>
        <v>0</v>
      </c>
      <c r="GM464">
        <f t="shared" si="347"/>
        <v>4021.01</v>
      </c>
      <c r="GN464">
        <f t="shared" si="348"/>
        <v>0</v>
      </c>
      <c r="GO464">
        <f t="shared" si="349"/>
        <v>0</v>
      </c>
      <c r="GP464">
        <f t="shared" si="350"/>
        <v>4021.01</v>
      </c>
      <c r="GR464">
        <v>0</v>
      </c>
      <c r="GS464">
        <v>3</v>
      </c>
      <c r="GT464">
        <v>0</v>
      </c>
      <c r="GU464" t="s">
        <v>3</v>
      </c>
      <c r="GV464">
        <f t="shared" si="351"/>
        <v>0</v>
      </c>
      <c r="GW464">
        <v>1</v>
      </c>
      <c r="GX464">
        <f t="shared" si="352"/>
        <v>0</v>
      </c>
      <c r="HA464">
        <v>0</v>
      </c>
      <c r="HB464">
        <v>0</v>
      </c>
      <c r="HC464">
        <f t="shared" si="353"/>
        <v>0</v>
      </c>
      <c r="IK464">
        <v>0</v>
      </c>
    </row>
    <row r="465" spans="1:245" x14ac:dyDescent="0.2">
      <c r="A465">
        <v>17</v>
      </c>
      <c r="B465">
        <v>1</v>
      </c>
      <c r="E465" t="s">
        <v>3</v>
      </c>
      <c r="F465" t="s">
        <v>386</v>
      </c>
      <c r="G465" t="s">
        <v>949</v>
      </c>
      <c r="H465" t="s">
        <v>377</v>
      </c>
      <c r="I465">
        <v>1</v>
      </c>
      <c r="J465">
        <v>0</v>
      </c>
      <c r="O465">
        <f t="shared" si="314"/>
        <v>107059.59</v>
      </c>
      <c r="P465">
        <f t="shared" si="315"/>
        <v>107059.59</v>
      </c>
      <c r="Q465">
        <f t="shared" si="316"/>
        <v>0</v>
      </c>
      <c r="R465">
        <f t="shared" si="317"/>
        <v>0</v>
      </c>
      <c r="S465">
        <f t="shared" si="318"/>
        <v>0</v>
      </c>
      <c r="T465">
        <f t="shared" si="319"/>
        <v>0</v>
      </c>
      <c r="U465">
        <f t="shared" si="320"/>
        <v>0</v>
      </c>
      <c r="V465">
        <f t="shared" si="321"/>
        <v>0</v>
      </c>
      <c r="W465">
        <f t="shared" si="322"/>
        <v>0</v>
      </c>
      <c r="X465">
        <f t="shared" si="323"/>
        <v>0</v>
      </c>
      <c r="Y465">
        <f t="shared" si="324"/>
        <v>0</v>
      </c>
      <c r="AA465">
        <v>-1</v>
      </c>
      <c r="AB465">
        <f t="shared" si="325"/>
        <v>107059.59</v>
      </c>
      <c r="AC465">
        <f t="shared" si="326"/>
        <v>107059.59</v>
      </c>
      <c r="AD465">
        <f t="shared" si="327"/>
        <v>0</v>
      </c>
      <c r="AE465">
        <f t="shared" si="328"/>
        <v>0</v>
      </c>
      <c r="AF465">
        <f t="shared" si="329"/>
        <v>0</v>
      </c>
      <c r="AG465">
        <f t="shared" si="330"/>
        <v>0</v>
      </c>
      <c r="AH465">
        <f t="shared" si="331"/>
        <v>0</v>
      </c>
      <c r="AI465">
        <f t="shared" si="332"/>
        <v>0</v>
      </c>
      <c r="AJ465">
        <f t="shared" si="333"/>
        <v>0</v>
      </c>
      <c r="AK465">
        <v>107059.59</v>
      </c>
      <c r="AL465">
        <v>107059.59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70</v>
      </c>
      <c r="AU465">
        <v>10</v>
      </c>
      <c r="AV465">
        <v>1</v>
      </c>
      <c r="AW465">
        <v>1</v>
      </c>
      <c r="AZ465">
        <v>1</v>
      </c>
      <c r="BA465">
        <v>1</v>
      </c>
      <c r="BB465">
        <v>1</v>
      </c>
      <c r="BC465">
        <v>1</v>
      </c>
      <c r="BD465" t="s">
        <v>3</v>
      </c>
      <c r="BE465" t="s">
        <v>3</v>
      </c>
      <c r="BF465" t="s">
        <v>3</v>
      </c>
      <c r="BG465" t="s">
        <v>3</v>
      </c>
      <c r="BH465">
        <v>3</v>
      </c>
      <c r="BI465">
        <v>4</v>
      </c>
      <c r="BJ465" t="s">
        <v>387</v>
      </c>
      <c r="BM465">
        <v>0</v>
      </c>
      <c r="BN465">
        <v>0</v>
      </c>
      <c r="BO465" t="s">
        <v>3</v>
      </c>
      <c r="BP465">
        <v>0</v>
      </c>
      <c r="BQ465">
        <v>1</v>
      </c>
      <c r="BR465">
        <v>0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 t="s">
        <v>3</v>
      </c>
      <c r="BZ465">
        <v>70</v>
      </c>
      <c r="CA465">
        <v>10</v>
      </c>
      <c r="CE465">
        <v>0</v>
      </c>
      <c r="CF465">
        <v>0</v>
      </c>
      <c r="CG465">
        <v>0</v>
      </c>
      <c r="CM465">
        <v>0</v>
      </c>
      <c r="CN465" t="s">
        <v>3</v>
      </c>
      <c r="CO465">
        <v>0</v>
      </c>
      <c r="CP465">
        <f t="shared" si="334"/>
        <v>107059.59</v>
      </c>
      <c r="CQ465">
        <f t="shared" si="335"/>
        <v>107059.59</v>
      </c>
      <c r="CR465">
        <f t="shared" si="336"/>
        <v>0</v>
      </c>
      <c r="CS465">
        <f t="shared" si="337"/>
        <v>0</v>
      </c>
      <c r="CT465">
        <f t="shared" si="338"/>
        <v>0</v>
      </c>
      <c r="CU465">
        <f t="shared" si="339"/>
        <v>0</v>
      </c>
      <c r="CV465">
        <f t="shared" si="340"/>
        <v>0</v>
      </c>
      <c r="CW465">
        <f t="shared" si="341"/>
        <v>0</v>
      </c>
      <c r="CX465">
        <f t="shared" si="342"/>
        <v>0</v>
      </c>
      <c r="CY465">
        <f t="shared" si="343"/>
        <v>0</v>
      </c>
      <c r="CZ465">
        <f t="shared" si="344"/>
        <v>0</v>
      </c>
      <c r="DC465" t="s">
        <v>3</v>
      </c>
      <c r="DD465" t="s">
        <v>3</v>
      </c>
      <c r="DE465" t="s">
        <v>3</v>
      </c>
      <c r="DF465" t="s">
        <v>3</v>
      </c>
      <c r="DG465" t="s">
        <v>3</v>
      </c>
      <c r="DH465" t="s">
        <v>3</v>
      </c>
      <c r="DI465" t="s">
        <v>3</v>
      </c>
      <c r="DJ465" t="s">
        <v>3</v>
      </c>
      <c r="DK465" t="s">
        <v>3</v>
      </c>
      <c r="DL465" t="s">
        <v>3</v>
      </c>
      <c r="DM465" t="s">
        <v>3</v>
      </c>
      <c r="DN465">
        <v>0</v>
      </c>
      <c r="DO465">
        <v>0</v>
      </c>
      <c r="DP465">
        <v>1</v>
      </c>
      <c r="DQ465">
        <v>1</v>
      </c>
      <c r="DU465">
        <v>1013</v>
      </c>
      <c r="DV465" t="s">
        <v>377</v>
      </c>
      <c r="DW465" t="s">
        <v>377</v>
      </c>
      <c r="DX465">
        <v>1</v>
      </c>
      <c r="EE465">
        <v>67874524</v>
      </c>
      <c r="EF465">
        <v>1</v>
      </c>
      <c r="EG465" t="s">
        <v>20</v>
      </c>
      <c r="EH465">
        <v>0</v>
      </c>
      <c r="EI465" t="s">
        <v>3</v>
      </c>
      <c r="EJ465">
        <v>4</v>
      </c>
      <c r="EK465">
        <v>0</v>
      </c>
      <c r="EL465" t="s">
        <v>21</v>
      </c>
      <c r="EM465" t="s">
        <v>22</v>
      </c>
      <c r="EO465" t="s">
        <v>3</v>
      </c>
      <c r="EQ465">
        <v>1024</v>
      </c>
      <c r="ER465">
        <v>107059.59</v>
      </c>
      <c r="ES465">
        <v>107059.59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FQ465">
        <v>0</v>
      </c>
      <c r="FR465">
        <f t="shared" si="345"/>
        <v>0</v>
      </c>
      <c r="FS465">
        <v>0</v>
      </c>
      <c r="FX465">
        <v>70</v>
      </c>
      <c r="FY465">
        <v>10</v>
      </c>
      <c r="GA465" t="s">
        <v>3</v>
      </c>
      <c r="GD465">
        <v>0</v>
      </c>
      <c r="GF465">
        <v>1946374548</v>
      </c>
      <c r="GG465">
        <v>2</v>
      </c>
      <c r="GH465">
        <v>1</v>
      </c>
      <c r="GI465">
        <v>-2</v>
      </c>
      <c r="GJ465">
        <v>0</v>
      </c>
      <c r="GK465">
        <f>ROUND(R465*(R12)/100,2)</f>
        <v>0</v>
      </c>
      <c r="GL465">
        <f t="shared" si="346"/>
        <v>0</v>
      </c>
      <c r="GM465">
        <f t="shared" si="347"/>
        <v>107059.59</v>
      </c>
      <c r="GN465">
        <f t="shared" si="348"/>
        <v>0</v>
      </c>
      <c r="GO465">
        <f t="shared" si="349"/>
        <v>0</v>
      </c>
      <c r="GP465">
        <f t="shared" si="350"/>
        <v>107059.59</v>
      </c>
      <c r="GR465">
        <v>0</v>
      </c>
      <c r="GS465">
        <v>3</v>
      </c>
      <c r="GT465">
        <v>0</v>
      </c>
      <c r="GU465" t="s">
        <v>3</v>
      </c>
      <c r="GV465">
        <f t="shared" si="351"/>
        <v>0</v>
      </c>
      <c r="GW465">
        <v>1</v>
      </c>
      <c r="GX465">
        <f t="shared" si="352"/>
        <v>0</v>
      </c>
      <c r="HA465">
        <v>0</v>
      </c>
      <c r="HB465">
        <v>0</v>
      </c>
      <c r="HC465">
        <f t="shared" si="353"/>
        <v>0</v>
      </c>
      <c r="IK465">
        <v>0</v>
      </c>
    </row>
    <row r="466" spans="1:245" x14ac:dyDescent="0.2">
      <c r="A466">
        <v>17</v>
      </c>
      <c r="B466">
        <v>1</v>
      </c>
      <c r="E466" t="s">
        <v>3</v>
      </c>
      <c r="F466" t="s">
        <v>388</v>
      </c>
      <c r="G466" t="s">
        <v>389</v>
      </c>
      <c r="H466" t="s">
        <v>232</v>
      </c>
      <c r="I466">
        <v>4</v>
      </c>
      <c r="J466">
        <v>0</v>
      </c>
      <c r="O466">
        <f t="shared" si="314"/>
        <v>39372.879999999997</v>
      </c>
      <c r="P466">
        <f t="shared" si="315"/>
        <v>39372.879999999997</v>
      </c>
      <c r="Q466">
        <f t="shared" si="316"/>
        <v>0</v>
      </c>
      <c r="R466">
        <f t="shared" si="317"/>
        <v>0</v>
      </c>
      <c r="S466">
        <f t="shared" si="318"/>
        <v>0</v>
      </c>
      <c r="T466">
        <f t="shared" si="319"/>
        <v>0</v>
      </c>
      <c r="U466">
        <f t="shared" si="320"/>
        <v>0</v>
      </c>
      <c r="V466">
        <f t="shared" si="321"/>
        <v>0</v>
      </c>
      <c r="W466">
        <f t="shared" si="322"/>
        <v>0</v>
      </c>
      <c r="X466">
        <f t="shared" si="323"/>
        <v>0</v>
      </c>
      <c r="Y466">
        <f t="shared" si="324"/>
        <v>0</v>
      </c>
      <c r="AA466">
        <v>-1</v>
      </c>
      <c r="AB466">
        <f t="shared" si="325"/>
        <v>9843.2199999999993</v>
      </c>
      <c r="AC466">
        <f t="shared" si="326"/>
        <v>9843.2199999999993</v>
      </c>
      <c r="AD466">
        <f t="shared" si="327"/>
        <v>0</v>
      </c>
      <c r="AE466">
        <f t="shared" si="328"/>
        <v>0</v>
      </c>
      <c r="AF466">
        <f t="shared" si="329"/>
        <v>0</v>
      </c>
      <c r="AG466">
        <f t="shared" si="330"/>
        <v>0</v>
      </c>
      <c r="AH466">
        <f t="shared" si="331"/>
        <v>0</v>
      </c>
      <c r="AI466">
        <f t="shared" si="332"/>
        <v>0</v>
      </c>
      <c r="AJ466">
        <f t="shared" si="333"/>
        <v>0</v>
      </c>
      <c r="AK466">
        <v>9843.2199999999993</v>
      </c>
      <c r="AL466">
        <v>9843.2199999999993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70</v>
      </c>
      <c r="AU466">
        <v>10</v>
      </c>
      <c r="AV466">
        <v>1</v>
      </c>
      <c r="AW466">
        <v>1</v>
      </c>
      <c r="AZ466">
        <v>1</v>
      </c>
      <c r="BA466">
        <v>1</v>
      </c>
      <c r="BB466">
        <v>1</v>
      </c>
      <c r="BC466">
        <v>1</v>
      </c>
      <c r="BD466" t="s">
        <v>3</v>
      </c>
      <c r="BE466" t="s">
        <v>3</v>
      </c>
      <c r="BF466" t="s">
        <v>3</v>
      </c>
      <c r="BG466" t="s">
        <v>3</v>
      </c>
      <c r="BH466">
        <v>3</v>
      </c>
      <c r="BI466">
        <v>4</v>
      </c>
      <c r="BJ466" t="s">
        <v>390</v>
      </c>
      <c r="BM466">
        <v>0</v>
      </c>
      <c r="BN466">
        <v>0</v>
      </c>
      <c r="BO466" t="s">
        <v>3</v>
      </c>
      <c r="BP466">
        <v>0</v>
      </c>
      <c r="BQ466">
        <v>1</v>
      </c>
      <c r="BR466">
        <v>0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 t="s">
        <v>3</v>
      </c>
      <c r="BZ466">
        <v>70</v>
      </c>
      <c r="CA466">
        <v>10</v>
      </c>
      <c r="CE466">
        <v>0</v>
      </c>
      <c r="CF466">
        <v>0</v>
      </c>
      <c r="CG466">
        <v>0</v>
      </c>
      <c r="CM466">
        <v>0</v>
      </c>
      <c r="CN466" t="s">
        <v>3</v>
      </c>
      <c r="CO466">
        <v>0</v>
      </c>
      <c r="CP466">
        <f t="shared" si="334"/>
        <v>39372.879999999997</v>
      </c>
      <c r="CQ466">
        <f t="shared" si="335"/>
        <v>9843.2199999999993</v>
      </c>
      <c r="CR466">
        <f t="shared" si="336"/>
        <v>0</v>
      </c>
      <c r="CS466">
        <f t="shared" si="337"/>
        <v>0</v>
      </c>
      <c r="CT466">
        <f t="shared" si="338"/>
        <v>0</v>
      </c>
      <c r="CU466">
        <f t="shared" si="339"/>
        <v>0</v>
      </c>
      <c r="CV466">
        <f t="shared" si="340"/>
        <v>0</v>
      </c>
      <c r="CW466">
        <f t="shared" si="341"/>
        <v>0</v>
      </c>
      <c r="CX466">
        <f t="shared" si="342"/>
        <v>0</v>
      </c>
      <c r="CY466">
        <f t="shared" si="343"/>
        <v>0</v>
      </c>
      <c r="CZ466">
        <f t="shared" si="344"/>
        <v>0</v>
      </c>
      <c r="DC466" t="s">
        <v>3</v>
      </c>
      <c r="DD466" t="s">
        <v>3</v>
      </c>
      <c r="DE466" t="s">
        <v>3</v>
      </c>
      <c r="DF466" t="s">
        <v>3</v>
      </c>
      <c r="DG466" t="s">
        <v>3</v>
      </c>
      <c r="DH466" t="s">
        <v>3</v>
      </c>
      <c r="DI466" t="s">
        <v>3</v>
      </c>
      <c r="DJ466" t="s">
        <v>3</v>
      </c>
      <c r="DK466" t="s">
        <v>3</v>
      </c>
      <c r="DL466" t="s">
        <v>3</v>
      </c>
      <c r="DM466" t="s">
        <v>3</v>
      </c>
      <c r="DN466">
        <v>0</v>
      </c>
      <c r="DO466">
        <v>0</v>
      </c>
      <c r="DP466">
        <v>1</v>
      </c>
      <c r="DQ466">
        <v>1</v>
      </c>
      <c r="DU466">
        <v>1010</v>
      </c>
      <c r="DV466" t="s">
        <v>232</v>
      </c>
      <c r="DW466" t="s">
        <v>232</v>
      </c>
      <c r="DX466">
        <v>1</v>
      </c>
      <c r="EE466">
        <v>67874524</v>
      </c>
      <c r="EF466">
        <v>1</v>
      </c>
      <c r="EG466" t="s">
        <v>20</v>
      </c>
      <c r="EH466">
        <v>0</v>
      </c>
      <c r="EI466" t="s">
        <v>3</v>
      </c>
      <c r="EJ466">
        <v>4</v>
      </c>
      <c r="EK466">
        <v>0</v>
      </c>
      <c r="EL466" t="s">
        <v>21</v>
      </c>
      <c r="EM466" t="s">
        <v>22</v>
      </c>
      <c r="EO466" t="s">
        <v>3</v>
      </c>
      <c r="EQ466">
        <v>1024</v>
      </c>
      <c r="ER466">
        <v>9843.2199999999993</v>
      </c>
      <c r="ES466">
        <v>9843.2199999999993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FQ466">
        <v>0</v>
      </c>
      <c r="FR466">
        <f t="shared" si="345"/>
        <v>0</v>
      </c>
      <c r="FS466">
        <v>0</v>
      </c>
      <c r="FX466">
        <v>70</v>
      </c>
      <c r="FY466">
        <v>10</v>
      </c>
      <c r="GA466" t="s">
        <v>3</v>
      </c>
      <c r="GD466">
        <v>0</v>
      </c>
      <c r="GF466">
        <v>1950113981</v>
      </c>
      <c r="GG466">
        <v>2</v>
      </c>
      <c r="GH466">
        <v>1</v>
      </c>
      <c r="GI466">
        <v>-2</v>
      </c>
      <c r="GJ466">
        <v>0</v>
      </c>
      <c r="GK466">
        <f>ROUND(R466*(R12)/100,2)</f>
        <v>0</v>
      </c>
      <c r="GL466">
        <f t="shared" si="346"/>
        <v>0</v>
      </c>
      <c r="GM466">
        <f t="shared" si="347"/>
        <v>39372.879999999997</v>
      </c>
      <c r="GN466">
        <f t="shared" si="348"/>
        <v>0</v>
      </c>
      <c r="GO466">
        <f t="shared" si="349"/>
        <v>0</v>
      </c>
      <c r="GP466">
        <f t="shared" si="350"/>
        <v>39372.879999999997</v>
      </c>
      <c r="GR466">
        <v>0</v>
      </c>
      <c r="GS466">
        <v>3</v>
      </c>
      <c r="GT466">
        <v>0</v>
      </c>
      <c r="GU466" t="s">
        <v>3</v>
      </c>
      <c r="GV466">
        <f t="shared" si="351"/>
        <v>0</v>
      </c>
      <c r="GW466">
        <v>1</v>
      </c>
      <c r="GX466">
        <f t="shared" si="352"/>
        <v>0</v>
      </c>
      <c r="HA466">
        <v>0</v>
      </c>
      <c r="HB466">
        <v>0</v>
      </c>
      <c r="HC466">
        <f t="shared" si="353"/>
        <v>0</v>
      </c>
      <c r="IK466">
        <v>0</v>
      </c>
    </row>
    <row r="468" spans="1:245" x14ac:dyDescent="0.2">
      <c r="A468">
        <v>51</v>
      </c>
      <c r="B468">
        <f>B451</f>
        <v>1</v>
      </c>
      <c r="C468">
        <f>A451</f>
        <v>4</v>
      </c>
      <c r="D468">
        <f>ROW(A451)</f>
        <v>451</v>
      </c>
      <c r="F468" t="str">
        <f>IF(F451&lt;&gt;"",F451,"")</f>
        <v>Новый раздел</v>
      </c>
      <c r="G468" t="str">
        <f>IF(G451&lt;&gt;"",G451,"")</f>
        <v>Общие МАФ</v>
      </c>
      <c r="H468">
        <v>0</v>
      </c>
      <c r="O468">
        <f t="shared" ref="O468:T468" si="354">ROUND(AB468,2)</f>
        <v>1587633.53</v>
      </c>
      <c r="P468">
        <f t="shared" si="354"/>
        <v>1586953.61</v>
      </c>
      <c r="Q468">
        <f t="shared" si="354"/>
        <v>0</v>
      </c>
      <c r="R468">
        <f t="shared" si="354"/>
        <v>0</v>
      </c>
      <c r="S468">
        <f t="shared" si="354"/>
        <v>679.92</v>
      </c>
      <c r="T468">
        <f t="shared" si="354"/>
        <v>0</v>
      </c>
      <c r="U468">
        <f>AH468</f>
        <v>2.8632</v>
      </c>
      <c r="V468">
        <f>AI468</f>
        <v>0</v>
      </c>
      <c r="W468">
        <f>ROUND(AJ468,2)</f>
        <v>0</v>
      </c>
      <c r="X468">
        <f>ROUND(AK468,2)</f>
        <v>475.94</v>
      </c>
      <c r="Y468">
        <f>ROUND(AL468,2)</f>
        <v>67.989999999999995</v>
      </c>
      <c r="AB468">
        <f>ROUND(SUMIF(AA455:AA466,"=71209905",O455:O466),2)</f>
        <v>1587633.53</v>
      </c>
      <c r="AC468">
        <f>ROUND(SUMIF(AA455:AA466,"=71209905",P455:P466),2)</f>
        <v>1586953.61</v>
      </c>
      <c r="AD468">
        <f>ROUND(SUMIF(AA455:AA466,"=71209905",Q455:Q466),2)</f>
        <v>0</v>
      </c>
      <c r="AE468">
        <f>ROUND(SUMIF(AA455:AA466,"=71209905",R455:R466),2)</f>
        <v>0</v>
      </c>
      <c r="AF468">
        <f>ROUND(SUMIF(AA455:AA466,"=71209905",S455:S466),2)</f>
        <v>679.92</v>
      </c>
      <c r="AG468">
        <f>ROUND(SUMIF(AA455:AA466,"=71209905",T455:T466),2)</f>
        <v>0</v>
      </c>
      <c r="AH468">
        <f>SUMIF(AA455:AA466,"=71209905",U455:U466)</f>
        <v>2.8632</v>
      </c>
      <c r="AI468">
        <f>SUMIF(AA455:AA466,"=71209905",V455:V466)</f>
        <v>0</v>
      </c>
      <c r="AJ468">
        <f>ROUND(SUMIF(AA455:AA466,"=71209905",W455:W466),2)</f>
        <v>0</v>
      </c>
      <c r="AK468">
        <f>ROUND(SUMIF(AA455:AA466,"=71209905",X455:X466),2)</f>
        <v>475.94</v>
      </c>
      <c r="AL468">
        <f>ROUND(SUMIF(AA455:AA466,"=71209905",Y455:Y466),2)</f>
        <v>67.989999999999995</v>
      </c>
      <c r="AO468">
        <f t="shared" ref="AO468:BD468" si="355">ROUND(BX468,2)</f>
        <v>0</v>
      </c>
      <c r="AP468">
        <f t="shared" si="355"/>
        <v>0</v>
      </c>
      <c r="AQ468">
        <f t="shared" si="355"/>
        <v>0</v>
      </c>
      <c r="AR468">
        <f t="shared" si="355"/>
        <v>1588177.46</v>
      </c>
      <c r="AS468">
        <f t="shared" si="355"/>
        <v>0</v>
      </c>
      <c r="AT468">
        <f t="shared" si="355"/>
        <v>0</v>
      </c>
      <c r="AU468">
        <f t="shared" si="355"/>
        <v>1588177.46</v>
      </c>
      <c r="AV468">
        <f t="shared" si="355"/>
        <v>1586953.61</v>
      </c>
      <c r="AW468">
        <f t="shared" si="355"/>
        <v>1586953.61</v>
      </c>
      <c r="AX468">
        <f t="shared" si="355"/>
        <v>0</v>
      </c>
      <c r="AY468">
        <f t="shared" si="355"/>
        <v>1586953.61</v>
      </c>
      <c r="AZ468">
        <f t="shared" si="355"/>
        <v>0</v>
      </c>
      <c r="BA468">
        <f t="shared" si="355"/>
        <v>0</v>
      </c>
      <c r="BB468">
        <f t="shared" si="355"/>
        <v>0</v>
      </c>
      <c r="BC468">
        <f t="shared" si="355"/>
        <v>0</v>
      </c>
      <c r="BD468">
        <f t="shared" si="355"/>
        <v>0</v>
      </c>
      <c r="BX468">
        <f>ROUND(SUMIF(AA455:AA466,"=71209905",FQ455:FQ466),2)</f>
        <v>0</v>
      </c>
      <c r="BY468">
        <f>ROUND(SUMIF(AA455:AA466,"=71209905",FR455:FR466),2)</f>
        <v>0</v>
      </c>
      <c r="BZ468">
        <f>ROUND(SUMIF(AA455:AA466,"=71209905",GL455:GL466),2)</f>
        <v>0</v>
      </c>
      <c r="CA468">
        <f>ROUND(SUMIF(AA455:AA466,"=71209905",GM455:GM466),2)</f>
        <v>1588177.46</v>
      </c>
      <c r="CB468">
        <f>ROUND(SUMIF(AA455:AA466,"=71209905",GN455:GN466),2)</f>
        <v>0</v>
      </c>
      <c r="CC468">
        <f>ROUND(SUMIF(AA455:AA466,"=71209905",GO455:GO466),2)</f>
        <v>0</v>
      </c>
      <c r="CD468">
        <f>ROUND(SUMIF(AA455:AA466,"=71209905",GP455:GP466),2)</f>
        <v>1588177.46</v>
      </c>
      <c r="CE468">
        <f>AC468-BX468</f>
        <v>1586953.61</v>
      </c>
      <c r="CF468">
        <f>AC468-BY468</f>
        <v>1586953.61</v>
      </c>
      <c r="CG468">
        <f>BX468-BZ468</f>
        <v>0</v>
      </c>
      <c r="CH468">
        <f>AC468-BX468-BY468+BZ468</f>
        <v>1586953.61</v>
      </c>
      <c r="CI468">
        <f>BY468-BZ468</f>
        <v>0</v>
      </c>
      <c r="CJ468">
        <f>ROUND(SUMIF(AA455:AA466,"=71209905",GX455:GX466),2)</f>
        <v>0</v>
      </c>
      <c r="CK468">
        <f>ROUND(SUMIF(AA455:AA466,"=71209905",GY455:GY466),2)</f>
        <v>0</v>
      </c>
      <c r="CL468">
        <f>ROUND(SUMIF(AA455:AA466,"=71209905",GZ455:GZ466),2)</f>
        <v>0</v>
      </c>
      <c r="CM468">
        <f>ROUND(SUMIF(AA455:AA466,"=71209905",HD455:HD466),2)</f>
        <v>0</v>
      </c>
      <c r="GX468">
        <v>0</v>
      </c>
    </row>
    <row r="470" spans="1:245" x14ac:dyDescent="0.2">
      <c r="A470">
        <v>50</v>
      </c>
      <c r="B470">
        <v>0</v>
      </c>
      <c r="C470">
        <v>0</v>
      </c>
      <c r="D470">
        <v>1</v>
      </c>
      <c r="E470">
        <v>201</v>
      </c>
      <c r="F470">
        <f>ROUND(Source!O468,O470)</f>
        <v>1587633.53</v>
      </c>
      <c r="G470" t="s">
        <v>142</v>
      </c>
      <c r="H470" t="s">
        <v>143</v>
      </c>
      <c r="K470">
        <v>201</v>
      </c>
      <c r="L470">
        <v>1</v>
      </c>
      <c r="M470">
        <v>3</v>
      </c>
      <c r="N470" t="s">
        <v>3</v>
      </c>
      <c r="O470">
        <v>2</v>
      </c>
    </row>
    <row r="471" spans="1:245" x14ac:dyDescent="0.2">
      <c r="A471">
        <v>50</v>
      </c>
      <c r="B471">
        <v>0</v>
      </c>
      <c r="C471">
        <v>0</v>
      </c>
      <c r="D471">
        <v>1</v>
      </c>
      <c r="E471">
        <v>202</v>
      </c>
      <c r="F471">
        <f>ROUND(Source!P468,O471)</f>
        <v>1586953.61</v>
      </c>
      <c r="G471" t="s">
        <v>144</v>
      </c>
      <c r="H471" t="s">
        <v>145</v>
      </c>
      <c r="K471">
        <v>202</v>
      </c>
      <c r="L471">
        <v>2</v>
      </c>
      <c r="M471">
        <v>3</v>
      </c>
      <c r="N471" t="s">
        <v>3</v>
      </c>
      <c r="O471">
        <v>2</v>
      </c>
    </row>
    <row r="472" spans="1:245" x14ac:dyDescent="0.2">
      <c r="A472">
        <v>50</v>
      </c>
      <c r="B472">
        <v>0</v>
      </c>
      <c r="C472">
        <v>0</v>
      </c>
      <c r="D472">
        <v>1</v>
      </c>
      <c r="E472">
        <v>222</v>
      </c>
      <c r="F472">
        <f>ROUND(Source!AO468,O472)</f>
        <v>0</v>
      </c>
      <c r="G472" t="s">
        <v>146</v>
      </c>
      <c r="H472" t="s">
        <v>147</v>
      </c>
      <c r="K472">
        <v>222</v>
      </c>
      <c r="L472">
        <v>3</v>
      </c>
      <c r="M472">
        <v>3</v>
      </c>
      <c r="N472" t="s">
        <v>3</v>
      </c>
      <c r="O472">
        <v>2</v>
      </c>
    </row>
    <row r="473" spans="1:245" x14ac:dyDescent="0.2">
      <c r="A473">
        <v>50</v>
      </c>
      <c r="B473">
        <v>0</v>
      </c>
      <c r="C473">
        <v>0</v>
      </c>
      <c r="D473">
        <v>1</v>
      </c>
      <c r="E473">
        <v>225</v>
      </c>
      <c r="F473">
        <f>ROUND(Source!AV468,O473)</f>
        <v>1586953.61</v>
      </c>
      <c r="G473" t="s">
        <v>148</v>
      </c>
      <c r="H473" t="s">
        <v>149</v>
      </c>
      <c r="K473">
        <v>225</v>
      </c>
      <c r="L473">
        <v>4</v>
      </c>
      <c r="M473">
        <v>3</v>
      </c>
      <c r="N473" t="s">
        <v>3</v>
      </c>
      <c r="O473">
        <v>2</v>
      </c>
    </row>
    <row r="474" spans="1:245" x14ac:dyDescent="0.2">
      <c r="A474">
        <v>50</v>
      </c>
      <c r="B474">
        <v>0</v>
      </c>
      <c r="C474">
        <v>0</v>
      </c>
      <c r="D474">
        <v>1</v>
      </c>
      <c r="E474">
        <v>226</v>
      </c>
      <c r="F474">
        <f>ROUND(Source!AW468,O474)</f>
        <v>1586953.61</v>
      </c>
      <c r="G474" t="s">
        <v>150</v>
      </c>
      <c r="H474" t="s">
        <v>151</v>
      </c>
      <c r="K474">
        <v>226</v>
      </c>
      <c r="L474">
        <v>5</v>
      </c>
      <c r="M474">
        <v>3</v>
      </c>
      <c r="N474" t="s">
        <v>3</v>
      </c>
      <c r="O474">
        <v>2</v>
      </c>
    </row>
    <row r="475" spans="1:245" x14ac:dyDescent="0.2">
      <c r="A475">
        <v>50</v>
      </c>
      <c r="B475">
        <v>0</v>
      </c>
      <c r="C475">
        <v>0</v>
      </c>
      <c r="D475">
        <v>1</v>
      </c>
      <c r="E475">
        <v>227</v>
      </c>
      <c r="F475">
        <f>ROUND(Source!AX468,O475)</f>
        <v>0</v>
      </c>
      <c r="G475" t="s">
        <v>152</v>
      </c>
      <c r="H475" t="s">
        <v>153</v>
      </c>
      <c r="K475">
        <v>227</v>
      </c>
      <c r="L475">
        <v>6</v>
      </c>
      <c r="M475">
        <v>3</v>
      </c>
      <c r="N475" t="s">
        <v>3</v>
      </c>
      <c r="O475">
        <v>2</v>
      </c>
    </row>
    <row r="476" spans="1:245" x14ac:dyDescent="0.2">
      <c r="A476">
        <v>50</v>
      </c>
      <c r="B476">
        <v>0</v>
      </c>
      <c r="C476">
        <v>0</v>
      </c>
      <c r="D476">
        <v>1</v>
      </c>
      <c r="E476">
        <v>228</v>
      </c>
      <c r="F476">
        <f>ROUND(Source!AY468,O476)</f>
        <v>1586953.61</v>
      </c>
      <c r="G476" t="s">
        <v>154</v>
      </c>
      <c r="H476" t="s">
        <v>155</v>
      </c>
      <c r="K476">
        <v>228</v>
      </c>
      <c r="L476">
        <v>7</v>
      </c>
      <c r="M476">
        <v>3</v>
      </c>
      <c r="N476" t="s">
        <v>3</v>
      </c>
      <c r="O476">
        <v>2</v>
      </c>
    </row>
    <row r="477" spans="1:245" x14ac:dyDescent="0.2">
      <c r="A477">
        <v>50</v>
      </c>
      <c r="B477">
        <v>0</v>
      </c>
      <c r="C477">
        <v>0</v>
      </c>
      <c r="D477">
        <v>1</v>
      </c>
      <c r="E477">
        <v>216</v>
      </c>
      <c r="F477">
        <f>ROUND(Source!AP468,O477)</f>
        <v>0</v>
      </c>
      <c r="G477" t="s">
        <v>156</v>
      </c>
      <c r="H477" t="s">
        <v>157</v>
      </c>
      <c r="K477">
        <v>216</v>
      </c>
      <c r="L477">
        <v>8</v>
      </c>
      <c r="M477">
        <v>3</v>
      </c>
      <c r="N477" t="s">
        <v>3</v>
      </c>
      <c r="O477">
        <v>2</v>
      </c>
    </row>
    <row r="478" spans="1:245" x14ac:dyDescent="0.2">
      <c r="A478">
        <v>50</v>
      </c>
      <c r="B478">
        <v>0</v>
      </c>
      <c r="C478">
        <v>0</v>
      </c>
      <c r="D478">
        <v>1</v>
      </c>
      <c r="E478">
        <v>223</v>
      </c>
      <c r="F478">
        <f>ROUND(Source!AQ468,O478)</f>
        <v>0</v>
      </c>
      <c r="G478" t="s">
        <v>158</v>
      </c>
      <c r="H478" t="s">
        <v>159</v>
      </c>
      <c r="K478">
        <v>223</v>
      </c>
      <c r="L478">
        <v>9</v>
      </c>
      <c r="M478">
        <v>3</v>
      </c>
      <c r="N478" t="s">
        <v>3</v>
      </c>
      <c r="O478">
        <v>2</v>
      </c>
    </row>
    <row r="479" spans="1:245" x14ac:dyDescent="0.2">
      <c r="A479">
        <v>50</v>
      </c>
      <c r="B479">
        <v>0</v>
      </c>
      <c r="C479">
        <v>0</v>
      </c>
      <c r="D479">
        <v>1</v>
      </c>
      <c r="E479">
        <v>229</v>
      </c>
      <c r="F479">
        <f>ROUND(Source!AZ468,O479)</f>
        <v>0</v>
      </c>
      <c r="G479" t="s">
        <v>160</v>
      </c>
      <c r="H479" t="s">
        <v>161</v>
      </c>
      <c r="K479">
        <v>229</v>
      </c>
      <c r="L479">
        <v>10</v>
      </c>
      <c r="M479">
        <v>3</v>
      </c>
      <c r="N479" t="s">
        <v>3</v>
      </c>
      <c r="O479">
        <v>2</v>
      </c>
    </row>
    <row r="480" spans="1:245" x14ac:dyDescent="0.2">
      <c r="A480">
        <v>50</v>
      </c>
      <c r="B480">
        <v>0</v>
      </c>
      <c r="C480">
        <v>0</v>
      </c>
      <c r="D480">
        <v>1</v>
      </c>
      <c r="E480">
        <v>203</v>
      </c>
      <c r="F480">
        <f>ROUND(Source!Q468,O480)</f>
        <v>0</v>
      </c>
      <c r="G480" t="s">
        <v>162</v>
      </c>
      <c r="H480" t="s">
        <v>163</v>
      </c>
      <c r="K480">
        <v>203</v>
      </c>
      <c r="L480">
        <v>11</v>
      </c>
      <c r="M480">
        <v>3</v>
      </c>
      <c r="N480" t="s">
        <v>3</v>
      </c>
      <c r="O480">
        <v>2</v>
      </c>
    </row>
    <row r="481" spans="1:15" x14ac:dyDescent="0.2">
      <c r="A481">
        <v>50</v>
      </c>
      <c r="B481">
        <v>0</v>
      </c>
      <c r="C481">
        <v>0</v>
      </c>
      <c r="D481">
        <v>1</v>
      </c>
      <c r="E481">
        <v>231</v>
      </c>
      <c r="F481">
        <f>ROUND(Source!BB468,O481)</f>
        <v>0</v>
      </c>
      <c r="G481" t="s">
        <v>164</v>
      </c>
      <c r="H481" t="s">
        <v>165</v>
      </c>
      <c r="K481">
        <v>231</v>
      </c>
      <c r="L481">
        <v>12</v>
      </c>
      <c r="M481">
        <v>3</v>
      </c>
      <c r="N481" t="s">
        <v>3</v>
      </c>
      <c r="O481">
        <v>2</v>
      </c>
    </row>
    <row r="482" spans="1:15" x14ac:dyDescent="0.2">
      <c r="A482">
        <v>50</v>
      </c>
      <c r="B482">
        <v>0</v>
      </c>
      <c r="C482">
        <v>0</v>
      </c>
      <c r="D482">
        <v>1</v>
      </c>
      <c r="E482">
        <v>204</v>
      </c>
      <c r="F482">
        <f>ROUND(Source!R468,O482)</f>
        <v>0</v>
      </c>
      <c r="G482" t="s">
        <v>166</v>
      </c>
      <c r="H482" t="s">
        <v>167</v>
      </c>
      <c r="K482">
        <v>204</v>
      </c>
      <c r="L482">
        <v>13</v>
      </c>
      <c r="M482">
        <v>3</v>
      </c>
      <c r="N482" t="s">
        <v>3</v>
      </c>
      <c r="O482">
        <v>2</v>
      </c>
    </row>
    <row r="483" spans="1:15" x14ac:dyDescent="0.2">
      <c r="A483">
        <v>50</v>
      </c>
      <c r="B483">
        <v>0</v>
      </c>
      <c r="C483">
        <v>0</v>
      </c>
      <c r="D483">
        <v>1</v>
      </c>
      <c r="E483">
        <v>205</v>
      </c>
      <c r="F483">
        <f>ROUND(Source!S468,O483)</f>
        <v>679.92</v>
      </c>
      <c r="G483" t="s">
        <v>168</v>
      </c>
      <c r="H483" t="s">
        <v>169</v>
      </c>
      <c r="K483">
        <v>205</v>
      </c>
      <c r="L483">
        <v>14</v>
      </c>
      <c r="M483">
        <v>3</v>
      </c>
      <c r="N483" t="s">
        <v>3</v>
      </c>
      <c r="O483">
        <v>2</v>
      </c>
    </row>
    <row r="484" spans="1:15" x14ac:dyDescent="0.2">
      <c r="A484">
        <v>50</v>
      </c>
      <c r="B484">
        <v>0</v>
      </c>
      <c r="C484">
        <v>0</v>
      </c>
      <c r="D484">
        <v>1</v>
      </c>
      <c r="E484">
        <v>232</v>
      </c>
      <c r="F484">
        <f>ROUND(Source!BC468,O484)</f>
        <v>0</v>
      </c>
      <c r="G484" t="s">
        <v>170</v>
      </c>
      <c r="H484" t="s">
        <v>171</v>
      </c>
      <c r="K484">
        <v>232</v>
      </c>
      <c r="L484">
        <v>15</v>
      </c>
      <c r="M484">
        <v>3</v>
      </c>
      <c r="N484" t="s">
        <v>3</v>
      </c>
      <c r="O484">
        <v>2</v>
      </c>
    </row>
    <row r="485" spans="1:15" x14ac:dyDescent="0.2">
      <c r="A485">
        <v>50</v>
      </c>
      <c r="B485">
        <v>0</v>
      </c>
      <c r="C485">
        <v>0</v>
      </c>
      <c r="D485">
        <v>1</v>
      </c>
      <c r="E485">
        <v>214</v>
      </c>
      <c r="F485">
        <f>ROUND(Source!AS468,O485)</f>
        <v>0</v>
      </c>
      <c r="G485" t="s">
        <v>172</v>
      </c>
      <c r="H485" t="s">
        <v>173</v>
      </c>
      <c r="K485">
        <v>214</v>
      </c>
      <c r="L485">
        <v>16</v>
      </c>
      <c r="M485">
        <v>3</v>
      </c>
      <c r="N485" t="s">
        <v>3</v>
      </c>
      <c r="O485">
        <v>2</v>
      </c>
    </row>
    <row r="486" spans="1:15" x14ac:dyDescent="0.2">
      <c r="A486">
        <v>50</v>
      </c>
      <c r="B486">
        <v>0</v>
      </c>
      <c r="C486">
        <v>0</v>
      </c>
      <c r="D486">
        <v>1</v>
      </c>
      <c r="E486">
        <v>215</v>
      </c>
      <c r="F486">
        <f>ROUND(Source!AT468,O486)</f>
        <v>0</v>
      </c>
      <c r="G486" t="s">
        <v>174</v>
      </c>
      <c r="H486" t="s">
        <v>175</v>
      </c>
      <c r="K486">
        <v>215</v>
      </c>
      <c r="L486">
        <v>17</v>
      </c>
      <c r="M486">
        <v>3</v>
      </c>
      <c r="N486" t="s">
        <v>3</v>
      </c>
      <c r="O486">
        <v>2</v>
      </c>
    </row>
    <row r="487" spans="1:15" x14ac:dyDescent="0.2">
      <c r="A487">
        <v>50</v>
      </c>
      <c r="B487">
        <v>0</v>
      </c>
      <c r="C487">
        <v>0</v>
      </c>
      <c r="D487">
        <v>1</v>
      </c>
      <c r="E487">
        <v>217</v>
      </c>
      <c r="F487">
        <f>ROUND(Source!AU468,O487)</f>
        <v>1588177.46</v>
      </c>
      <c r="G487" t="s">
        <v>176</v>
      </c>
      <c r="H487" t="s">
        <v>177</v>
      </c>
      <c r="K487">
        <v>217</v>
      </c>
      <c r="L487">
        <v>18</v>
      </c>
      <c r="M487">
        <v>3</v>
      </c>
      <c r="N487" t="s">
        <v>3</v>
      </c>
      <c r="O487">
        <v>2</v>
      </c>
    </row>
    <row r="488" spans="1:15" x14ac:dyDescent="0.2">
      <c r="A488">
        <v>50</v>
      </c>
      <c r="B488">
        <v>0</v>
      </c>
      <c r="C488">
        <v>0</v>
      </c>
      <c r="D488">
        <v>1</v>
      </c>
      <c r="E488">
        <v>230</v>
      </c>
      <c r="F488">
        <f>ROUND(Source!BA468,O488)</f>
        <v>0</v>
      </c>
      <c r="G488" t="s">
        <v>178</v>
      </c>
      <c r="H488" t="s">
        <v>179</v>
      </c>
      <c r="K488">
        <v>230</v>
      </c>
      <c r="L488">
        <v>19</v>
      </c>
      <c r="M488">
        <v>3</v>
      </c>
      <c r="N488" t="s">
        <v>3</v>
      </c>
      <c r="O488">
        <v>2</v>
      </c>
    </row>
    <row r="489" spans="1:15" x14ac:dyDescent="0.2">
      <c r="A489">
        <v>50</v>
      </c>
      <c r="B489">
        <v>0</v>
      </c>
      <c r="C489">
        <v>0</v>
      </c>
      <c r="D489">
        <v>1</v>
      </c>
      <c r="E489">
        <v>206</v>
      </c>
      <c r="F489">
        <f>ROUND(Source!T468,O489)</f>
        <v>0</v>
      </c>
      <c r="G489" t="s">
        <v>180</v>
      </c>
      <c r="H489" t="s">
        <v>181</v>
      </c>
      <c r="K489">
        <v>206</v>
      </c>
      <c r="L489">
        <v>20</v>
      </c>
      <c r="M489">
        <v>3</v>
      </c>
      <c r="N489" t="s">
        <v>3</v>
      </c>
      <c r="O489">
        <v>2</v>
      </c>
    </row>
    <row r="490" spans="1:15" x14ac:dyDescent="0.2">
      <c r="A490">
        <v>50</v>
      </c>
      <c r="B490">
        <v>0</v>
      </c>
      <c r="C490">
        <v>0</v>
      </c>
      <c r="D490">
        <v>1</v>
      </c>
      <c r="E490">
        <v>207</v>
      </c>
      <c r="F490">
        <f>Source!U468</f>
        <v>2.8632</v>
      </c>
      <c r="G490" t="s">
        <v>182</v>
      </c>
      <c r="H490" t="s">
        <v>183</v>
      </c>
      <c r="K490">
        <v>207</v>
      </c>
      <c r="L490">
        <v>21</v>
      </c>
      <c r="M490">
        <v>3</v>
      </c>
      <c r="N490" t="s">
        <v>3</v>
      </c>
      <c r="O490">
        <v>-1</v>
      </c>
    </row>
    <row r="491" spans="1:15" x14ac:dyDescent="0.2">
      <c r="A491">
        <v>50</v>
      </c>
      <c r="B491">
        <v>0</v>
      </c>
      <c r="C491">
        <v>0</v>
      </c>
      <c r="D491">
        <v>1</v>
      </c>
      <c r="E491">
        <v>208</v>
      </c>
      <c r="F491">
        <f>Source!V468</f>
        <v>0</v>
      </c>
      <c r="G491" t="s">
        <v>184</v>
      </c>
      <c r="H491" t="s">
        <v>185</v>
      </c>
      <c r="K491">
        <v>208</v>
      </c>
      <c r="L491">
        <v>22</v>
      </c>
      <c r="M491">
        <v>3</v>
      </c>
      <c r="N491" t="s">
        <v>3</v>
      </c>
      <c r="O491">
        <v>-1</v>
      </c>
    </row>
    <row r="492" spans="1:15" x14ac:dyDescent="0.2">
      <c r="A492">
        <v>50</v>
      </c>
      <c r="B492">
        <v>0</v>
      </c>
      <c r="C492">
        <v>0</v>
      </c>
      <c r="D492">
        <v>1</v>
      </c>
      <c r="E492">
        <v>209</v>
      </c>
      <c r="F492">
        <f>ROUND(Source!W468,O492)</f>
        <v>0</v>
      </c>
      <c r="G492" t="s">
        <v>186</v>
      </c>
      <c r="H492" t="s">
        <v>187</v>
      </c>
      <c r="K492">
        <v>209</v>
      </c>
      <c r="L492">
        <v>23</v>
      </c>
      <c r="M492">
        <v>3</v>
      </c>
      <c r="N492" t="s">
        <v>3</v>
      </c>
      <c r="O492">
        <v>2</v>
      </c>
    </row>
    <row r="493" spans="1:15" x14ac:dyDescent="0.2">
      <c r="A493">
        <v>50</v>
      </c>
      <c r="B493">
        <v>0</v>
      </c>
      <c r="C493">
        <v>0</v>
      </c>
      <c r="D493">
        <v>1</v>
      </c>
      <c r="E493">
        <v>233</v>
      </c>
      <c r="F493">
        <f>ROUND(Source!BD468,O493)</f>
        <v>0</v>
      </c>
      <c r="G493" t="s">
        <v>188</v>
      </c>
      <c r="H493" t="s">
        <v>189</v>
      </c>
      <c r="K493">
        <v>233</v>
      </c>
      <c r="L493">
        <v>24</v>
      </c>
      <c r="M493">
        <v>3</v>
      </c>
      <c r="N493" t="s">
        <v>3</v>
      </c>
      <c r="O493">
        <v>2</v>
      </c>
    </row>
    <row r="494" spans="1:15" x14ac:dyDescent="0.2">
      <c r="A494">
        <v>50</v>
      </c>
      <c r="B494">
        <v>0</v>
      </c>
      <c r="C494">
        <v>0</v>
      </c>
      <c r="D494">
        <v>1</v>
      </c>
      <c r="E494">
        <v>210</v>
      </c>
      <c r="F494">
        <f>ROUND(Source!X468,O494)</f>
        <v>475.94</v>
      </c>
      <c r="G494" t="s">
        <v>190</v>
      </c>
      <c r="H494" t="s">
        <v>191</v>
      </c>
      <c r="K494">
        <v>210</v>
      </c>
      <c r="L494">
        <v>25</v>
      </c>
      <c r="M494">
        <v>3</v>
      </c>
      <c r="N494" t="s">
        <v>3</v>
      </c>
      <c r="O494">
        <v>2</v>
      </c>
    </row>
    <row r="495" spans="1:15" x14ac:dyDescent="0.2">
      <c r="A495">
        <v>50</v>
      </c>
      <c r="B495">
        <v>0</v>
      </c>
      <c r="C495">
        <v>0</v>
      </c>
      <c r="D495">
        <v>1</v>
      </c>
      <c r="E495">
        <v>211</v>
      </c>
      <c r="F495">
        <f>ROUND(Source!Y468,O495)</f>
        <v>67.989999999999995</v>
      </c>
      <c r="G495" t="s">
        <v>192</v>
      </c>
      <c r="H495" t="s">
        <v>193</v>
      </c>
      <c r="K495">
        <v>211</v>
      </c>
      <c r="L495">
        <v>26</v>
      </c>
      <c r="M495">
        <v>3</v>
      </c>
      <c r="N495" t="s">
        <v>3</v>
      </c>
      <c r="O495">
        <v>2</v>
      </c>
    </row>
    <row r="496" spans="1:15" x14ac:dyDescent="0.2">
      <c r="A496">
        <v>50</v>
      </c>
      <c r="B496">
        <v>0</v>
      </c>
      <c r="C496">
        <v>0</v>
      </c>
      <c r="D496">
        <v>1</v>
      </c>
      <c r="E496">
        <v>224</v>
      </c>
      <c r="F496">
        <f>ROUND(Source!AR468,O496)</f>
        <v>1588177.46</v>
      </c>
      <c r="G496" t="s">
        <v>194</v>
      </c>
      <c r="H496" t="s">
        <v>195</v>
      </c>
      <c r="K496">
        <v>224</v>
      </c>
      <c r="L496">
        <v>27</v>
      </c>
      <c r="M496">
        <v>3</v>
      </c>
      <c r="N496" t="s">
        <v>3</v>
      </c>
      <c r="O496">
        <v>2</v>
      </c>
    </row>
    <row r="498" spans="1:245" x14ac:dyDescent="0.2">
      <c r="A498">
        <v>4</v>
      </c>
      <c r="B498">
        <v>1</v>
      </c>
      <c r="D498">
        <f>ROW(A566)</f>
        <v>566</v>
      </c>
      <c r="F498" t="s">
        <v>14</v>
      </c>
      <c r="G498" t="s">
        <v>391</v>
      </c>
      <c r="H498" t="s">
        <v>3</v>
      </c>
      <c r="I498">
        <v>0</v>
      </c>
      <c r="K498">
        <v>0</v>
      </c>
      <c r="U498" t="s">
        <v>3</v>
      </c>
      <c r="V498">
        <v>0</v>
      </c>
      <c r="AB498" t="s">
        <v>3</v>
      </c>
      <c r="AC498" t="s">
        <v>3</v>
      </c>
      <c r="AD498" t="s">
        <v>3</v>
      </c>
      <c r="AE498" t="s">
        <v>3</v>
      </c>
      <c r="AF498" t="s">
        <v>3</v>
      </c>
      <c r="AG498" t="s">
        <v>3</v>
      </c>
      <c r="AP498" t="s">
        <v>3</v>
      </c>
      <c r="AQ498" t="s">
        <v>3</v>
      </c>
      <c r="AR498" t="s">
        <v>3</v>
      </c>
      <c r="AZ498" t="s">
        <v>3</v>
      </c>
      <c r="BB498" t="s">
        <v>3</v>
      </c>
      <c r="BC498" t="s">
        <v>3</v>
      </c>
      <c r="BD498" t="s">
        <v>3</v>
      </c>
      <c r="BE498" t="s">
        <v>3</v>
      </c>
      <c r="BF498" t="s">
        <v>3</v>
      </c>
      <c r="BG498" t="s">
        <v>3</v>
      </c>
      <c r="BH498" t="s">
        <v>3</v>
      </c>
      <c r="BI498" t="s">
        <v>3</v>
      </c>
      <c r="BJ498" t="s">
        <v>3</v>
      </c>
      <c r="BK498" t="s">
        <v>3</v>
      </c>
      <c r="BL498" t="s">
        <v>3</v>
      </c>
      <c r="BM498" t="s">
        <v>3</v>
      </c>
      <c r="BN498" t="s">
        <v>3</v>
      </c>
      <c r="BO498" t="s">
        <v>3</v>
      </c>
      <c r="BP498" t="s">
        <v>3</v>
      </c>
      <c r="BX498">
        <v>0</v>
      </c>
      <c r="CJ498">
        <v>0</v>
      </c>
    </row>
    <row r="500" spans="1:245" x14ac:dyDescent="0.2">
      <c r="A500">
        <v>52</v>
      </c>
      <c r="B500">
        <f t="shared" ref="B500:G500" si="356">B566</f>
        <v>1</v>
      </c>
      <c r="C500">
        <f t="shared" si="356"/>
        <v>4</v>
      </c>
      <c r="D500">
        <f t="shared" si="356"/>
        <v>498</v>
      </c>
      <c r="E500">
        <f t="shared" si="356"/>
        <v>0</v>
      </c>
      <c r="F500" t="str">
        <f t="shared" si="356"/>
        <v>Новый раздел</v>
      </c>
      <c r="G500" t="str">
        <f t="shared" si="356"/>
        <v>Детские МАФ</v>
      </c>
      <c r="O500">
        <f t="shared" ref="O500:AT500" si="357">O566</f>
        <v>1237967.82</v>
      </c>
      <c r="P500">
        <f t="shared" si="357"/>
        <v>1237967.82</v>
      </c>
      <c r="Q500">
        <f t="shared" si="357"/>
        <v>0</v>
      </c>
      <c r="R500">
        <f t="shared" si="357"/>
        <v>0</v>
      </c>
      <c r="S500">
        <f t="shared" si="357"/>
        <v>0</v>
      </c>
      <c r="T500">
        <f t="shared" si="357"/>
        <v>0</v>
      </c>
      <c r="U500">
        <f t="shared" si="357"/>
        <v>0</v>
      </c>
      <c r="V500">
        <f t="shared" si="357"/>
        <v>0</v>
      </c>
      <c r="W500">
        <f t="shared" si="357"/>
        <v>0</v>
      </c>
      <c r="X500">
        <f t="shared" si="357"/>
        <v>0</v>
      </c>
      <c r="Y500">
        <f t="shared" si="357"/>
        <v>0</v>
      </c>
      <c r="Z500">
        <f t="shared" si="357"/>
        <v>0</v>
      </c>
      <c r="AA500">
        <f t="shared" si="357"/>
        <v>0</v>
      </c>
      <c r="AB500">
        <f t="shared" si="357"/>
        <v>1237967.82</v>
      </c>
      <c r="AC500">
        <f t="shared" si="357"/>
        <v>1237967.82</v>
      </c>
      <c r="AD500">
        <f t="shared" si="357"/>
        <v>0</v>
      </c>
      <c r="AE500">
        <f t="shared" si="357"/>
        <v>0</v>
      </c>
      <c r="AF500">
        <f t="shared" si="357"/>
        <v>0</v>
      </c>
      <c r="AG500">
        <f t="shared" si="357"/>
        <v>0</v>
      </c>
      <c r="AH500">
        <f t="shared" si="357"/>
        <v>0</v>
      </c>
      <c r="AI500">
        <f t="shared" si="357"/>
        <v>0</v>
      </c>
      <c r="AJ500">
        <f t="shared" si="357"/>
        <v>0</v>
      </c>
      <c r="AK500">
        <f t="shared" si="357"/>
        <v>0</v>
      </c>
      <c r="AL500">
        <f t="shared" si="357"/>
        <v>0</v>
      </c>
      <c r="AM500">
        <f t="shared" si="357"/>
        <v>0</v>
      </c>
      <c r="AN500">
        <f t="shared" si="357"/>
        <v>0</v>
      </c>
      <c r="AO500">
        <f t="shared" si="357"/>
        <v>0</v>
      </c>
      <c r="AP500">
        <f t="shared" si="357"/>
        <v>0</v>
      </c>
      <c r="AQ500">
        <f t="shared" si="357"/>
        <v>0</v>
      </c>
      <c r="AR500">
        <f t="shared" si="357"/>
        <v>1237967.82</v>
      </c>
      <c r="AS500">
        <f t="shared" si="357"/>
        <v>0</v>
      </c>
      <c r="AT500">
        <f t="shared" si="357"/>
        <v>0</v>
      </c>
      <c r="AU500">
        <f t="shared" ref="AU500:BZ500" si="358">AU566</f>
        <v>1237967.82</v>
      </c>
      <c r="AV500">
        <f t="shared" si="358"/>
        <v>1237967.82</v>
      </c>
      <c r="AW500">
        <f t="shared" si="358"/>
        <v>1237967.82</v>
      </c>
      <c r="AX500">
        <f t="shared" si="358"/>
        <v>0</v>
      </c>
      <c r="AY500">
        <f t="shared" si="358"/>
        <v>1237967.82</v>
      </c>
      <c r="AZ500">
        <f t="shared" si="358"/>
        <v>0</v>
      </c>
      <c r="BA500">
        <f t="shared" si="358"/>
        <v>0</v>
      </c>
      <c r="BB500">
        <f t="shared" si="358"/>
        <v>0</v>
      </c>
      <c r="BC500">
        <f t="shared" si="358"/>
        <v>0</v>
      </c>
      <c r="BD500">
        <f t="shared" si="358"/>
        <v>0</v>
      </c>
      <c r="BE500">
        <f t="shared" si="358"/>
        <v>0</v>
      </c>
      <c r="BF500">
        <f t="shared" si="358"/>
        <v>0</v>
      </c>
      <c r="BG500">
        <f t="shared" si="358"/>
        <v>0</v>
      </c>
      <c r="BH500">
        <f t="shared" si="358"/>
        <v>0</v>
      </c>
      <c r="BI500">
        <f t="shared" si="358"/>
        <v>0</v>
      </c>
      <c r="BJ500">
        <f t="shared" si="358"/>
        <v>0</v>
      </c>
      <c r="BK500">
        <f t="shared" si="358"/>
        <v>0</v>
      </c>
      <c r="BL500">
        <f t="shared" si="358"/>
        <v>0</v>
      </c>
      <c r="BM500">
        <f t="shared" si="358"/>
        <v>0</v>
      </c>
      <c r="BN500">
        <f t="shared" si="358"/>
        <v>0</v>
      </c>
      <c r="BO500">
        <f t="shared" si="358"/>
        <v>0</v>
      </c>
      <c r="BP500">
        <f t="shared" si="358"/>
        <v>0</v>
      </c>
      <c r="BQ500">
        <f t="shared" si="358"/>
        <v>0</v>
      </c>
      <c r="BR500">
        <f t="shared" si="358"/>
        <v>0</v>
      </c>
      <c r="BS500">
        <f t="shared" si="358"/>
        <v>0</v>
      </c>
      <c r="BT500">
        <f t="shared" si="358"/>
        <v>0</v>
      </c>
      <c r="BU500">
        <f t="shared" si="358"/>
        <v>0</v>
      </c>
      <c r="BV500">
        <f t="shared" si="358"/>
        <v>0</v>
      </c>
      <c r="BW500">
        <f t="shared" si="358"/>
        <v>0</v>
      </c>
      <c r="BX500">
        <f t="shared" si="358"/>
        <v>0</v>
      </c>
      <c r="BY500">
        <f t="shared" si="358"/>
        <v>0</v>
      </c>
      <c r="BZ500">
        <f t="shared" si="358"/>
        <v>0</v>
      </c>
      <c r="CA500">
        <f t="shared" ref="CA500:DF500" si="359">CA566</f>
        <v>1237967.82</v>
      </c>
      <c r="CB500">
        <f t="shared" si="359"/>
        <v>0</v>
      </c>
      <c r="CC500">
        <f t="shared" si="359"/>
        <v>0</v>
      </c>
      <c r="CD500">
        <f t="shared" si="359"/>
        <v>1237967.82</v>
      </c>
      <c r="CE500">
        <f t="shared" si="359"/>
        <v>1237967.82</v>
      </c>
      <c r="CF500">
        <f t="shared" si="359"/>
        <v>1237967.82</v>
      </c>
      <c r="CG500">
        <f t="shared" si="359"/>
        <v>0</v>
      </c>
      <c r="CH500">
        <f t="shared" si="359"/>
        <v>1237967.82</v>
      </c>
      <c r="CI500">
        <f t="shared" si="359"/>
        <v>0</v>
      </c>
      <c r="CJ500">
        <f t="shared" si="359"/>
        <v>0</v>
      </c>
      <c r="CK500">
        <f t="shared" si="359"/>
        <v>0</v>
      </c>
      <c r="CL500">
        <f t="shared" si="359"/>
        <v>0</v>
      </c>
      <c r="CM500">
        <f t="shared" si="359"/>
        <v>0</v>
      </c>
      <c r="CN500">
        <f t="shared" si="359"/>
        <v>0</v>
      </c>
      <c r="CO500">
        <f t="shared" si="359"/>
        <v>0</v>
      </c>
      <c r="CP500">
        <f t="shared" si="359"/>
        <v>0</v>
      </c>
      <c r="CQ500">
        <f t="shared" si="359"/>
        <v>0</v>
      </c>
      <c r="CR500">
        <f t="shared" si="359"/>
        <v>0</v>
      </c>
      <c r="CS500">
        <f t="shared" si="359"/>
        <v>0</v>
      </c>
      <c r="CT500">
        <f t="shared" si="359"/>
        <v>0</v>
      </c>
      <c r="CU500">
        <f t="shared" si="359"/>
        <v>0</v>
      </c>
      <c r="CV500">
        <f t="shared" si="359"/>
        <v>0</v>
      </c>
      <c r="CW500">
        <f t="shared" si="359"/>
        <v>0</v>
      </c>
      <c r="CX500">
        <f t="shared" si="359"/>
        <v>0</v>
      </c>
      <c r="CY500">
        <f t="shared" si="359"/>
        <v>0</v>
      </c>
      <c r="CZ500">
        <f t="shared" si="359"/>
        <v>0</v>
      </c>
      <c r="DA500">
        <f t="shared" si="359"/>
        <v>0</v>
      </c>
      <c r="DB500">
        <f t="shared" si="359"/>
        <v>0</v>
      </c>
      <c r="DC500">
        <f t="shared" si="359"/>
        <v>0</v>
      </c>
      <c r="DD500">
        <f t="shared" si="359"/>
        <v>0</v>
      </c>
      <c r="DE500">
        <f t="shared" si="359"/>
        <v>0</v>
      </c>
      <c r="DF500">
        <f t="shared" si="359"/>
        <v>0</v>
      </c>
      <c r="DG500">
        <f t="shared" ref="DG500:EL500" si="360">DG566</f>
        <v>0</v>
      </c>
      <c r="DH500">
        <f t="shared" si="360"/>
        <v>0</v>
      </c>
      <c r="DI500">
        <f t="shared" si="360"/>
        <v>0</v>
      </c>
      <c r="DJ500">
        <f t="shared" si="360"/>
        <v>0</v>
      </c>
      <c r="DK500">
        <f t="shared" si="360"/>
        <v>0</v>
      </c>
      <c r="DL500">
        <f t="shared" si="360"/>
        <v>0</v>
      </c>
      <c r="DM500">
        <f t="shared" si="360"/>
        <v>0</v>
      </c>
      <c r="DN500">
        <f t="shared" si="360"/>
        <v>0</v>
      </c>
      <c r="DO500">
        <f t="shared" si="360"/>
        <v>0</v>
      </c>
      <c r="DP500">
        <f t="shared" si="360"/>
        <v>0</v>
      </c>
      <c r="DQ500">
        <f t="shared" si="360"/>
        <v>0</v>
      </c>
      <c r="DR500">
        <f t="shared" si="360"/>
        <v>0</v>
      </c>
      <c r="DS500">
        <f t="shared" si="360"/>
        <v>0</v>
      </c>
      <c r="DT500">
        <f t="shared" si="360"/>
        <v>0</v>
      </c>
      <c r="DU500">
        <f t="shared" si="360"/>
        <v>0</v>
      </c>
      <c r="DV500">
        <f t="shared" si="360"/>
        <v>0</v>
      </c>
      <c r="DW500">
        <f t="shared" si="360"/>
        <v>0</v>
      </c>
      <c r="DX500">
        <f t="shared" si="360"/>
        <v>0</v>
      </c>
      <c r="DY500">
        <f t="shared" si="360"/>
        <v>0</v>
      </c>
      <c r="DZ500">
        <f t="shared" si="360"/>
        <v>0</v>
      </c>
      <c r="EA500">
        <f t="shared" si="360"/>
        <v>0</v>
      </c>
      <c r="EB500">
        <f t="shared" si="360"/>
        <v>0</v>
      </c>
      <c r="EC500">
        <f t="shared" si="360"/>
        <v>0</v>
      </c>
      <c r="ED500">
        <f t="shared" si="360"/>
        <v>0</v>
      </c>
      <c r="EE500">
        <f t="shared" si="360"/>
        <v>0</v>
      </c>
      <c r="EF500">
        <f t="shared" si="360"/>
        <v>0</v>
      </c>
      <c r="EG500">
        <f t="shared" si="360"/>
        <v>0</v>
      </c>
      <c r="EH500">
        <f t="shared" si="360"/>
        <v>0</v>
      </c>
      <c r="EI500">
        <f t="shared" si="360"/>
        <v>0</v>
      </c>
      <c r="EJ500">
        <f t="shared" si="360"/>
        <v>0</v>
      </c>
      <c r="EK500">
        <f t="shared" si="360"/>
        <v>0</v>
      </c>
      <c r="EL500">
        <f t="shared" si="360"/>
        <v>0</v>
      </c>
      <c r="EM500">
        <f t="shared" ref="EM500:FR500" si="361">EM566</f>
        <v>0</v>
      </c>
      <c r="EN500">
        <f t="shared" si="361"/>
        <v>0</v>
      </c>
      <c r="EO500">
        <f t="shared" si="361"/>
        <v>0</v>
      </c>
      <c r="EP500">
        <f t="shared" si="361"/>
        <v>0</v>
      </c>
      <c r="EQ500">
        <f t="shared" si="361"/>
        <v>0</v>
      </c>
      <c r="ER500">
        <f t="shared" si="361"/>
        <v>0</v>
      </c>
      <c r="ES500">
        <f t="shared" si="361"/>
        <v>0</v>
      </c>
      <c r="ET500">
        <f t="shared" si="361"/>
        <v>0</v>
      </c>
      <c r="EU500">
        <f t="shared" si="361"/>
        <v>0</v>
      </c>
      <c r="EV500">
        <f t="shared" si="361"/>
        <v>0</v>
      </c>
      <c r="EW500">
        <f t="shared" si="361"/>
        <v>0</v>
      </c>
      <c r="EX500">
        <f t="shared" si="361"/>
        <v>0</v>
      </c>
      <c r="EY500">
        <f t="shared" si="361"/>
        <v>0</v>
      </c>
      <c r="EZ500">
        <f t="shared" si="361"/>
        <v>0</v>
      </c>
      <c r="FA500">
        <f t="shared" si="361"/>
        <v>0</v>
      </c>
      <c r="FB500">
        <f t="shared" si="361"/>
        <v>0</v>
      </c>
      <c r="FC500">
        <f t="shared" si="361"/>
        <v>0</v>
      </c>
      <c r="FD500">
        <f t="shared" si="361"/>
        <v>0</v>
      </c>
      <c r="FE500">
        <f t="shared" si="361"/>
        <v>0</v>
      </c>
      <c r="FF500">
        <f t="shared" si="361"/>
        <v>0</v>
      </c>
      <c r="FG500">
        <f t="shared" si="361"/>
        <v>0</v>
      </c>
      <c r="FH500">
        <f t="shared" si="361"/>
        <v>0</v>
      </c>
      <c r="FI500">
        <f t="shared" si="361"/>
        <v>0</v>
      </c>
      <c r="FJ500">
        <f t="shared" si="361"/>
        <v>0</v>
      </c>
      <c r="FK500">
        <f t="shared" si="361"/>
        <v>0</v>
      </c>
      <c r="FL500">
        <f t="shared" si="361"/>
        <v>0</v>
      </c>
      <c r="FM500">
        <f t="shared" si="361"/>
        <v>0</v>
      </c>
      <c r="FN500">
        <f t="shared" si="361"/>
        <v>0</v>
      </c>
      <c r="FO500">
        <f t="shared" si="361"/>
        <v>0</v>
      </c>
      <c r="FP500">
        <f t="shared" si="361"/>
        <v>0</v>
      </c>
      <c r="FQ500">
        <f t="shared" si="361"/>
        <v>0</v>
      </c>
      <c r="FR500">
        <f t="shared" si="361"/>
        <v>0</v>
      </c>
      <c r="FS500">
        <f t="shared" ref="FS500:GX500" si="362">FS566</f>
        <v>0</v>
      </c>
      <c r="FT500">
        <f t="shared" si="362"/>
        <v>0</v>
      </c>
      <c r="FU500">
        <f t="shared" si="362"/>
        <v>0</v>
      </c>
      <c r="FV500">
        <f t="shared" si="362"/>
        <v>0</v>
      </c>
      <c r="FW500">
        <f t="shared" si="362"/>
        <v>0</v>
      </c>
      <c r="FX500">
        <f t="shared" si="362"/>
        <v>0</v>
      </c>
      <c r="FY500">
        <f t="shared" si="362"/>
        <v>0</v>
      </c>
      <c r="FZ500">
        <f t="shared" si="362"/>
        <v>0</v>
      </c>
      <c r="GA500">
        <f t="shared" si="362"/>
        <v>0</v>
      </c>
      <c r="GB500">
        <f t="shared" si="362"/>
        <v>0</v>
      </c>
      <c r="GC500">
        <f t="shared" si="362"/>
        <v>0</v>
      </c>
      <c r="GD500">
        <f t="shared" si="362"/>
        <v>0</v>
      </c>
      <c r="GE500">
        <f t="shared" si="362"/>
        <v>0</v>
      </c>
      <c r="GF500">
        <f t="shared" si="362"/>
        <v>0</v>
      </c>
      <c r="GG500">
        <f t="shared" si="362"/>
        <v>0</v>
      </c>
      <c r="GH500">
        <f t="shared" si="362"/>
        <v>0</v>
      </c>
      <c r="GI500">
        <f t="shared" si="362"/>
        <v>0</v>
      </c>
      <c r="GJ500">
        <f t="shared" si="362"/>
        <v>0</v>
      </c>
      <c r="GK500">
        <f t="shared" si="362"/>
        <v>0</v>
      </c>
      <c r="GL500">
        <f t="shared" si="362"/>
        <v>0</v>
      </c>
      <c r="GM500">
        <f t="shared" si="362"/>
        <v>0</v>
      </c>
      <c r="GN500">
        <f t="shared" si="362"/>
        <v>0</v>
      </c>
      <c r="GO500">
        <f t="shared" si="362"/>
        <v>0</v>
      </c>
      <c r="GP500">
        <f t="shared" si="362"/>
        <v>0</v>
      </c>
      <c r="GQ500">
        <f t="shared" si="362"/>
        <v>0</v>
      </c>
      <c r="GR500">
        <f t="shared" si="362"/>
        <v>0</v>
      </c>
      <c r="GS500">
        <f t="shared" si="362"/>
        <v>0</v>
      </c>
      <c r="GT500">
        <f t="shared" si="362"/>
        <v>0</v>
      </c>
      <c r="GU500">
        <f t="shared" si="362"/>
        <v>0</v>
      </c>
      <c r="GV500">
        <f t="shared" si="362"/>
        <v>0</v>
      </c>
      <c r="GW500">
        <f t="shared" si="362"/>
        <v>0</v>
      </c>
      <c r="GX500">
        <f t="shared" si="362"/>
        <v>0</v>
      </c>
    </row>
    <row r="502" spans="1:245" x14ac:dyDescent="0.2">
      <c r="A502">
        <v>17</v>
      </c>
      <c r="B502">
        <v>1</v>
      </c>
      <c r="E502" t="s">
        <v>111</v>
      </c>
      <c r="F502" t="s">
        <v>392</v>
      </c>
      <c r="G502" t="s">
        <v>950</v>
      </c>
      <c r="H502" t="s">
        <v>367</v>
      </c>
      <c r="I502">
        <v>1</v>
      </c>
      <c r="J502">
        <v>0</v>
      </c>
      <c r="O502">
        <f t="shared" ref="O502:O533" si="363">ROUND(CP502,2)</f>
        <v>545852</v>
      </c>
      <c r="P502">
        <f t="shared" ref="P502:P533" si="364">ROUND(CQ502*I502,2)</f>
        <v>545852</v>
      </c>
      <c r="Q502">
        <f t="shared" ref="Q502:Q533" si="365">ROUND(CR502*I502,2)</f>
        <v>0</v>
      </c>
      <c r="R502">
        <f t="shared" ref="R502:R533" si="366">ROUND(CS502*I502,2)</f>
        <v>0</v>
      </c>
      <c r="S502">
        <f t="shared" ref="S502:S533" si="367">ROUND(CT502*I502,2)</f>
        <v>0</v>
      </c>
      <c r="T502">
        <f t="shared" ref="T502:T533" si="368">ROUND(CU502*I502,2)</f>
        <v>0</v>
      </c>
      <c r="U502">
        <f t="shared" ref="U502:U533" si="369">CV502*I502</f>
        <v>0</v>
      </c>
      <c r="V502">
        <f t="shared" ref="V502:V533" si="370">CW502*I502</f>
        <v>0</v>
      </c>
      <c r="W502">
        <f t="shared" ref="W502:W533" si="371">ROUND(CX502*I502,2)</f>
        <v>0</v>
      </c>
      <c r="X502">
        <f t="shared" ref="X502:X533" si="372">ROUND(CY502,2)</f>
        <v>0</v>
      </c>
      <c r="Y502">
        <f t="shared" ref="Y502:Y533" si="373">ROUND(CZ502,2)</f>
        <v>0</v>
      </c>
      <c r="AA502">
        <v>71209905</v>
      </c>
      <c r="AB502">
        <f t="shared" ref="AB502:AB533" si="374">ROUND((AC502+AD502+AF502),6)</f>
        <v>545852</v>
      </c>
      <c r="AC502">
        <f t="shared" ref="AC502:AC539" si="375">ROUND((ES502),6)</f>
        <v>545852</v>
      </c>
      <c r="AD502">
        <f t="shared" ref="AD502:AD539" si="376">ROUND((((ET502)-(EU502))+AE502),6)</f>
        <v>0</v>
      </c>
      <c r="AE502">
        <f t="shared" ref="AE502:AE539" si="377">ROUND((EU502),6)</f>
        <v>0</v>
      </c>
      <c r="AF502">
        <f t="shared" ref="AF502:AF539" si="378">ROUND((EV502),6)</f>
        <v>0</v>
      </c>
      <c r="AG502">
        <f t="shared" ref="AG502:AG533" si="379">ROUND((AP502),6)</f>
        <v>0</v>
      </c>
      <c r="AH502">
        <f t="shared" ref="AH502:AH539" si="380">(EW502)</f>
        <v>0</v>
      </c>
      <c r="AI502">
        <f t="shared" ref="AI502:AI539" si="381">(EX502)</f>
        <v>0</v>
      </c>
      <c r="AJ502">
        <f t="shared" ref="AJ502:AJ533" si="382">(AS502)</f>
        <v>0</v>
      </c>
      <c r="AK502">
        <v>545852</v>
      </c>
      <c r="AL502">
        <v>545852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70</v>
      </c>
      <c r="AU502">
        <v>10</v>
      </c>
      <c r="AV502">
        <v>1</v>
      </c>
      <c r="AW502">
        <v>1</v>
      </c>
      <c r="AZ502">
        <v>1</v>
      </c>
      <c r="BA502">
        <v>1</v>
      </c>
      <c r="BB502">
        <v>1</v>
      </c>
      <c r="BC502">
        <v>1</v>
      </c>
      <c r="BD502" t="s">
        <v>3</v>
      </c>
      <c r="BE502" t="s">
        <v>3</v>
      </c>
      <c r="BF502" t="s">
        <v>3</v>
      </c>
      <c r="BG502" t="s">
        <v>3</v>
      </c>
      <c r="BH502">
        <v>3</v>
      </c>
      <c r="BI502">
        <v>4</v>
      </c>
      <c r="BJ502" t="s">
        <v>393</v>
      </c>
      <c r="BM502">
        <v>0</v>
      </c>
      <c r="BN502">
        <v>0</v>
      </c>
      <c r="BO502" t="s">
        <v>3</v>
      </c>
      <c r="BP502">
        <v>0</v>
      </c>
      <c r="BQ502">
        <v>1</v>
      </c>
      <c r="BR502">
        <v>0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 t="s">
        <v>3</v>
      </c>
      <c r="BZ502">
        <v>70</v>
      </c>
      <c r="CA502">
        <v>10</v>
      </c>
      <c r="CE502">
        <v>0</v>
      </c>
      <c r="CF502">
        <v>0</v>
      </c>
      <c r="CG502">
        <v>0</v>
      </c>
      <c r="CM502">
        <v>0</v>
      </c>
      <c r="CN502" t="s">
        <v>3</v>
      </c>
      <c r="CO502">
        <v>0</v>
      </c>
      <c r="CP502">
        <f t="shared" ref="CP502:CP533" si="383">(P502+Q502+S502)</f>
        <v>545852</v>
      </c>
      <c r="CQ502">
        <f t="shared" ref="CQ502:CQ533" si="384">(AC502*BC502*AW502)</f>
        <v>545852</v>
      </c>
      <c r="CR502">
        <f t="shared" ref="CR502:CR539" si="385">((((ET502)*BB502-(EU502)*BS502)+AE502*BS502)*AV502)</f>
        <v>0</v>
      </c>
      <c r="CS502">
        <f t="shared" ref="CS502:CS533" si="386">(AE502*BS502*AV502)</f>
        <v>0</v>
      </c>
      <c r="CT502">
        <f t="shared" ref="CT502:CT533" si="387">(AF502*BA502*AV502)</f>
        <v>0</v>
      </c>
      <c r="CU502">
        <f t="shared" ref="CU502:CU533" si="388">AG502</f>
        <v>0</v>
      </c>
      <c r="CV502">
        <f t="shared" ref="CV502:CV533" si="389">(AH502*AV502)</f>
        <v>0</v>
      </c>
      <c r="CW502">
        <f t="shared" ref="CW502:CW533" si="390">AI502</f>
        <v>0</v>
      </c>
      <c r="CX502">
        <f t="shared" ref="CX502:CX533" si="391">AJ502</f>
        <v>0</v>
      </c>
      <c r="CY502">
        <f t="shared" ref="CY502:CY533" si="392">((S502*BZ502)/100)</f>
        <v>0</v>
      </c>
      <c r="CZ502">
        <f t="shared" ref="CZ502:CZ533" si="393">((S502*CA502)/100)</f>
        <v>0</v>
      </c>
      <c r="DC502" t="s">
        <v>3</v>
      </c>
      <c r="DD502" t="s">
        <v>3</v>
      </c>
      <c r="DE502" t="s">
        <v>3</v>
      </c>
      <c r="DF502" t="s">
        <v>3</v>
      </c>
      <c r="DG502" t="s">
        <v>3</v>
      </c>
      <c r="DH502" t="s">
        <v>3</v>
      </c>
      <c r="DI502" t="s">
        <v>3</v>
      </c>
      <c r="DJ502" t="s">
        <v>3</v>
      </c>
      <c r="DK502" t="s">
        <v>3</v>
      </c>
      <c r="DL502" t="s">
        <v>3</v>
      </c>
      <c r="DM502" t="s">
        <v>3</v>
      </c>
      <c r="DN502">
        <v>0</v>
      </c>
      <c r="DO502">
        <v>0</v>
      </c>
      <c r="DP502">
        <v>1</v>
      </c>
      <c r="DQ502">
        <v>1</v>
      </c>
      <c r="DU502">
        <v>1013</v>
      </c>
      <c r="DV502" t="s">
        <v>367</v>
      </c>
      <c r="DW502" t="s">
        <v>367</v>
      </c>
      <c r="DX502">
        <v>1</v>
      </c>
      <c r="EE502">
        <v>67874524</v>
      </c>
      <c r="EF502">
        <v>1</v>
      </c>
      <c r="EG502" t="s">
        <v>20</v>
      </c>
      <c r="EH502">
        <v>0</v>
      </c>
      <c r="EI502" t="s">
        <v>3</v>
      </c>
      <c r="EJ502">
        <v>4</v>
      </c>
      <c r="EK502">
        <v>0</v>
      </c>
      <c r="EL502" t="s">
        <v>21</v>
      </c>
      <c r="EM502" t="s">
        <v>22</v>
      </c>
      <c r="EO502" t="s">
        <v>3</v>
      </c>
      <c r="EQ502">
        <v>0</v>
      </c>
      <c r="ER502">
        <v>545852</v>
      </c>
      <c r="ES502">
        <v>545852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FQ502">
        <v>0</v>
      </c>
      <c r="FR502">
        <f t="shared" ref="FR502:FR533" si="394">ROUND(IF(AND(BH502=3,BI502=3),P502,0),2)</f>
        <v>0</v>
      </c>
      <c r="FS502">
        <v>0</v>
      </c>
      <c r="FX502">
        <v>70</v>
      </c>
      <c r="FY502">
        <v>10</v>
      </c>
      <c r="GA502" t="s">
        <v>3</v>
      </c>
      <c r="GD502">
        <v>0</v>
      </c>
      <c r="GF502">
        <v>463623393</v>
      </c>
      <c r="GG502">
        <v>2</v>
      </c>
      <c r="GH502">
        <v>1</v>
      </c>
      <c r="GI502">
        <v>-2</v>
      </c>
      <c r="GJ502">
        <v>0</v>
      </c>
      <c r="GK502">
        <f>ROUND(R502*(R12)/100,2)</f>
        <v>0</v>
      </c>
      <c r="GL502">
        <f t="shared" ref="GL502:GL533" si="395">ROUND(IF(AND(BH502=3,BI502=3,FS502&lt;&gt;0),P502,0),2)</f>
        <v>0</v>
      </c>
      <c r="GM502">
        <f t="shared" ref="GM502:GM533" si="396">ROUND(O502+X502+Y502+GK502,2)+GX502</f>
        <v>545852</v>
      </c>
      <c r="GN502">
        <f t="shared" ref="GN502:GN533" si="397">IF(OR(BI502=0,BI502=1),ROUND(O502+X502+Y502+GK502,2),0)</f>
        <v>0</v>
      </c>
      <c r="GO502">
        <f t="shared" ref="GO502:GO533" si="398">IF(BI502=2,ROUND(O502+X502+Y502+GK502,2),0)</f>
        <v>0</v>
      </c>
      <c r="GP502">
        <f t="shared" ref="GP502:GP533" si="399">IF(BI502=4,ROUND(O502+X502+Y502+GK502,2)+GX502,0)</f>
        <v>545852</v>
      </c>
      <c r="GR502">
        <v>0</v>
      </c>
      <c r="GS502">
        <v>3</v>
      </c>
      <c r="GT502">
        <v>0</v>
      </c>
      <c r="GU502" t="s">
        <v>3</v>
      </c>
      <c r="GV502">
        <f t="shared" ref="GV502:GV533" si="400">ROUND((GT502),6)</f>
        <v>0</v>
      </c>
      <c r="GW502">
        <v>1</v>
      </c>
      <c r="GX502">
        <f t="shared" ref="GX502:GX533" si="401">ROUND(HC502*I502,2)</f>
        <v>0</v>
      </c>
      <c r="HA502">
        <v>0</v>
      </c>
      <c r="HB502">
        <v>0</v>
      </c>
      <c r="HC502">
        <f t="shared" ref="HC502:HC533" si="402">GV502*GW502</f>
        <v>0</v>
      </c>
      <c r="IK502">
        <v>0</v>
      </c>
    </row>
    <row r="503" spans="1:245" x14ac:dyDescent="0.2">
      <c r="A503">
        <v>17</v>
      </c>
      <c r="B503">
        <v>1</v>
      </c>
      <c r="E503" t="s">
        <v>115</v>
      </c>
      <c r="F503" t="s">
        <v>394</v>
      </c>
      <c r="G503" t="s">
        <v>951</v>
      </c>
      <c r="H503" t="s">
        <v>367</v>
      </c>
      <c r="I503">
        <v>1</v>
      </c>
      <c r="J503">
        <v>0</v>
      </c>
      <c r="O503">
        <f t="shared" si="363"/>
        <v>371222.19</v>
      </c>
      <c r="P503">
        <f t="shared" si="364"/>
        <v>371222.19</v>
      </c>
      <c r="Q503">
        <f t="shared" si="365"/>
        <v>0</v>
      </c>
      <c r="R503">
        <f t="shared" si="366"/>
        <v>0</v>
      </c>
      <c r="S503">
        <f t="shared" si="367"/>
        <v>0</v>
      </c>
      <c r="T503">
        <f t="shared" si="368"/>
        <v>0</v>
      </c>
      <c r="U503">
        <f t="shared" si="369"/>
        <v>0</v>
      </c>
      <c r="V503">
        <f t="shared" si="370"/>
        <v>0</v>
      </c>
      <c r="W503">
        <f t="shared" si="371"/>
        <v>0</v>
      </c>
      <c r="X503">
        <f t="shared" si="372"/>
        <v>0</v>
      </c>
      <c r="Y503">
        <f t="shared" si="373"/>
        <v>0</v>
      </c>
      <c r="AA503">
        <v>71209905</v>
      </c>
      <c r="AB503">
        <f t="shared" si="374"/>
        <v>371222.19</v>
      </c>
      <c r="AC503">
        <f t="shared" si="375"/>
        <v>371222.19</v>
      </c>
      <c r="AD503">
        <f t="shared" si="376"/>
        <v>0</v>
      </c>
      <c r="AE503">
        <f t="shared" si="377"/>
        <v>0</v>
      </c>
      <c r="AF503">
        <f t="shared" si="378"/>
        <v>0</v>
      </c>
      <c r="AG503">
        <f t="shared" si="379"/>
        <v>0</v>
      </c>
      <c r="AH503">
        <f t="shared" si="380"/>
        <v>0</v>
      </c>
      <c r="AI503">
        <f t="shared" si="381"/>
        <v>0</v>
      </c>
      <c r="AJ503">
        <f t="shared" si="382"/>
        <v>0</v>
      </c>
      <c r="AK503">
        <v>371222.19</v>
      </c>
      <c r="AL503">
        <v>371222.19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70</v>
      </c>
      <c r="AU503">
        <v>10</v>
      </c>
      <c r="AV503">
        <v>1</v>
      </c>
      <c r="AW503">
        <v>1</v>
      </c>
      <c r="AZ503">
        <v>1</v>
      </c>
      <c r="BA503">
        <v>1</v>
      </c>
      <c r="BB503">
        <v>1</v>
      </c>
      <c r="BC503">
        <v>1</v>
      </c>
      <c r="BD503" t="s">
        <v>3</v>
      </c>
      <c r="BE503" t="s">
        <v>3</v>
      </c>
      <c r="BF503" t="s">
        <v>3</v>
      </c>
      <c r="BG503" t="s">
        <v>3</v>
      </c>
      <c r="BH503">
        <v>3</v>
      </c>
      <c r="BI503">
        <v>4</v>
      </c>
      <c r="BJ503" t="s">
        <v>395</v>
      </c>
      <c r="BM503">
        <v>0</v>
      </c>
      <c r="BN503">
        <v>0</v>
      </c>
      <c r="BO503" t="s">
        <v>3</v>
      </c>
      <c r="BP503">
        <v>0</v>
      </c>
      <c r="BQ503">
        <v>1</v>
      </c>
      <c r="BR503">
        <v>0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 t="s">
        <v>3</v>
      </c>
      <c r="BZ503">
        <v>70</v>
      </c>
      <c r="CA503">
        <v>10</v>
      </c>
      <c r="CE503">
        <v>0</v>
      </c>
      <c r="CF503">
        <v>0</v>
      </c>
      <c r="CG503">
        <v>0</v>
      </c>
      <c r="CM503">
        <v>0</v>
      </c>
      <c r="CN503" t="s">
        <v>3</v>
      </c>
      <c r="CO503">
        <v>0</v>
      </c>
      <c r="CP503">
        <f t="shared" si="383"/>
        <v>371222.19</v>
      </c>
      <c r="CQ503">
        <f t="shared" si="384"/>
        <v>371222.19</v>
      </c>
      <c r="CR503">
        <f t="shared" si="385"/>
        <v>0</v>
      </c>
      <c r="CS503">
        <f t="shared" si="386"/>
        <v>0</v>
      </c>
      <c r="CT503">
        <f t="shared" si="387"/>
        <v>0</v>
      </c>
      <c r="CU503">
        <f t="shared" si="388"/>
        <v>0</v>
      </c>
      <c r="CV503">
        <f t="shared" si="389"/>
        <v>0</v>
      </c>
      <c r="CW503">
        <f t="shared" si="390"/>
        <v>0</v>
      </c>
      <c r="CX503">
        <f t="shared" si="391"/>
        <v>0</v>
      </c>
      <c r="CY503">
        <f t="shared" si="392"/>
        <v>0</v>
      </c>
      <c r="CZ503">
        <f t="shared" si="393"/>
        <v>0</v>
      </c>
      <c r="DC503" t="s">
        <v>3</v>
      </c>
      <c r="DD503" t="s">
        <v>3</v>
      </c>
      <c r="DE503" t="s">
        <v>3</v>
      </c>
      <c r="DF503" t="s">
        <v>3</v>
      </c>
      <c r="DG503" t="s">
        <v>3</v>
      </c>
      <c r="DH503" t="s">
        <v>3</v>
      </c>
      <c r="DI503" t="s">
        <v>3</v>
      </c>
      <c r="DJ503" t="s">
        <v>3</v>
      </c>
      <c r="DK503" t="s">
        <v>3</v>
      </c>
      <c r="DL503" t="s">
        <v>3</v>
      </c>
      <c r="DM503" t="s">
        <v>3</v>
      </c>
      <c r="DN503">
        <v>0</v>
      </c>
      <c r="DO503">
        <v>0</v>
      </c>
      <c r="DP503">
        <v>1</v>
      </c>
      <c r="DQ503">
        <v>1</v>
      </c>
      <c r="DU503">
        <v>1013</v>
      </c>
      <c r="DV503" t="s">
        <v>367</v>
      </c>
      <c r="DW503" t="s">
        <v>367</v>
      </c>
      <c r="DX503">
        <v>1</v>
      </c>
      <c r="EE503">
        <v>67874524</v>
      </c>
      <c r="EF503">
        <v>1</v>
      </c>
      <c r="EG503" t="s">
        <v>20</v>
      </c>
      <c r="EH503">
        <v>0</v>
      </c>
      <c r="EI503" t="s">
        <v>3</v>
      </c>
      <c r="EJ503">
        <v>4</v>
      </c>
      <c r="EK503">
        <v>0</v>
      </c>
      <c r="EL503" t="s">
        <v>21</v>
      </c>
      <c r="EM503" t="s">
        <v>22</v>
      </c>
      <c r="EO503" t="s">
        <v>3</v>
      </c>
      <c r="EQ503">
        <v>0</v>
      </c>
      <c r="ER503">
        <v>371222.19</v>
      </c>
      <c r="ES503">
        <v>371222.19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FQ503">
        <v>0</v>
      </c>
      <c r="FR503">
        <f t="shared" si="394"/>
        <v>0</v>
      </c>
      <c r="FS503">
        <v>0</v>
      </c>
      <c r="FX503">
        <v>70</v>
      </c>
      <c r="FY503">
        <v>10</v>
      </c>
      <c r="GA503" t="s">
        <v>3</v>
      </c>
      <c r="GD503">
        <v>0</v>
      </c>
      <c r="GF503">
        <v>-915614749</v>
      </c>
      <c r="GG503">
        <v>2</v>
      </c>
      <c r="GH503">
        <v>1</v>
      </c>
      <c r="GI503">
        <v>-2</v>
      </c>
      <c r="GJ503">
        <v>0</v>
      </c>
      <c r="GK503">
        <f>ROUND(R503*(R12)/100,2)</f>
        <v>0</v>
      </c>
      <c r="GL503">
        <f t="shared" si="395"/>
        <v>0</v>
      </c>
      <c r="GM503">
        <f t="shared" si="396"/>
        <v>371222.19</v>
      </c>
      <c r="GN503">
        <f t="shared" si="397"/>
        <v>0</v>
      </c>
      <c r="GO503">
        <f t="shared" si="398"/>
        <v>0</v>
      </c>
      <c r="GP503">
        <f t="shared" si="399"/>
        <v>371222.19</v>
      </c>
      <c r="GR503">
        <v>0</v>
      </c>
      <c r="GS503">
        <v>3</v>
      </c>
      <c r="GT503">
        <v>0</v>
      </c>
      <c r="GU503" t="s">
        <v>3</v>
      </c>
      <c r="GV503">
        <f t="shared" si="400"/>
        <v>0</v>
      </c>
      <c r="GW503">
        <v>1</v>
      </c>
      <c r="GX503">
        <f t="shared" si="401"/>
        <v>0</v>
      </c>
      <c r="HA503">
        <v>0</v>
      </c>
      <c r="HB503">
        <v>0</v>
      </c>
      <c r="HC503">
        <f t="shared" si="402"/>
        <v>0</v>
      </c>
      <c r="IK503">
        <v>0</v>
      </c>
    </row>
    <row r="504" spans="1:245" x14ac:dyDescent="0.2">
      <c r="A504">
        <v>17</v>
      </c>
      <c r="B504">
        <v>1</v>
      </c>
      <c r="E504" t="s">
        <v>3</v>
      </c>
      <c r="F504" t="s">
        <v>396</v>
      </c>
      <c r="G504" t="s">
        <v>397</v>
      </c>
      <c r="H504" t="s">
        <v>232</v>
      </c>
      <c r="I504">
        <v>1</v>
      </c>
      <c r="J504">
        <v>0</v>
      </c>
      <c r="O504">
        <f t="shared" si="363"/>
        <v>42320.97</v>
      </c>
      <c r="P504">
        <f t="shared" si="364"/>
        <v>42320.97</v>
      </c>
      <c r="Q504">
        <f t="shared" si="365"/>
        <v>0</v>
      </c>
      <c r="R504">
        <f t="shared" si="366"/>
        <v>0</v>
      </c>
      <c r="S504">
        <f t="shared" si="367"/>
        <v>0</v>
      </c>
      <c r="T504">
        <f t="shared" si="368"/>
        <v>0</v>
      </c>
      <c r="U504">
        <f t="shared" si="369"/>
        <v>0</v>
      </c>
      <c r="V504">
        <f t="shared" si="370"/>
        <v>0</v>
      </c>
      <c r="W504">
        <f t="shared" si="371"/>
        <v>0</v>
      </c>
      <c r="X504">
        <f t="shared" si="372"/>
        <v>0</v>
      </c>
      <c r="Y504">
        <f t="shared" si="373"/>
        <v>0</v>
      </c>
      <c r="AA504">
        <v>-1</v>
      </c>
      <c r="AB504">
        <f t="shared" si="374"/>
        <v>42320.97</v>
      </c>
      <c r="AC504">
        <f t="shared" si="375"/>
        <v>42320.97</v>
      </c>
      <c r="AD504">
        <f t="shared" si="376"/>
        <v>0</v>
      </c>
      <c r="AE504">
        <f t="shared" si="377"/>
        <v>0</v>
      </c>
      <c r="AF504">
        <f t="shared" si="378"/>
        <v>0</v>
      </c>
      <c r="AG504">
        <f t="shared" si="379"/>
        <v>0</v>
      </c>
      <c r="AH504">
        <f t="shared" si="380"/>
        <v>0</v>
      </c>
      <c r="AI504">
        <f t="shared" si="381"/>
        <v>0</v>
      </c>
      <c r="AJ504">
        <f t="shared" si="382"/>
        <v>0</v>
      </c>
      <c r="AK504">
        <v>42320.97</v>
      </c>
      <c r="AL504">
        <v>42320.97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70</v>
      </c>
      <c r="AU504">
        <v>10</v>
      </c>
      <c r="AV504">
        <v>1</v>
      </c>
      <c r="AW504">
        <v>1</v>
      </c>
      <c r="AZ504">
        <v>1</v>
      </c>
      <c r="BA504">
        <v>1</v>
      </c>
      <c r="BB504">
        <v>1</v>
      </c>
      <c r="BC504">
        <v>1</v>
      </c>
      <c r="BD504" t="s">
        <v>3</v>
      </c>
      <c r="BE504" t="s">
        <v>3</v>
      </c>
      <c r="BF504" t="s">
        <v>3</v>
      </c>
      <c r="BG504" t="s">
        <v>3</v>
      </c>
      <c r="BH504">
        <v>3</v>
      </c>
      <c r="BI504">
        <v>4</v>
      </c>
      <c r="BJ504" t="s">
        <v>398</v>
      </c>
      <c r="BM504">
        <v>0</v>
      </c>
      <c r="BN504">
        <v>0</v>
      </c>
      <c r="BO504" t="s">
        <v>3</v>
      </c>
      <c r="BP504">
        <v>0</v>
      </c>
      <c r="BQ504">
        <v>1</v>
      </c>
      <c r="BR504">
        <v>0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 t="s">
        <v>3</v>
      </c>
      <c r="BZ504">
        <v>70</v>
      </c>
      <c r="CA504">
        <v>10</v>
      </c>
      <c r="CE504">
        <v>0</v>
      </c>
      <c r="CF504">
        <v>0</v>
      </c>
      <c r="CG504">
        <v>0</v>
      </c>
      <c r="CM504">
        <v>0</v>
      </c>
      <c r="CN504" t="s">
        <v>3</v>
      </c>
      <c r="CO504">
        <v>0</v>
      </c>
      <c r="CP504">
        <f t="shared" si="383"/>
        <v>42320.97</v>
      </c>
      <c r="CQ504">
        <f t="shared" si="384"/>
        <v>42320.97</v>
      </c>
      <c r="CR504">
        <f t="shared" si="385"/>
        <v>0</v>
      </c>
      <c r="CS504">
        <f t="shared" si="386"/>
        <v>0</v>
      </c>
      <c r="CT504">
        <f t="shared" si="387"/>
        <v>0</v>
      </c>
      <c r="CU504">
        <f t="shared" si="388"/>
        <v>0</v>
      </c>
      <c r="CV504">
        <f t="shared" si="389"/>
        <v>0</v>
      </c>
      <c r="CW504">
        <f t="shared" si="390"/>
        <v>0</v>
      </c>
      <c r="CX504">
        <f t="shared" si="391"/>
        <v>0</v>
      </c>
      <c r="CY504">
        <f t="shared" si="392"/>
        <v>0</v>
      </c>
      <c r="CZ504">
        <f t="shared" si="393"/>
        <v>0</v>
      </c>
      <c r="DC504" t="s">
        <v>3</v>
      </c>
      <c r="DD504" t="s">
        <v>3</v>
      </c>
      <c r="DE504" t="s">
        <v>3</v>
      </c>
      <c r="DF504" t="s">
        <v>3</v>
      </c>
      <c r="DG504" t="s">
        <v>3</v>
      </c>
      <c r="DH504" t="s">
        <v>3</v>
      </c>
      <c r="DI504" t="s">
        <v>3</v>
      </c>
      <c r="DJ504" t="s">
        <v>3</v>
      </c>
      <c r="DK504" t="s">
        <v>3</v>
      </c>
      <c r="DL504" t="s">
        <v>3</v>
      </c>
      <c r="DM504" t="s">
        <v>3</v>
      </c>
      <c r="DN504">
        <v>0</v>
      </c>
      <c r="DO504">
        <v>0</v>
      </c>
      <c r="DP504">
        <v>1</v>
      </c>
      <c r="DQ504">
        <v>1</v>
      </c>
      <c r="DU504">
        <v>1010</v>
      </c>
      <c r="DV504" t="s">
        <v>232</v>
      </c>
      <c r="DW504" t="s">
        <v>232</v>
      </c>
      <c r="DX504">
        <v>1</v>
      </c>
      <c r="EE504">
        <v>67874524</v>
      </c>
      <c r="EF504">
        <v>1</v>
      </c>
      <c r="EG504" t="s">
        <v>20</v>
      </c>
      <c r="EH504">
        <v>0</v>
      </c>
      <c r="EI504" t="s">
        <v>3</v>
      </c>
      <c r="EJ504">
        <v>4</v>
      </c>
      <c r="EK504">
        <v>0</v>
      </c>
      <c r="EL504" t="s">
        <v>21</v>
      </c>
      <c r="EM504" t="s">
        <v>22</v>
      </c>
      <c r="EO504" t="s">
        <v>3</v>
      </c>
      <c r="EQ504">
        <v>1024</v>
      </c>
      <c r="ER504">
        <v>42320.97</v>
      </c>
      <c r="ES504">
        <v>42320.97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FQ504">
        <v>0</v>
      </c>
      <c r="FR504">
        <f t="shared" si="394"/>
        <v>0</v>
      </c>
      <c r="FS504">
        <v>0</v>
      </c>
      <c r="FX504">
        <v>70</v>
      </c>
      <c r="FY504">
        <v>10</v>
      </c>
      <c r="GA504" t="s">
        <v>3</v>
      </c>
      <c r="GD504">
        <v>0</v>
      </c>
      <c r="GF504">
        <v>-738310445</v>
      </c>
      <c r="GG504">
        <v>2</v>
      </c>
      <c r="GH504">
        <v>1</v>
      </c>
      <c r="GI504">
        <v>-2</v>
      </c>
      <c r="GJ504">
        <v>0</v>
      </c>
      <c r="GK504">
        <f>ROUND(R504*(R12)/100,2)</f>
        <v>0</v>
      </c>
      <c r="GL504">
        <f t="shared" si="395"/>
        <v>0</v>
      </c>
      <c r="GM504">
        <f t="shared" si="396"/>
        <v>42320.97</v>
      </c>
      <c r="GN504">
        <f t="shared" si="397"/>
        <v>0</v>
      </c>
      <c r="GO504">
        <f t="shared" si="398"/>
        <v>0</v>
      </c>
      <c r="GP504">
        <f t="shared" si="399"/>
        <v>42320.97</v>
      </c>
      <c r="GR504">
        <v>0</v>
      </c>
      <c r="GS504">
        <v>3</v>
      </c>
      <c r="GT504">
        <v>0</v>
      </c>
      <c r="GU504" t="s">
        <v>3</v>
      </c>
      <c r="GV504">
        <f t="shared" si="400"/>
        <v>0</v>
      </c>
      <c r="GW504">
        <v>1</v>
      </c>
      <c r="GX504">
        <f t="shared" si="401"/>
        <v>0</v>
      </c>
      <c r="HA504">
        <v>0</v>
      </c>
      <c r="HB504">
        <v>0</v>
      </c>
      <c r="HC504">
        <f t="shared" si="402"/>
        <v>0</v>
      </c>
      <c r="IK504">
        <v>0</v>
      </c>
    </row>
    <row r="505" spans="1:245" x14ac:dyDescent="0.2">
      <c r="A505">
        <v>17</v>
      </c>
      <c r="B505">
        <v>1</v>
      </c>
      <c r="E505" t="s">
        <v>3</v>
      </c>
      <c r="F505" t="s">
        <v>399</v>
      </c>
      <c r="G505" t="s">
        <v>952</v>
      </c>
      <c r="H505" t="s">
        <v>367</v>
      </c>
      <c r="I505">
        <v>2</v>
      </c>
      <c r="J505">
        <v>0</v>
      </c>
      <c r="O505">
        <f t="shared" si="363"/>
        <v>3046087.26</v>
      </c>
      <c r="P505">
        <f t="shared" si="364"/>
        <v>3046087.26</v>
      </c>
      <c r="Q505">
        <f t="shared" si="365"/>
        <v>0</v>
      </c>
      <c r="R505">
        <f t="shared" si="366"/>
        <v>0</v>
      </c>
      <c r="S505">
        <f t="shared" si="367"/>
        <v>0</v>
      </c>
      <c r="T505">
        <f t="shared" si="368"/>
        <v>0</v>
      </c>
      <c r="U505">
        <f t="shared" si="369"/>
        <v>0</v>
      </c>
      <c r="V505">
        <f t="shared" si="370"/>
        <v>0</v>
      </c>
      <c r="W505">
        <f t="shared" si="371"/>
        <v>0</v>
      </c>
      <c r="X505">
        <f t="shared" si="372"/>
        <v>0</v>
      </c>
      <c r="Y505">
        <f t="shared" si="373"/>
        <v>0</v>
      </c>
      <c r="AA505">
        <v>-1</v>
      </c>
      <c r="AB505">
        <f t="shared" si="374"/>
        <v>1523043.63</v>
      </c>
      <c r="AC505">
        <f t="shared" si="375"/>
        <v>1523043.63</v>
      </c>
      <c r="AD505">
        <f t="shared" si="376"/>
        <v>0</v>
      </c>
      <c r="AE505">
        <f t="shared" si="377"/>
        <v>0</v>
      </c>
      <c r="AF505">
        <f t="shared" si="378"/>
        <v>0</v>
      </c>
      <c r="AG505">
        <f t="shared" si="379"/>
        <v>0</v>
      </c>
      <c r="AH505">
        <f t="shared" si="380"/>
        <v>0</v>
      </c>
      <c r="AI505">
        <f t="shared" si="381"/>
        <v>0</v>
      </c>
      <c r="AJ505">
        <f t="shared" si="382"/>
        <v>0</v>
      </c>
      <c r="AK505">
        <v>1523043.63</v>
      </c>
      <c r="AL505">
        <v>1523043.63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70</v>
      </c>
      <c r="AU505">
        <v>10</v>
      </c>
      <c r="AV505">
        <v>1</v>
      </c>
      <c r="AW505">
        <v>1</v>
      </c>
      <c r="AZ505">
        <v>1</v>
      </c>
      <c r="BA505">
        <v>1</v>
      </c>
      <c r="BB505">
        <v>1</v>
      </c>
      <c r="BC505">
        <v>1</v>
      </c>
      <c r="BD505" t="s">
        <v>3</v>
      </c>
      <c r="BE505" t="s">
        <v>3</v>
      </c>
      <c r="BF505" t="s">
        <v>3</v>
      </c>
      <c r="BG505" t="s">
        <v>3</v>
      </c>
      <c r="BH505">
        <v>3</v>
      </c>
      <c r="BI505">
        <v>4</v>
      </c>
      <c r="BJ505" t="s">
        <v>400</v>
      </c>
      <c r="BM505">
        <v>0</v>
      </c>
      <c r="BN505">
        <v>0</v>
      </c>
      <c r="BO505" t="s">
        <v>3</v>
      </c>
      <c r="BP505">
        <v>0</v>
      </c>
      <c r="BQ505">
        <v>1</v>
      </c>
      <c r="BR505">
        <v>0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 t="s">
        <v>3</v>
      </c>
      <c r="BZ505">
        <v>70</v>
      </c>
      <c r="CA505">
        <v>10</v>
      </c>
      <c r="CE505">
        <v>0</v>
      </c>
      <c r="CF505">
        <v>0</v>
      </c>
      <c r="CG505">
        <v>0</v>
      </c>
      <c r="CM505">
        <v>0</v>
      </c>
      <c r="CN505" t="s">
        <v>3</v>
      </c>
      <c r="CO505">
        <v>0</v>
      </c>
      <c r="CP505">
        <f t="shared" si="383"/>
        <v>3046087.26</v>
      </c>
      <c r="CQ505">
        <f t="shared" si="384"/>
        <v>1523043.63</v>
      </c>
      <c r="CR505">
        <f t="shared" si="385"/>
        <v>0</v>
      </c>
      <c r="CS505">
        <f t="shared" si="386"/>
        <v>0</v>
      </c>
      <c r="CT505">
        <f t="shared" si="387"/>
        <v>0</v>
      </c>
      <c r="CU505">
        <f t="shared" si="388"/>
        <v>0</v>
      </c>
      <c r="CV505">
        <f t="shared" si="389"/>
        <v>0</v>
      </c>
      <c r="CW505">
        <f t="shared" si="390"/>
        <v>0</v>
      </c>
      <c r="CX505">
        <f t="shared" si="391"/>
        <v>0</v>
      </c>
      <c r="CY505">
        <f t="shared" si="392"/>
        <v>0</v>
      </c>
      <c r="CZ505">
        <f t="shared" si="393"/>
        <v>0</v>
      </c>
      <c r="DC505" t="s">
        <v>3</v>
      </c>
      <c r="DD505" t="s">
        <v>3</v>
      </c>
      <c r="DE505" t="s">
        <v>3</v>
      </c>
      <c r="DF505" t="s">
        <v>3</v>
      </c>
      <c r="DG505" t="s">
        <v>3</v>
      </c>
      <c r="DH505" t="s">
        <v>3</v>
      </c>
      <c r="DI505" t="s">
        <v>3</v>
      </c>
      <c r="DJ505" t="s">
        <v>3</v>
      </c>
      <c r="DK505" t="s">
        <v>3</v>
      </c>
      <c r="DL505" t="s">
        <v>3</v>
      </c>
      <c r="DM505" t="s">
        <v>3</v>
      </c>
      <c r="DN505">
        <v>0</v>
      </c>
      <c r="DO505">
        <v>0</v>
      </c>
      <c r="DP505">
        <v>1</v>
      </c>
      <c r="DQ505">
        <v>1</v>
      </c>
      <c r="DU505">
        <v>1013</v>
      </c>
      <c r="DV505" t="s">
        <v>367</v>
      </c>
      <c r="DW505" t="s">
        <v>367</v>
      </c>
      <c r="DX505">
        <v>1</v>
      </c>
      <c r="EE505">
        <v>67874524</v>
      </c>
      <c r="EF505">
        <v>1</v>
      </c>
      <c r="EG505" t="s">
        <v>20</v>
      </c>
      <c r="EH505">
        <v>0</v>
      </c>
      <c r="EI505" t="s">
        <v>3</v>
      </c>
      <c r="EJ505">
        <v>4</v>
      </c>
      <c r="EK505">
        <v>0</v>
      </c>
      <c r="EL505" t="s">
        <v>21</v>
      </c>
      <c r="EM505" t="s">
        <v>22</v>
      </c>
      <c r="EO505" t="s">
        <v>3</v>
      </c>
      <c r="EQ505">
        <v>1024</v>
      </c>
      <c r="ER505">
        <v>1523043.63</v>
      </c>
      <c r="ES505">
        <v>1523043.63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FQ505">
        <v>0</v>
      </c>
      <c r="FR505">
        <f t="shared" si="394"/>
        <v>0</v>
      </c>
      <c r="FS505">
        <v>0</v>
      </c>
      <c r="FX505">
        <v>70</v>
      </c>
      <c r="FY505">
        <v>10</v>
      </c>
      <c r="GA505" t="s">
        <v>3</v>
      </c>
      <c r="GD505">
        <v>0</v>
      </c>
      <c r="GF505">
        <v>-406529080</v>
      </c>
      <c r="GG505">
        <v>2</v>
      </c>
      <c r="GH505">
        <v>1</v>
      </c>
      <c r="GI505">
        <v>-2</v>
      </c>
      <c r="GJ505">
        <v>0</v>
      </c>
      <c r="GK505">
        <f>ROUND(R505*(R12)/100,2)</f>
        <v>0</v>
      </c>
      <c r="GL505">
        <f t="shared" si="395"/>
        <v>0</v>
      </c>
      <c r="GM505">
        <f t="shared" si="396"/>
        <v>3046087.26</v>
      </c>
      <c r="GN505">
        <f t="shared" si="397"/>
        <v>0</v>
      </c>
      <c r="GO505">
        <f t="shared" si="398"/>
        <v>0</v>
      </c>
      <c r="GP505">
        <f t="shared" si="399"/>
        <v>3046087.26</v>
      </c>
      <c r="GR505">
        <v>0</v>
      </c>
      <c r="GS505">
        <v>3</v>
      </c>
      <c r="GT505">
        <v>0</v>
      </c>
      <c r="GU505" t="s">
        <v>3</v>
      </c>
      <c r="GV505">
        <f t="shared" si="400"/>
        <v>0</v>
      </c>
      <c r="GW505">
        <v>1</v>
      </c>
      <c r="GX505">
        <f t="shared" si="401"/>
        <v>0</v>
      </c>
      <c r="HA505">
        <v>0</v>
      </c>
      <c r="HB505">
        <v>0</v>
      </c>
      <c r="HC505">
        <f t="shared" si="402"/>
        <v>0</v>
      </c>
      <c r="IK505">
        <v>0</v>
      </c>
    </row>
    <row r="506" spans="1:245" x14ac:dyDescent="0.2">
      <c r="A506">
        <v>17</v>
      </c>
      <c r="B506">
        <v>1</v>
      </c>
      <c r="E506" t="s">
        <v>119</v>
      </c>
      <c r="F506" t="s">
        <v>401</v>
      </c>
      <c r="G506" t="s">
        <v>402</v>
      </c>
      <c r="H506" t="s">
        <v>232</v>
      </c>
      <c r="I506">
        <v>1</v>
      </c>
      <c r="J506">
        <v>0</v>
      </c>
      <c r="O506">
        <f t="shared" si="363"/>
        <v>212357.03</v>
      </c>
      <c r="P506">
        <f t="shared" si="364"/>
        <v>212357.03</v>
      </c>
      <c r="Q506">
        <f t="shared" si="365"/>
        <v>0</v>
      </c>
      <c r="R506">
        <f t="shared" si="366"/>
        <v>0</v>
      </c>
      <c r="S506">
        <f t="shared" si="367"/>
        <v>0</v>
      </c>
      <c r="T506">
        <f t="shared" si="368"/>
        <v>0</v>
      </c>
      <c r="U506">
        <f t="shared" si="369"/>
        <v>0</v>
      </c>
      <c r="V506">
        <f t="shared" si="370"/>
        <v>0</v>
      </c>
      <c r="W506">
        <f t="shared" si="371"/>
        <v>0</v>
      </c>
      <c r="X506">
        <f t="shared" si="372"/>
        <v>0</v>
      </c>
      <c r="Y506">
        <f t="shared" si="373"/>
        <v>0</v>
      </c>
      <c r="AA506">
        <v>71209905</v>
      </c>
      <c r="AB506">
        <f t="shared" si="374"/>
        <v>212357.03</v>
      </c>
      <c r="AC506">
        <f t="shared" si="375"/>
        <v>212357.03</v>
      </c>
      <c r="AD506">
        <f t="shared" si="376"/>
        <v>0</v>
      </c>
      <c r="AE506">
        <f t="shared" si="377"/>
        <v>0</v>
      </c>
      <c r="AF506">
        <f t="shared" si="378"/>
        <v>0</v>
      </c>
      <c r="AG506">
        <f t="shared" si="379"/>
        <v>0</v>
      </c>
      <c r="AH506">
        <f t="shared" si="380"/>
        <v>0</v>
      </c>
      <c r="AI506">
        <f t="shared" si="381"/>
        <v>0</v>
      </c>
      <c r="AJ506">
        <f t="shared" si="382"/>
        <v>0</v>
      </c>
      <c r="AK506">
        <v>212357.03</v>
      </c>
      <c r="AL506">
        <v>212357.03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70</v>
      </c>
      <c r="AU506">
        <v>10</v>
      </c>
      <c r="AV506">
        <v>1</v>
      </c>
      <c r="AW506">
        <v>1</v>
      </c>
      <c r="AZ506">
        <v>1</v>
      </c>
      <c r="BA506">
        <v>1</v>
      </c>
      <c r="BB506">
        <v>1</v>
      </c>
      <c r="BC506">
        <v>1</v>
      </c>
      <c r="BD506" t="s">
        <v>3</v>
      </c>
      <c r="BE506" t="s">
        <v>3</v>
      </c>
      <c r="BF506" t="s">
        <v>3</v>
      </c>
      <c r="BG506" t="s">
        <v>3</v>
      </c>
      <c r="BH506">
        <v>3</v>
      </c>
      <c r="BI506">
        <v>4</v>
      </c>
      <c r="BJ506" t="s">
        <v>403</v>
      </c>
      <c r="BM506">
        <v>0</v>
      </c>
      <c r="BN506">
        <v>0</v>
      </c>
      <c r="BO506" t="s">
        <v>3</v>
      </c>
      <c r="BP506">
        <v>0</v>
      </c>
      <c r="BQ506">
        <v>1</v>
      </c>
      <c r="BR506">
        <v>0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 t="s">
        <v>3</v>
      </c>
      <c r="BZ506">
        <v>70</v>
      </c>
      <c r="CA506">
        <v>10</v>
      </c>
      <c r="CE506">
        <v>0</v>
      </c>
      <c r="CF506">
        <v>0</v>
      </c>
      <c r="CG506">
        <v>0</v>
      </c>
      <c r="CM506">
        <v>0</v>
      </c>
      <c r="CN506" t="s">
        <v>3</v>
      </c>
      <c r="CO506">
        <v>0</v>
      </c>
      <c r="CP506">
        <f t="shared" si="383"/>
        <v>212357.03</v>
      </c>
      <c r="CQ506">
        <f t="shared" si="384"/>
        <v>212357.03</v>
      </c>
      <c r="CR506">
        <f t="shared" si="385"/>
        <v>0</v>
      </c>
      <c r="CS506">
        <f t="shared" si="386"/>
        <v>0</v>
      </c>
      <c r="CT506">
        <f t="shared" si="387"/>
        <v>0</v>
      </c>
      <c r="CU506">
        <f t="shared" si="388"/>
        <v>0</v>
      </c>
      <c r="CV506">
        <f t="shared" si="389"/>
        <v>0</v>
      </c>
      <c r="CW506">
        <f t="shared" si="390"/>
        <v>0</v>
      </c>
      <c r="CX506">
        <f t="shared" si="391"/>
        <v>0</v>
      </c>
      <c r="CY506">
        <f t="shared" si="392"/>
        <v>0</v>
      </c>
      <c r="CZ506">
        <f t="shared" si="393"/>
        <v>0</v>
      </c>
      <c r="DC506" t="s">
        <v>3</v>
      </c>
      <c r="DD506" t="s">
        <v>3</v>
      </c>
      <c r="DE506" t="s">
        <v>3</v>
      </c>
      <c r="DF506" t="s">
        <v>3</v>
      </c>
      <c r="DG506" t="s">
        <v>3</v>
      </c>
      <c r="DH506" t="s">
        <v>3</v>
      </c>
      <c r="DI506" t="s">
        <v>3</v>
      </c>
      <c r="DJ506" t="s">
        <v>3</v>
      </c>
      <c r="DK506" t="s">
        <v>3</v>
      </c>
      <c r="DL506" t="s">
        <v>3</v>
      </c>
      <c r="DM506" t="s">
        <v>3</v>
      </c>
      <c r="DN506">
        <v>0</v>
      </c>
      <c r="DO506">
        <v>0</v>
      </c>
      <c r="DP506">
        <v>1</v>
      </c>
      <c r="DQ506">
        <v>1</v>
      </c>
      <c r="DU506">
        <v>1010</v>
      </c>
      <c r="DV506" t="s">
        <v>232</v>
      </c>
      <c r="DW506" t="s">
        <v>232</v>
      </c>
      <c r="DX506">
        <v>1</v>
      </c>
      <c r="EE506">
        <v>67874524</v>
      </c>
      <c r="EF506">
        <v>1</v>
      </c>
      <c r="EG506" t="s">
        <v>20</v>
      </c>
      <c r="EH506">
        <v>0</v>
      </c>
      <c r="EI506" t="s">
        <v>3</v>
      </c>
      <c r="EJ506">
        <v>4</v>
      </c>
      <c r="EK506">
        <v>0</v>
      </c>
      <c r="EL506" t="s">
        <v>21</v>
      </c>
      <c r="EM506" t="s">
        <v>22</v>
      </c>
      <c r="EO506" t="s">
        <v>3</v>
      </c>
      <c r="EQ506">
        <v>0</v>
      </c>
      <c r="ER506">
        <v>212357.03</v>
      </c>
      <c r="ES506">
        <v>212357.03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FQ506">
        <v>0</v>
      </c>
      <c r="FR506">
        <f t="shared" si="394"/>
        <v>0</v>
      </c>
      <c r="FS506">
        <v>0</v>
      </c>
      <c r="FX506">
        <v>70</v>
      </c>
      <c r="FY506">
        <v>10</v>
      </c>
      <c r="GA506" t="s">
        <v>3</v>
      </c>
      <c r="GD506">
        <v>0</v>
      </c>
      <c r="GF506">
        <v>1449543497</v>
      </c>
      <c r="GG506">
        <v>2</v>
      </c>
      <c r="GH506">
        <v>1</v>
      </c>
      <c r="GI506">
        <v>-2</v>
      </c>
      <c r="GJ506">
        <v>0</v>
      </c>
      <c r="GK506">
        <f>ROUND(R506*(R12)/100,2)</f>
        <v>0</v>
      </c>
      <c r="GL506">
        <f t="shared" si="395"/>
        <v>0</v>
      </c>
      <c r="GM506">
        <f t="shared" si="396"/>
        <v>212357.03</v>
      </c>
      <c r="GN506">
        <f t="shared" si="397"/>
        <v>0</v>
      </c>
      <c r="GO506">
        <f t="shared" si="398"/>
        <v>0</v>
      </c>
      <c r="GP506">
        <f t="shared" si="399"/>
        <v>212357.03</v>
      </c>
      <c r="GR506">
        <v>0</v>
      </c>
      <c r="GS506">
        <v>3</v>
      </c>
      <c r="GT506">
        <v>0</v>
      </c>
      <c r="GU506" t="s">
        <v>3</v>
      </c>
      <c r="GV506">
        <f t="shared" si="400"/>
        <v>0</v>
      </c>
      <c r="GW506">
        <v>1</v>
      </c>
      <c r="GX506">
        <f t="shared" si="401"/>
        <v>0</v>
      </c>
      <c r="HA506">
        <v>0</v>
      </c>
      <c r="HB506">
        <v>0</v>
      </c>
      <c r="HC506">
        <f t="shared" si="402"/>
        <v>0</v>
      </c>
      <c r="IK506">
        <v>0</v>
      </c>
    </row>
    <row r="507" spans="1:245" x14ac:dyDescent="0.2">
      <c r="A507">
        <v>17</v>
      </c>
      <c r="B507">
        <v>1</v>
      </c>
      <c r="E507" t="s">
        <v>123</v>
      </c>
      <c r="F507" t="s">
        <v>404</v>
      </c>
      <c r="G507" t="s">
        <v>405</v>
      </c>
      <c r="H507" t="s">
        <v>232</v>
      </c>
      <c r="I507">
        <v>1</v>
      </c>
      <c r="J507">
        <v>0</v>
      </c>
      <c r="O507">
        <f t="shared" si="363"/>
        <v>27978.6</v>
      </c>
      <c r="P507">
        <f t="shared" si="364"/>
        <v>27978.6</v>
      </c>
      <c r="Q507">
        <f t="shared" si="365"/>
        <v>0</v>
      </c>
      <c r="R507">
        <f t="shared" si="366"/>
        <v>0</v>
      </c>
      <c r="S507">
        <f t="shared" si="367"/>
        <v>0</v>
      </c>
      <c r="T507">
        <f t="shared" si="368"/>
        <v>0</v>
      </c>
      <c r="U507">
        <f t="shared" si="369"/>
        <v>0</v>
      </c>
      <c r="V507">
        <f t="shared" si="370"/>
        <v>0</v>
      </c>
      <c r="W507">
        <f t="shared" si="371"/>
        <v>0</v>
      </c>
      <c r="X507">
        <f t="shared" si="372"/>
        <v>0</v>
      </c>
      <c r="Y507">
        <f t="shared" si="373"/>
        <v>0</v>
      </c>
      <c r="AA507">
        <v>71209905</v>
      </c>
      <c r="AB507">
        <f t="shared" si="374"/>
        <v>27978.6</v>
      </c>
      <c r="AC507">
        <f t="shared" si="375"/>
        <v>27978.6</v>
      </c>
      <c r="AD507">
        <f t="shared" si="376"/>
        <v>0</v>
      </c>
      <c r="AE507">
        <f t="shared" si="377"/>
        <v>0</v>
      </c>
      <c r="AF507">
        <f t="shared" si="378"/>
        <v>0</v>
      </c>
      <c r="AG507">
        <f t="shared" si="379"/>
        <v>0</v>
      </c>
      <c r="AH507">
        <f t="shared" si="380"/>
        <v>0</v>
      </c>
      <c r="AI507">
        <f t="shared" si="381"/>
        <v>0</v>
      </c>
      <c r="AJ507">
        <f t="shared" si="382"/>
        <v>0</v>
      </c>
      <c r="AK507">
        <v>27978.6</v>
      </c>
      <c r="AL507">
        <v>27978.6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70</v>
      </c>
      <c r="AU507">
        <v>10</v>
      </c>
      <c r="AV507">
        <v>1</v>
      </c>
      <c r="AW507">
        <v>1</v>
      </c>
      <c r="AZ507">
        <v>1</v>
      </c>
      <c r="BA507">
        <v>1</v>
      </c>
      <c r="BB507">
        <v>1</v>
      </c>
      <c r="BC507">
        <v>1</v>
      </c>
      <c r="BD507" t="s">
        <v>3</v>
      </c>
      <c r="BE507" t="s">
        <v>3</v>
      </c>
      <c r="BF507" t="s">
        <v>3</v>
      </c>
      <c r="BG507" t="s">
        <v>3</v>
      </c>
      <c r="BH507">
        <v>3</v>
      </c>
      <c r="BI507">
        <v>4</v>
      </c>
      <c r="BJ507" t="s">
        <v>406</v>
      </c>
      <c r="BM507">
        <v>0</v>
      </c>
      <c r="BN507">
        <v>0</v>
      </c>
      <c r="BO507" t="s">
        <v>3</v>
      </c>
      <c r="BP507">
        <v>0</v>
      </c>
      <c r="BQ507">
        <v>1</v>
      </c>
      <c r="BR507">
        <v>0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 t="s">
        <v>3</v>
      </c>
      <c r="BZ507">
        <v>70</v>
      </c>
      <c r="CA507">
        <v>10</v>
      </c>
      <c r="CE507">
        <v>0</v>
      </c>
      <c r="CF507">
        <v>0</v>
      </c>
      <c r="CG507">
        <v>0</v>
      </c>
      <c r="CM507">
        <v>0</v>
      </c>
      <c r="CN507" t="s">
        <v>3</v>
      </c>
      <c r="CO507">
        <v>0</v>
      </c>
      <c r="CP507">
        <f t="shared" si="383"/>
        <v>27978.6</v>
      </c>
      <c r="CQ507">
        <f t="shared" si="384"/>
        <v>27978.6</v>
      </c>
      <c r="CR507">
        <f t="shared" si="385"/>
        <v>0</v>
      </c>
      <c r="CS507">
        <f t="shared" si="386"/>
        <v>0</v>
      </c>
      <c r="CT507">
        <f t="shared" si="387"/>
        <v>0</v>
      </c>
      <c r="CU507">
        <f t="shared" si="388"/>
        <v>0</v>
      </c>
      <c r="CV507">
        <f t="shared" si="389"/>
        <v>0</v>
      </c>
      <c r="CW507">
        <f t="shared" si="390"/>
        <v>0</v>
      </c>
      <c r="CX507">
        <f t="shared" si="391"/>
        <v>0</v>
      </c>
      <c r="CY507">
        <f t="shared" si="392"/>
        <v>0</v>
      </c>
      <c r="CZ507">
        <f t="shared" si="393"/>
        <v>0</v>
      </c>
      <c r="DC507" t="s">
        <v>3</v>
      </c>
      <c r="DD507" t="s">
        <v>3</v>
      </c>
      <c r="DE507" t="s">
        <v>3</v>
      </c>
      <c r="DF507" t="s">
        <v>3</v>
      </c>
      <c r="DG507" t="s">
        <v>3</v>
      </c>
      <c r="DH507" t="s">
        <v>3</v>
      </c>
      <c r="DI507" t="s">
        <v>3</v>
      </c>
      <c r="DJ507" t="s">
        <v>3</v>
      </c>
      <c r="DK507" t="s">
        <v>3</v>
      </c>
      <c r="DL507" t="s">
        <v>3</v>
      </c>
      <c r="DM507" t="s">
        <v>3</v>
      </c>
      <c r="DN507">
        <v>0</v>
      </c>
      <c r="DO507">
        <v>0</v>
      </c>
      <c r="DP507">
        <v>1</v>
      </c>
      <c r="DQ507">
        <v>1</v>
      </c>
      <c r="DU507">
        <v>1010</v>
      </c>
      <c r="DV507" t="s">
        <v>232</v>
      </c>
      <c r="DW507" t="s">
        <v>232</v>
      </c>
      <c r="DX507">
        <v>1</v>
      </c>
      <c r="EE507">
        <v>67874524</v>
      </c>
      <c r="EF507">
        <v>1</v>
      </c>
      <c r="EG507" t="s">
        <v>20</v>
      </c>
      <c r="EH507">
        <v>0</v>
      </c>
      <c r="EI507" t="s">
        <v>3</v>
      </c>
      <c r="EJ507">
        <v>4</v>
      </c>
      <c r="EK507">
        <v>0</v>
      </c>
      <c r="EL507" t="s">
        <v>21</v>
      </c>
      <c r="EM507" t="s">
        <v>22</v>
      </c>
      <c r="EO507" t="s">
        <v>3</v>
      </c>
      <c r="EQ507">
        <v>0</v>
      </c>
      <c r="ER507">
        <v>27978.6</v>
      </c>
      <c r="ES507">
        <v>27978.6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FQ507">
        <v>0</v>
      </c>
      <c r="FR507">
        <f t="shared" si="394"/>
        <v>0</v>
      </c>
      <c r="FS507">
        <v>0</v>
      </c>
      <c r="FX507">
        <v>70</v>
      </c>
      <c r="FY507">
        <v>10</v>
      </c>
      <c r="GA507" t="s">
        <v>3</v>
      </c>
      <c r="GD507">
        <v>0</v>
      </c>
      <c r="GF507">
        <v>830236800</v>
      </c>
      <c r="GG507">
        <v>2</v>
      </c>
      <c r="GH507">
        <v>1</v>
      </c>
      <c r="GI507">
        <v>-2</v>
      </c>
      <c r="GJ507">
        <v>0</v>
      </c>
      <c r="GK507">
        <f>ROUND(R507*(R12)/100,2)</f>
        <v>0</v>
      </c>
      <c r="GL507">
        <f t="shared" si="395"/>
        <v>0</v>
      </c>
      <c r="GM507">
        <f t="shared" si="396"/>
        <v>27978.6</v>
      </c>
      <c r="GN507">
        <f t="shared" si="397"/>
        <v>0</v>
      </c>
      <c r="GO507">
        <f t="shared" si="398"/>
        <v>0</v>
      </c>
      <c r="GP507">
        <f t="shared" si="399"/>
        <v>27978.6</v>
      </c>
      <c r="GR507">
        <v>0</v>
      </c>
      <c r="GS507">
        <v>3</v>
      </c>
      <c r="GT507">
        <v>0</v>
      </c>
      <c r="GU507" t="s">
        <v>3</v>
      </c>
      <c r="GV507">
        <f t="shared" si="400"/>
        <v>0</v>
      </c>
      <c r="GW507">
        <v>1</v>
      </c>
      <c r="GX507">
        <f t="shared" si="401"/>
        <v>0</v>
      </c>
      <c r="HA507">
        <v>0</v>
      </c>
      <c r="HB507">
        <v>0</v>
      </c>
      <c r="HC507">
        <f t="shared" si="402"/>
        <v>0</v>
      </c>
      <c r="IK507">
        <v>0</v>
      </c>
    </row>
    <row r="508" spans="1:245" x14ac:dyDescent="0.2">
      <c r="A508">
        <v>17</v>
      </c>
      <c r="B508">
        <v>1</v>
      </c>
      <c r="E508" t="s">
        <v>127</v>
      </c>
      <c r="F508" t="s">
        <v>407</v>
      </c>
      <c r="G508" t="s">
        <v>408</v>
      </c>
      <c r="H508" t="s">
        <v>232</v>
      </c>
      <c r="I508">
        <v>1</v>
      </c>
      <c r="J508">
        <v>0</v>
      </c>
      <c r="O508">
        <f t="shared" si="363"/>
        <v>80558</v>
      </c>
      <c r="P508">
        <f t="shared" si="364"/>
        <v>80558</v>
      </c>
      <c r="Q508">
        <f t="shared" si="365"/>
        <v>0</v>
      </c>
      <c r="R508">
        <f t="shared" si="366"/>
        <v>0</v>
      </c>
      <c r="S508">
        <f t="shared" si="367"/>
        <v>0</v>
      </c>
      <c r="T508">
        <f t="shared" si="368"/>
        <v>0</v>
      </c>
      <c r="U508">
        <f t="shared" si="369"/>
        <v>0</v>
      </c>
      <c r="V508">
        <f t="shared" si="370"/>
        <v>0</v>
      </c>
      <c r="W508">
        <f t="shared" si="371"/>
        <v>0</v>
      </c>
      <c r="X508">
        <f t="shared" si="372"/>
        <v>0</v>
      </c>
      <c r="Y508">
        <f t="shared" si="373"/>
        <v>0</v>
      </c>
      <c r="AA508">
        <v>71209905</v>
      </c>
      <c r="AB508">
        <f t="shared" si="374"/>
        <v>80558</v>
      </c>
      <c r="AC508">
        <f t="shared" si="375"/>
        <v>80558</v>
      </c>
      <c r="AD508">
        <f t="shared" si="376"/>
        <v>0</v>
      </c>
      <c r="AE508">
        <f t="shared" si="377"/>
        <v>0</v>
      </c>
      <c r="AF508">
        <f t="shared" si="378"/>
        <v>0</v>
      </c>
      <c r="AG508">
        <f t="shared" si="379"/>
        <v>0</v>
      </c>
      <c r="AH508">
        <f t="shared" si="380"/>
        <v>0</v>
      </c>
      <c r="AI508">
        <f t="shared" si="381"/>
        <v>0</v>
      </c>
      <c r="AJ508">
        <f t="shared" si="382"/>
        <v>0</v>
      </c>
      <c r="AK508">
        <v>80558</v>
      </c>
      <c r="AL508">
        <v>80558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70</v>
      </c>
      <c r="AU508">
        <v>10</v>
      </c>
      <c r="AV508">
        <v>1</v>
      </c>
      <c r="AW508">
        <v>1</v>
      </c>
      <c r="AZ508">
        <v>1</v>
      </c>
      <c r="BA508">
        <v>1</v>
      </c>
      <c r="BB508">
        <v>1</v>
      </c>
      <c r="BC508">
        <v>1</v>
      </c>
      <c r="BD508" t="s">
        <v>3</v>
      </c>
      <c r="BE508" t="s">
        <v>3</v>
      </c>
      <c r="BF508" t="s">
        <v>3</v>
      </c>
      <c r="BG508" t="s">
        <v>3</v>
      </c>
      <c r="BH508">
        <v>3</v>
      </c>
      <c r="BI508">
        <v>4</v>
      </c>
      <c r="BJ508" t="s">
        <v>409</v>
      </c>
      <c r="BM508">
        <v>0</v>
      </c>
      <c r="BN508">
        <v>0</v>
      </c>
      <c r="BO508" t="s">
        <v>3</v>
      </c>
      <c r="BP508">
        <v>0</v>
      </c>
      <c r="BQ508">
        <v>1</v>
      </c>
      <c r="BR508">
        <v>0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 t="s">
        <v>3</v>
      </c>
      <c r="BZ508">
        <v>70</v>
      </c>
      <c r="CA508">
        <v>10</v>
      </c>
      <c r="CE508">
        <v>0</v>
      </c>
      <c r="CF508">
        <v>0</v>
      </c>
      <c r="CG508">
        <v>0</v>
      </c>
      <c r="CM508">
        <v>0</v>
      </c>
      <c r="CN508" t="s">
        <v>3</v>
      </c>
      <c r="CO508">
        <v>0</v>
      </c>
      <c r="CP508">
        <f t="shared" si="383"/>
        <v>80558</v>
      </c>
      <c r="CQ508">
        <f t="shared" si="384"/>
        <v>80558</v>
      </c>
      <c r="CR508">
        <f t="shared" si="385"/>
        <v>0</v>
      </c>
      <c r="CS508">
        <f t="shared" si="386"/>
        <v>0</v>
      </c>
      <c r="CT508">
        <f t="shared" si="387"/>
        <v>0</v>
      </c>
      <c r="CU508">
        <f t="shared" si="388"/>
        <v>0</v>
      </c>
      <c r="CV508">
        <f t="shared" si="389"/>
        <v>0</v>
      </c>
      <c r="CW508">
        <f t="shared" si="390"/>
        <v>0</v>
      </c>
      <c r="CX508">
        <f t="shared" si="391"/>
        <v>0</v>
      </c>
      <c r="CY508">
        <f t="shared" si="392"/>
        <v>0</v>
      </c>
      <c r="CZ508">
        <f t="shared" si="393"/>
        <v>0</v>
      </c>
      <c r="DC508" t="s">
        <v>3</v>
      </c>
      <c r="DD508" t="s">
        <v>3</v>
      </c>
      <c r="DE508" t="s">
        <v>3</v>
      </c>
      <c r="DF508" t="s">
        <v>3</v>
      </c>
      <c r="DG508" t="s">
        <v>3</v>
      </c>
      <c r="DH508" t="s">
        <v>3</v>
      </c>
      <c r="DI508" t="s">
        <v>3</v>
      </c>
      <c r="DJ508" t="s">
        <v>3</v>
      </c>
      <c r="DK508" t="s">
        <v>3</v>
      </c>
      <c r="DL508" t="s">
        <v>3</v>
      </c>
      <c r="DM508" t="s">
        <v>3</v>
      </c>
      <c r="DN508">
        <v>0</v>
      </c>
      <c r="DO508">
        <v>0</v>
      </c>
      <c r="DP508">
        <v>1</v>
      </c>
      <c r="DQ508">
        <v>1</v>
      </c>
      <c r="DU508">
        <v>1010</v>
      </c>
      <c r="DV508" t="s">
        <v>232</v>
      </c>
      <c r="DW508" t="s">
        <v>232</v>
      </c>
      <c r="DX508">
        <v>1</v>
      </c>
      <c r="EE508">
        <v>67874524</v>
      </c>
      <c r="EF508">
        <v>1</v>
      </c>
      <c r="EG508" t="s">
        <v>20</v>
      </c>
      <c r="EH508">
        <v>0</v>
      </c>
      <c r="EI508" t="s">
        <v>3</v>
      </c>
      <c r="EJ508">
        <v>4</v>
      </c>
      <c r="EK508">
        <v>0</v>
      </c>
      <c r="EL508" t="s">
        <v>21</v>
      </c>
      <c r="EM508" t="s">
        <v>22</v>
      </c>
      <c r="EO508" t="s">
        <v>3</v>
      </c>
      <c r="EQ508">
        <v>0</v>
      </c>
      <c r="ER508">
        <v>80558</v>
      </c>
      <c r="ES508">
        <v>80558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FQ508">
        <v>0</v>
      </c>
      <c r="FR508">
        <f t="shared" si="394"/>
        <v>0</v>
      </c>
      <c r="FS508">
        <v>0</v>
      </c>
      <c r="FX508">
        <v>70</v>
      </c>
      <c r="FY508">
        <v>10</v>
      </c>
      <c r="GA508" t="s">
        <v>3</v>
      </c>
      <c r="GD508">
        <v>0</v>
      </c>
      <c r="GF508">
        <v>118992075</v>
      </c>
      <c r="GG508">
        <v>2</v>
      </c>
      <c r="GH508">
        <v>1</v>
      </c>
      <c r="GI508">
        <v>-2</v>
      </c>
      <c r="GJ508">
        <v>0</v>
      </c>
      <c r="GK508">
        <f>ROUND(R508*(R12)/100,2)</f>
        <v>0</v>
      </c>
      <c r="GL508">
        <f t="shared" si="395"/>
        <v>0</v>
      </c>
      <c r="GM508">
        <f t="shared" si="396"/>
        <v>80558</v>
      </c>
      <c r="GN508">
        <f t="shared" si="397"/>
        <v>0</v>
      </c>
      <c r="GO508">
        <f t="shared" si="398"/>
        <v>0</v>
      </c>
      <c r="GP508">
        <f t="shared" si="399"/>
        <v>80558</v>
      </c>
      <c r="GR508">
        <v>0</v>
      </c>
      <c r="GS508">
        <v>3</v>
      </c>
      <c r="GT508">
        <v>0</v>
      </c>
      <c r="GU508" t="s">
        <v>3</v>
      </c>
      <c r="GV508">
        <f t="shared" si="400"/>
        <v>0</v>
      </c>
      <c r="GW508">
        <v>1</v>
      </c>
      <c r="GX508">
        <f t="shared" si="401"/>
        <v>0</v>
      </c>
      <c r="HA508">
        <v>0</v>
      </c>
      <c r="HB508">
        <v>0</v>
      </c>
      <c r="HC508">
        <f t="shared" si="402"/>
        <v>0</v>
      </c>
      <c r="IK508">
        <v>0</v>
      </c>
    </row>
    <row r="509" spans="1:245" x14ac:dyDescent="0.2">
      <c r="A509">
        <v>17</v>
      </c>
      <c r="B509">
        <v>1</v>
      </c>
      <c r="E509" t="s">
        <v>3</v>
      </c>
      <c r="F509" t="s">
        <v>410</v>
      </c>
      <c r="G509" t="s">
        <v>953</v>
      </c>
      <c r="H509" t="s">
        <v>367</v>
      </c>
      <c r="I509">
        <v>1</v>
      </c>
      <c r="J509">
        <v>0</v>
      </c>
      <c r="O509">
        <f t="shared" si="363"/>
        <v>305638.90999999997</v>
      </c>
      <c r="P509">
        <f t="shared" si="364"/>
        <v>305638.90999999997</v>
      </c>
      <c r="Q509">
        <f t="shared" si="365"/>
        <v>0</v>
      </c>
      <c r="R509">
        <f t="shared" si="366"/>
        <v>0</v>
      </c>
      <c r="S509">
        <f t="shared" si="367"/>
        <v>0</v>
      </c>
      <c r="T509">
        <f t="shared" si="368"/>
        <v>0</v>
      </c>
      <c r="U509">
        <f t="shared" si="369"/>
        <v>0</v>
      </c>
      <c r="V509">
        <f t="shared" si="370"/>
        <v>0</v>
      </c>
      <c r="W509">
        <f t="shared" si="371"/>
        <v>0</v>
      </c>
      <c r="X509">
        <f t="shared" si="372"/>
        <v>0</v>
      </c>
      <c r="Y509">
        <f t="shared" si="373"/>
        <v>0</v>
      </c>
      <c r="AA509">
        <v>-1</v>
      </c>
      <c r="AB509">
        <f t="shared" si="374"/>
        <v>305638.90999999997</v>
      </c>
      <c r="AC509">
        <f t="shared" si="375"/>
        <v>305638.90999999997</v>
      </c>
      <c r="AD509">
        <f t="shared" si="376"/>
        <v>0</v>
      </c>
      <c r="AE509">
        <f t="shared" si="377"/>
        <v>0</v>
      </c>
      <c r="AF509">
        <f t="shared" si="378"/>
        <v>0</v>
      </c>
      <c r="AG509">
        <f t="shared" si="379"/>
        <v>0</v>
      </c>
      <c r="AH509">
        <f t="shared" si="380"/>
        <v>0</v>
      </c>
      <c r="AI509">
        <f t="shared" si="381"/>
        <v>0</v>
      </c>
      <c r="AJ509">
        <f t="shared" si="382"/>
        <v>0</v>
      </c>
      <c r="AK509">
        <v>305638.90999999997</v>
      </c>
      <c r="AL509">
        <v>305638.90999999997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70</v>
      </c>
      <c r="AU509">
        <v>10</v>
      </c>
      <c r="AV509">
        <v>1</v>
      </c>
      <c r="AW509">
        <v>1</v>
      </c>
      <c r="AZ509">
        <v>1</v>
      </c>
      <c r="BA509">
        <v>1</v>
      </c>
      <c r="BB509">
        <v>1</v>
      </c>
      <c r="BC509">
        <v>1</v>
      </c>
      <c r="BD509" t="s">
        <v>3</v>
      </c>
      <c r="BE509" t="s">
        <v>3</v>
      </c>
      <c r="BF509" t="s">
        <v>3</v>
      </c>
      <c r="BG509" t="s">
        <v>3</v>
      </c>
      <c r="BH509">
        <v>3</v>
      </c>
      <c r="BI509">
        <v>4</v>
      </c>
      <c r="BJ509" t="s">
        <v>411</v>
      </c>
      <c r="BM509">
        <v>0</v>
      </c>
      <c r="BN509">
        <v>0</v>
      </c>
      <c r="BO509" t="s">
        <v>3</v>
      </c>
      <c r="BP509">
        <v>0</v>
      </c>
      <c r="BQ509">
        <v>1</v>
      </c>
      <c r="BR509">
        <v>0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 t="s">
        <v>3</v>
      </c>
      <c r="BZ509">
        <v>70</v>
      </c>
      <c r="CA509">
        <v>10</v>
      </c>
      <c r="CE509">
        <v>0</v>
      </c>
      <c r="CF509">
        <v>0</v>
      </c>
      <c r="CG509">
        <v>0</v>
      </c>
      <c r="CM509">
        <v>0</v>
      </c>
      <c r="CN509" t="s">
        <v>3</v>
      </c>
      <c r="CO509">
        <v>0</v>
      </c>
      <c r="CP509">
        <f t="shared" si="383"/>
        <v>305638.90999999997</v>
      </c>
      <c r="CQ509">
        <f t="shared" si="384"/>
        <v>305638.90999999997</v>
      </c>
      <c r="CR509">
        <f t="shared" si="385"/>
        <v>0</v>
      </c>
      <c r="CS509">
        <f t="shared" si="386"/>
        <v>0</v>
      </c>
      <c r="CT509">
        <f t="shared" si="387"/>
        <v>0</v>
      </c>
      <c r="CU509">
        <f t="shared" si="388"/>
        <v>0</v>
      </c>
      <c r="CV509">
        <f t="shared" si="389"/>
        <v>0</v>
      </c>
      <c r="CW509">
        <f t="shared" si="390"/>
        <v>0</v>
      </c>
      <c r="CX509">
        <f t="shared" si="391"/>
        <v>0</v>
      </c>
      <c r="CY509">
        <f t="shared" si="392"/>
        <v>0</v>
      </c>
      <c r="CZ509">
        <f t="shared" si="393"/>
        <v>0</v>
      </c>
      <c r="DC509" t="s">
        <v>3</v>
      </c>
      <c r="DD509" t="s">
        <v>3</v>
      </c>
      <c r="DE509" t="s">
        <v>3</v>
      </c>
      <c r="DF509" t="s">
        <v>3</v>
      </c>
      <c r="DG509" t="s">
        <v>3</v>
      </c>
      <c r="DH509" t="s">
        <v>3</v>
      </c>
      <c r="DI509" t="s">
        <v>3</v>
      </c>
      <c r="DJ509" t="s">
        <v>3</v>
      </c>
      <c r="DK509" t="s">
        <v>3</v>
      </c>
      <c r="DL509" t="s">
        <v>3</v>
      </c>
      <c r="DM509" t="s">
        <v>3</v>
      </c>
      <c r="DN509">
        <v>0</v>
      </c>
      <c r="DO509">
        <v>0</v>
      </c>
      <c r="DP509">
        <v>1</v>
      </c>
      <c r="DQ509">
        <v>1</v>
      </c>
      <c r="DU509">
        <v>1013</v>
      </c>
      <c r="DV509" t="s">
        <v>367</v>
      </c>
      <c r="DW509" t="s">
        <v>367</v>
      </c>
      <c r="DX509">
        <v>1</v>
      </c>
      <c r="EE509">
        <v>67874524</v>
      </c>
      <c r="EF509">
        <v>1</v>
      </c>
      <c r="EG509" t="s">
        <v>20</v>
      </c>
      <c r="EH509">
        <v>0</v>
      </c>
      <c r="EI509" t="s">
        <v>3</v>
      </c>
      <c r="EJ509">
        <v>4</v>
      </c>
      <c r="EK509">
        <v>0</v>
      </c>
      <c r="EL509" t="s">
        <v>21</v>
      </c>
      <c r="EM509" t="s">
        <v>22</v>
      </c>
      <c r="EO509" t="s">
        <v>3</v>
      </c>
      <c r="EQ509">
        <v>1024</v>
      </c>
      <c r="ER509">
        <v>305638.90999999997</v>
      </c>
      <c r="ES509">
        <v>305638.90999999997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FQ509">
        <v>0</v>
      </c>
      <c r="FR509">
        <f t="shared" si="394"/>
        <v>0</v>
      </c>
      <c r="FS509">
        <v>0</v>
      </c>
      <c r="FX509">
        <v>70</v>
      </c>
      <c r="FY509">
        <v>10</v>
      </c>
      <c r="GA509" t="s">
        <v>3</v>
      </c>
      <c r="GD509">
        <v>0</v>
      </c>
      <c r="GF509">
        <v>2026172912</v>
      </c>
      <c r="GG509">
        <v>2</v>
      </c>
      <c r="GH509">
        <v>1</v>
      </c>
      <c r="GI509">
        <v>-2</v>
      </c>
      <c r="GJ509">
        <v>0</v>
      </c>
      <c r="GK509">
        <f>ROUND(R509*(R12)/100,2)</f>
        <v>0</v>
      </c>
      <c r="GL509">
        <f t="shared" si="395"/>
        <v>0</v>
      </c>
      <c r="GM509">
        <f t="shared" si="396"/>
        <v>305638.90999999997</v>
      </c>
      <c r="GN509">
        <f t="shared" si="397"/>
        <v>0</v>
      </c>
      <c r="GO509">
        <f t="shared" si="398"/>
        <v>0</v>
      </c>
      <c r="GP509">
        <f t="shared" si="399"/>
        <v>305638.90999999997</v>
      </c>
      <c r="GR509">
        <v>0</v>
      </c>
      <c r="GS509">
        <v>3</v>
      </c>
      <c r="GT509">
        <v>0</v>
      </c>
      <c r="GU509" t="s">
        <v>3</v>
      </c>
      <c r="GV509">
        <f t="shared" si="400"/>
        <v>0</v>
      </c>
      <c r="GW509">
        <v>1</v>
      </c>
      <c r="GX509">
        <f t="shared" si="401"/>
        <v>0</v>
      </c>
      <c r="HA509">
        <v>0</v>
      </c>
      <c r="HB509">
        <v>0</v>
      </c>
      <c r="HC509">
        <f t="shared" si="402"/>
        <v>0</v>
      </c>
      <c r="IK509">
        <v>0</v>
      </c>
    </row>
    <row r="510" spans="1:245" x14ac:dyDescent="0.2">
      <c r="A510">
        <v>17</v>
      </c>
      <c r="B510">
        <v>1</v>
      </c>
      <c r="E510" t="s">
        <v>3</v>
      </c>
      <c r="F510" t="s">
        <v>412</v>
      </c>
      <c r="G510" t="s">
        <v>954</v>
      </c>
      <c r="H510" t="s">
        <v>232</v>
      </c>
      <c r="I510">
        <v>1</v>
      </c>
      <c r="J510">
        <v>0</v>
      </c>
      <c r="O510">
        <f t="shared" si="363"/>
        <v>63486.18</v>
      </c>
      <c r="P510">
        <f t="shared" si="364"/>
        <v>63486.18</v>
      </c>
      <c r="Q510">
        <f t="shared" si="365"/>
        <v>0</v>
      </c>
      <c r="R510">
        <f t="shared" si="366"/>
        <v>0</v>
      </c>
      <c r="S510">
        <f t="shared" si="367"/>
        <v>0</v>
      </c>
      <c r="T510">
        <f t="shared" si="368"/>
        <v>0</v>
      </c>
      <c r="U510">
        <f t="shared" si="369"/>
        <v>0</v>
      </c>
      <c r="V510">
        <f t="shared" si="370"/>
        <v>0</v>
      </c>
      <c r="W510">
        <f t="shared" si="371"/>
        <v>0</v>
      </c>
      <c r="X510">
        <f t="shared" si="372"/>
        <v>0</v>
      </c>
      <c r="Y510">
        <f t="shared" si="373"/>
        <v>0</v>
      </c>
      <c r="AA510">
        <v>-1</v>
      </c>
      <c r="AB510">
        <f t="shared" si="374"/>
        <v>63486.18</v>
      </c>
      <c r="AC510">
        <f t="shared" si="375"/>
        <v>63486.18</v>
      </c>
      <c r="AD510">
        <f t="shared" si="376"/>
        <v>0</v>
      </c>
      <c r="AE510">
        <f t="shared" si="377"/>
        <v>0</v>
      </c>
      <c r="AF510">
        <f t="shared" si="378"/>
        <v>0</v>
      </c>
      <c r="AG510">
        <f t="shared" si="379"/>
        <v>0</v>
      </c>
      <c r="AH510">
        <f t="shared" si="380"/>
        <v>0</v>
      </c>
      <c r="AI510">
        <f t="shared" si="381"/>
        <v>0</v>
      </c>
      <c r="AJ510">
        <f t="shared" si="382"/>
        <v>0</v>
      </c>
      <c r="AK510">
        <v>63486.18</v>
      </c>
      <c r="AL510">
        <v>63486.18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70</v>
      </c>
      <c r="AU510">
        <v>10</v>
      </c>
      <c r="AV510">
        <v>1</v>
      </c>
      <c r="AW510">
        <v>1</v>
      </c>
      <c r="AZ510">
        <v>1</v>
      </c>
      <c r="BA510">
        <v>1</v>
      </c>
      <c r="BB510">
        <v>1</v>
      </c>
      <c r="BC510">
        <v>1</v>
      </c>
      <c r="BD510" t="s">
        <v>3</v>
      </c>
      <c r="BE510" t="s">
        <v>3</v>
      </c>
      <c r="BF510" t="s">
        <v>3</v>
      </c>
      <c r="BG510" t="s">
        <v>3</v>
      </c>
      <c r="BH510">
        <v>3</v>
      </c>
      <c r="BI510">
        <v>4</v>
      </c>
      <c r="BJ510" t="s">
        <v>413</v>
      </c>
      <c r="BM510">
        <v>0</v>
      </c>
      <c r="BN510">
        <v>0</v>
      </c>
      <c r="BO510" t="s">
        <v>3</v>
      </c>
      <c r="BP510">
        <v>0</v>
      </c>
      <c r="BQ510">
        <v>1</v>
      </c>
      <c r="BR510">
        <v>0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 t="s">
        <v>3</v>
      </c>
      <c r="BZ510">
        <v>70</v>
      </c>
      <c r="CA510">
        <v>10</v>
      </c>
      <c r="CE510">
        <v>0</v>
      </c>
      <c r="CF510">
        <v>0</v>
      </c>
      <c r="CG510">
        <v>0</v>
      </c>
      <c r="CM510">
        <v>0</v>
      </c>
      <c r="CN510" t="s">
        <v>3</v>
      </c>
      <c r="CO510">
        <v>0</v>
      </c>
      <c r="CP510">
        <f t="shared" si="383"/>
        <v>63486.18</v>
      </c>
      <c r="CQ510">
        <f t="shared" si="384"/>
        <v>63486.18</v>
      </c>
      <c r="CR510">
        <f t="shared" si="385"/>
        <v>0</v>
      </c>
      <c r="CS510">
        <f t="shared" si="386"/>
        <v>0</v>
      </c>
      <c r="CT510">
        <f t="shared" si="387"/>
        <v>0</v>
      </c>
      <c r="CU510">
        <f t="shared" si="388"/>
        <v>0</v>
      </c>
      <c r="CV510">
        <f t="shared" si="389"/>
        <v>0</v>
      </c>
      <c r="CW510">
        <f t="shared" si="390"/>
        <v>0</v>
      </c>
      <c r="CX510">
        <f t="shared" si="391"/>
        <v>0</v>
      </c>
      <c r="CY510">
        <f t="shared" si="392"/>
        <v>0</v>
      </c>
      <c r="CZ510">
        <f t="shared" si="393"/>
        <v>0</v>
      </c>
      <c r="DC510" t="s">
        <v>3</v>
      </c>
      <c r="DD510" t="s">
        <v>3</v>
      </c>
      <c r="DE510" t="s">
        <v>3</v>
      </c>
      <c r="DF510" t="s">
        <v>3</v>
      </c>
      <c r="DG510" t="s">
        <v>3</v>
      </c>
      <c r="DH510" t="s">
        <v>3</v>
      </c>
      <c r="DI510" t="s">
        <v>3</v>
      </c>
      <c r="DJ510" t="s">
        <v>3</v>
      </c>
      <c r="DK510" t="s">
        <v>3</v>
      </c>
      <c r="DL510" t="s">
        <v>3</v>
      </c>
      <c r="DM510" t="s">
        <v>3</v>
      </c>
      <c r="DN510">
        <v>0</v>
      </c>
      <c r="DO510">
        <v>0</v>
      </c>
      <c r="DP510">
        <v>1</v>
      </c>
      <c r="DQ510">
        <v>1</v>
      </c>
      <c r="DU510">
        <v>1010</v>
      </c>
      <c r="DV510" t="s">
        <v>232</v>
      </c>
      <c r="DW510" t="s">
        <v>232</v>
      </c>
      <c r="DX510">
        <v>1</v>
      </c>
      <c r="EE510">
        <v>67874524</v>
      </c>
      <c r="EF510">
        <v>1</v>
      </c>
      <c r="EG510" t="s">
        <v>20</v>
      </c>
      <c r="EH510">
        <v>0</v>
      </c>
      <c r="EI510" t="s">
        <v>3</v>
      </c>
      <c r="EJ510">
        <v>4</v>
      </c>
      <c r="EK510">
        <v>0</v>
      </c>
      <c r="EL510" t="s">
        <v>21</v>
      </c>
      <c r="EM510" t="s">
        <v>22</v>
      </c>
      <c r="EO510" t="s">
        <v>3</v>
      </c>
      <c r="EQ510">
        <v>1024</v>
      </c>
      <c r="ER510">
        <v>63486.18</v>
      </c>
      <c r="ES510">
        <v>63486.18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FQ510">
        <v>0</v>
      </c>
      <c r="FR510">
        <f t="shared" si="394"/>
        <v>0</v>
      </c>
      <c r="FS510">
        <v>0</v>
      </c>
      <c r="FX510">
        <v>70</v>
      </c>
      <c r="FY510">
        <v>10</v>
      </c>
      <c r="GA510" t="s">
        <v>3</v>
      </c>
      <c r="GD510">
        <v>0</v>
      </c>
      <c r="GF510">
        <v>-1336326821</v>
      </c>
      <c r="GG510">
        <v>2</v>
      </c>
      <c r="GH510">
        <v>1</v>
      </c>
      <c r="GI510">
        <v>-2</v>
      </c>
      <c r="GJ510">
        <v>0</v>
      </c>
      <c r="GK510">
        <f>ROUND(R510*(R12)/100,2)</f>
        <v>0</v>
      </c>
      <c r="GL510">
        <f t="shared" si="395"/>
        <v>0</v>
      </c>
      <c r="GM510">
        <f t="shared" si="396"/>
        <v>63486.18</v>
      </c>
      <c r="GN510">
        <f t="shared" si="397"/>
        <v>0</v>
      </c>
      <c r="GO510">
        <f t="shared" si="398"/>
        <v>0</v>
      </c>
      <c r="GP510">
        <f t="shared" si="399"/>
        <v>63486.18</v>
      </c>
      <c r="GR510">
        <v>0</v>
      </c>
      <c r="GS510">
        <v>3</v>
      </c>
      <c r="GT510">
        <v>0</v>
      </c>
      <c r="GU510" t="s">
        <v>3</v>
      </c>
      <c r="GV510">
        <f t="shared" si="400"/>
        <v>0</v>
      </c>
      <c r="GW510">
        <v>1</v>
      </c>
      <c r="GX510">
        <f t="shared" si="401"/>
        <v>0</v>
      </c>
      <c r="HA510">
        <v>0</v>
      </c>
      <c r="HB510">
        <v>0</v>
      </c>
      <c r="HC510">
        <f t="shared" si="402"/>
        <v>0</v>
      </c>
      <c r="IK510">
        <v>0</v>
      </c>
    </row>
    <row r="511" spans="1:245" x14ac:dyDescent="0.2">
      <c r="A511">
        <v>17</v>
      </c>
      <c r="B511">
        <v>1</v>
      </c>
      <c r="E511" t="s">
        <v>3</v>
      </c>
      <c r="F511" t="s">
        <v>412</v>
      </c>
      <c r="G511" t="s">
        <v>414</v>
      </c>
      <c r="H511" t="s">
        <v>232</v>
      </c>
      <c r="I511">
        <v>1</v>
      </c>
      <c r="J511">
        <v>0</v>
      </c>
      <c r="O511">
        <f t="shared" si="363"/>
        <v>63486.18</v>
      </c>
      <c r="P511">
        <f t="shared" si="364"/>
        <v>63486.18</v>
      </c>
      <c r="Q511">
        <f t="shared" si="365"/>
        <v>0</v>
      </c>
      <c r="R511">
        <f t="shared" si="366"/>
        <v>0</v>
      </c>
      <c r="S511">
        <f t="shared" si="367"/>
        <v>0</v>
      </c>
      <c r="T511">
        <f t="shared" si="368"/>
        <v>0</v>
      </c>
      <c r="U511">
        <f t="shared" si="369"/>
        <v>0</v>
      </c>
      <c r="V511">
        <f t="shared" si="370"/>
        <v>0</v>
      </c>
      <c r="W511">
        <f t="shared" si="371"/>
        <v>0</v>
      </c>
      <c r="X511">
        <f t="shared" si="372"/>
        <v>0</v>
      </c>
      <c r="Y511">
        <f t="shared" si="373"/>
        <v>0</v>
      </c>
      <c r="AA511">
        <v>-1</v>
      </c>
      <c r="AB511">
        <f t="shared" si="374"/>
        <v>63486.18</v>
      </c>
      <c r="AC511">
        <f t="shared" si="375"/>
        <v>63486.18</v>
      </c>
      <c r="AD511">
        <f t="shared" si="376"/>
        <v>0</v>
      </c>
      <c r="AE511">
        <f t="shared" si="377"/>
        <v>0</v>
      </c>
      <c r="AF511">
        <f t="shared" si="378"/>
        <v>0</v>
      </c>
      <c r="AG511">
        <f t="shared" si="379"/>
        <v>0</v>
      </c>
      <c r="AH511">
        <f t="shared" si="380"/>
        <v>0</v>
      </c>
      <c r="AI511">
        <f t="shared" si="381"/>
        <v>0</v>
      </c>
      <c r="AJ511">
        <f t="shared" si="382"/>
        <v>0</v>
      </c>
      <c r="AK511">
        <v>63486.18</v>
      </c>
      <c r="AL511">
        <v>63486.18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70</v>
      </c>
      <c r="AU511">
        <v>10</v>
      </c>
      <c r="AV511">
        <v>1</v>
      </c>
      <c r="AW511">
        <v>1</v>
      </c>
      <c r="AZ511">
        <v>1</v>
      </c>
      <c r="BA511">
        <v>1</v>
      </c>
      <c r="BB511">
        <v>1</v>
      </c>
      <c r="BC511">
        <v>1</v>
      </c>
      <c r="BD511" t="s">
        <v>3</v>
      </c>
      <c r="BE511" t="s">
        <v>3</v>
      </c>
      <c r="BF511" t="s">
        <v>3</v>
      </c>
      <c r="BG511" t="s">
        <v>3</v>
      </c>
      <c r="BH511">
        <v>3</v>
      </c>
      <c r="BI511">
        <v>4</v>
      </c>
      <c r="BJ511" t="s">
        <v>413</v>
      </c>
      <c r="BM511">
        <v>0</v>
      </c>
      <c r="BN511">
        <v>0</v>
      </c>
      <c r="BO511" t="s">
        <v>3</v>
      </c>
      <c r="BP511">
        <v>0</v>
      </c>
      <c r="BQ511">
        <v>1</v>
      </c>
      <c r="BR511">
        <v>0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 t="s">
        <v>3</v>
      </c>
      <c r="BZ511">
        <v>70</v>
      </c>
      <c r="CA511">
        <v>10</v>
      </c>
      <c r="CE511">
        <v>0</v>
      </c>
      <c r="CF511">
        <v>0</v>
      </c>
      <c r="CG511">
        <v>0</v>
      </c>
      <c r="CM511">
        <v>0</v>
      </c>
      <c r="CN511" t="s">
        <v>3</v>
      </c>
      <c r="CO511">
        <v>0</v>
      </c>
      <c r="CP511">
        <f t="shared" si="383"/>
        <v>63486.18</v>
      </c>
      <c r="CQ511">
        <f t="shared" si="384"/>
        <v>63486.18</v>
      </c>
      <c r="CR511">
        <f t="shared" si="385"/>
        <v>0</v>
      </c>
      <c r="CS511">
        <f t="shared" si="386"/>
        <v>0</v>
      </c>
      <c r="CT511">
        <f t="shared" si="387"/>
        <v>0</v>
      </c>
      <c r="CU511">
        <f t="shared" si="388"/>
        <v>0</v>
      </c>
      <c r="CV511">
        <f t="shared" si="389"/>
        <v>0</v>
      </c>
      <c r="CW511">
        <f t="shared" si="390"/>
        <v>0</v>
      </c>
      <c r="CX511">
        <f t="shared" si="391"/>
        <v>0</v>
      </c>
      <c r="CY511">
        <f t="shared" si="392"/>
        <v>0</v>
      </c>
      <c r="CZ511">
        <f t="shared" si="393"/>
        <v>0</v>
      </c>
      <c r="DC511" t="s">
        <v>3</v>
      </c>
      <c r="DD511" t="s">
        <v>3</v>
      </c>
      <c r="DE511" t="s">
        <v>3</v>
      </c>
      <c r="DF511" t="s">
        <v>3</v>
      </c>
      <c r="DG511" t="s">
        <v>3</v>
      </c>
      <c r="DH511" t="s">
        <v>3</v>
      </c>
      <c r="DI511" t="s">
        <v>3</v>
      </c>
      <c r="DJ511" t="s">
        <v>3</v>
      </c>
      <c r="DK511" t="s">
        <v>3</v>
      </c>
      <c r="DL511" t="s">
        <v>3</v>
      </c>
      <c r="DM511" t="s">
        <v>3</v>
      </c>
      <c r="DN511">
        <v>0</v>
      </c>
      <c r="DO511">
        <v>0</v>
      </c>
      <c r="DP511">
        <v>1</v>
      </c>
      <c r="DQ511">
        <v>1</v>
      </c>
      <c r="DU511">
        <v>1010</v>
      </c>
      <c r="DV511" t="s">
        <v>232</v>
      </c>
      <c r="DW511" t="s">
        <v>232</v>
      </c>
      <c r="DX511">
        <v>1</v>
      </c>
      <c r="EE511">
        <v>67874524</v>
      </c>
      <c r="EF511">
        <v>1</v>
      </c>
      <c r="EG511" t="s">
        <v>20</v>
      </c>
      <c r="EH511">
        <v>0</v>
      </c>
      <c r="EI511" t="s">
        <v>3</v>
      </c>
      <c r="EJ511">
        <v>4</v>
      </c>
      <c r="EK511">
        <v>0</v>
      </c>
      <c r="EL511" t="s">
        <v>21</v>
      </c>
      <c r="EM511" t="s">
        <v>22</v>
      </c>
      <c r="EO511" t="s">
        <v>3</v>
      </c>
      <c r="EQ511">
        <v>1024</v>
      </c>
      <c r="ER511">
        <v>63486.18</v>
      </c>
      <c r="ES511">
        <v>63486.18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FQ511">
        <v>0</v>
      </c>
      <c r="FR511">
        <f t="shared" si="394"/>
        <v>0</v>
      </c>
      <c r="FS511">
        <v>0</v>
      </c>
      <c r="FX511">
        <v>70</v>
      </c>
      <c r="FY511">
        <v>10</v>
      </c>
      <c r="GA511" t="s">
        <v>3</v>
      </c>
      <c r="GD511">
        <v>0</v>
      </c>
      <c r="GF511">
        <v>-216871648</v>
      </c>
      <c r="GG511">
        <v>2</v>
      </c>
      <c r="GH511">
        <v>1</v>
      </c>
      <c r="GI511">
        <v>-2</v>
      </c>
      <c r="GJ511">
        <v>0</v>
      </c>
      <c r="GK511">
        <f>ROUND(R511*(R12)/100,2)</f>
        <v>0</v>
      </c>
      <c r="GL511">
        <f t="shared" si="395"/>
        <v>0</v>
      </c>
      <c r="GM511">
        <f t="shared" si="396"/>
        <v>63486.18</v>
      </c>
      <c r="GN511">
        <f t="shared" si="397"/>
        <v>0</v>
      </c>
      <c r="GO511">
        <f t="shared" si="398"/>
        <v>0</v>
      </c>
      <c r="GP511">
        <f t="shared" si="399"/>
        <v>63486.18</v>
      </c>
      <c r="GR511">
        <v>0</v>
      </c>
      <c r="GS511">
        <v>3</v>
      </c>
      <c r="GT511">
        <v>0</v>
      </c>
      <c r="GU511" t="s">
        <v>3</v>
      </c>
      <c r="GV511">
        <f t="shared" si="400"/>
        <v>0</v>
      </c>
      <c r="GW511">
        <v>1</v>
      </c>
      <c r="GX511">
        <f t="shared" si="401"/>
        <v>0</v>
      </c>
      <c r="HA511">
        <v>0</v>
      </c>
      <c r="HB511">
        <v>0</v>
      </c>
      <c r="HC511">
        <f t="shared" si="402"/>
        <v>0</v>
      </c>
      <c r="IK511">
        <v>0</v>
      </c>
    </row>
    <row r="512" spans="1:245" x14ac:dyDescent="0.2">
      <c r="A512">
        <v>17</v>
      </c>
      <c r="B512">
        <v>1</v>
      </c>
      <c r="E512" t="s">
        <v>3</v>
      </c>
      <c r="F512" t="s">
        <v>415</v>
      </c>
      <c r="G512" t="s">
        <v>955</v>
      </c>
      <c r="H512" t="s">
        <v>232</v>
      </c>
      <c r="I512">
        <v>1</v>
      </c>
      <c r="J512">
        <v>0</v>
      </c>
      <c r="O512">
        <f t="shared" si="363"/>
        <v>75364.58</v>
      </c>
      <c r="P512">
        <f t="shared" si="364"/>
        <v>75364.58</v>
      </c>
      <c r="Q512">
        <f t="shared" si="365"/>
        <v>0</v>
      </c>
      <c r="R512">
        <f t="shared" si="366"/>
        <v>0</v>
      </c>
      <c r="S512">
        <f t="shared" si="367"/>
        <v>0</v>
      </c>
      <c r="T512">
        <f t="shared" si="368"/>
        <v>0</v>
      </c>
      <c r="U512">
        <f t="shared" si="369"/>
        <v>0</v>
      </c>
      <c r="V512">
        <f t="shared" si="370"/>
        <v>0</v>
      </c>
      <c r="W512">
        <f t="shared" si="371"/>
        <v>0</v>
      </c>
      <c r="X512">
        <f t="shared" si="372"/>
        <v>0</v>
      </c>
      <c r="Y512">
        <f t="shared" si="373"/>
        <v>0</v>
      </c>
      <c r="AA512">
        <v>-1</v>
      </c>
      <c r="AB512">
        <f t="shared" si="374"/>
        <v>75364.58</v>
      </c>
      <c r="AC512">
        <f t="shared" si="375"/>
        <v>75364.58</v>
      </c>
      <c r="AD512">
        <f t="shared" si="376"/>
        <v>0</v>
      </c>
      <c r="AE512">
        <f t="shared" si="377"/>
        <v>0</v>
      </c>
      <c r="AF512">
        <f t="shared" si="378"/>
        <v>0</v>
      </c>
      <c r="AG512">
        <f t="shared" si="379"/>
        <v>0</v>
      </c>
      <c r="AH512">
        <f t="shared" si="380"/>
        <v>0</v>
      </c>
      <c r="AI512">
        <f t="shared" si="381"/>
        <v>0</v>
      </c>
      <c r="AJ512">
        <f t="shared" si="382"/>
        <v>0</v>
      </c>
      <c r="AK512">
        <v>75364.58</v>
      </c>
      <c r="AL512">
        <v>75364.58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70</v>
      </c>
      <c r="AU512">
        <v>10</v>
      </c>
      <c r="AV512">
        <v>1</v>
      </c>
      <c r="AW512">
        <v>1</v>
      </c>
      <c r="AZ512">
        <v>1</v>
      </c>
      <c r="BA512">
        <v>1</v>
      </c>
      <c r="BB512">
        <v>1</v>
      </c>
      <c r="BC512">
        <v>1</v>
      </c>
      <c r="BD512" t="s">
        <v>3</v>
      </c>
      <c r="BE512" t="s">
        <v>3</v>
      </c>
      <c r="BF512" t="s">
        <v>3</v>
      </c>
      <c r="BG512" t="s">
        <v>3</v>
      </c>
      <c r="BH512">
        <v>3</v>
      </c>
      <c r="BI512">
        <v>4</v>
      </c>
      <c r="BJ512" t="s">
        <v>416</v>
      </c>
      <c r="BM512">
        <v>0</v>
      </c>
      <c r="BN512">
        <v>0</v>
      </c>
      <c r="BO512" t="s">
        <v>3</v>
      </c>
      <c r="BP512">
        <v>0</v>
      </c>
      <c r="BQ512">
        <v>1</v>
      </c>
      <c r="BR512">
        <v>0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 t="s">
        <v>3</v>
      </c>
      <c r="BZ512">
        <v>70</v>
      </c>
      <c r="CA512">
        <v>10</v>
      </c>
      <c r="CE512">
        <v>0</v>
      </c>
      <c r="CF512">
        <v>0</v>
      </c>
      <c r="CG512">
        <v>0</v>
      </c>
      <c r="CM512">
        <v>0</v>
      </c>
      <c r="CN512" t="s">
        <v>3</v>
      </c>
      <c r="CO512">
        <v>0</v>
      </c>
      <c r="CP512">
        <f t="shared" si="383"/>
        <v>75364.58</v>
      </c>
      <c r="CQ512">
        <f t="shared" si="384"/>
        <v>75364.58</v>
      </c>
      <c r="CR512">
        <f t="shared" si="385"/>
        <v>0</v>
      </c>
      <c r="CS512">
        <f t="shared" si="386"/>
        <v>0</v>
      </c>
      <c r="CT512">
        <f t="shared" si="387"/>
        <v>0</v>
      </c>
      <c r="CU512">
        <f t="shared" si="388"/>
        <v>0</v>
      </c>
      <c r="CV512">
        <f t="shared" si="389"/>
        <v>0</v>
      </c>
      <c r="CW512">
        <f t="shared" si="390"/>
        <v>0</v>
      </c>
      <c r="CX512">
        <f t="shared" si="391"/>
        <v>0</v>
      </c>
      <c r="CY512">
        <f t="shared" si="392"/>
        <v>0</v>
      </c>
      <c r="CZ512">
        <f t="shared" si="393"/>
        <v>0</v>
      </c>
      <c r="DC512" t="s">
        <v>3</v>
      </c>
      <c r="DD512" t="s">
        <v>3</v>
      </c>
      <c r="DE512" t="s">
        <v>3</v>
      </c>
      <c r="DF512" t="s">
        <v>3</v>
      </c>
      <c r="DG512" t="s">
        <v>3</v>
      </c>
      <c r="DH512" t="s">
        <v>3</v>
      </c>
      <c r="DI512" t="s">
        <v>3</v>
      </c>
      <c r="DJ512" t="s">
        <v>3</v>
      </c>
      <c r="DK512" t="s">
        <v>3</v>
      </c>
      <c r="DL512" t="s">
        <v>3</v>
      </c>
      <c r="DM512" t="s">
        <v>3</v>
      </c>
      <c r="DN512">
        <v>0</v>
      </c>
      <c r="DO512">
        <v>0</v>
      </c>
      <c r="DP512">
        <v>1</v>
      </c>
      <c r="DQ512">
        <v>1</v>
      </c>
      <c r="DU512">
        <v>1010</v>
      </c>
      <c r="DV512" t="s">
        <v>232</v>
      </c>
      <c r="DW512" t="s">
        <v>232</v>
      </c>
      <c r="DX512">
        <v>1</v>
      </c>
      <c r="EE512">
        <v>67874524</v>
      </c>
      <c r="EF512">
        <v>1</v>
      </c>
      <c r="EG512" t="s">
        <v>20</v>
      </c>
      <c r="EH512">
        <v>0</v>
      </c>
      <c r="EI512" t="s">
        <v>3</v>
      </c>
      <c r="EJ512">
        <v>4</v>
      </c>
      <c r="EK512">
        <v>0</v>
      </c>
      <c r="EL512" t="s">
        <v>21</v>
      </c>
      <c r="EM512" t="s">
        <v>22</v>
      </c>
      <c r="EO512" t="s">
        <v>3</v>
      </c>
      <c r="EQ512">
        <v>1024</v>
      </c>
      <c r="ER512">
        <v>75364.58</v>
      </c>
      <c r="ES512">
        <v>75364.58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FQ512">
        <v>0</v>
      </c>
      <c r="FR512">
        <f t="shared" si="394"/>
        <v>0</v>
      </c>
      <c r="FS512">
        <v>0</v>
      </c>
      <c r="FX512">
        <v>70</v>
      </c>
      <c r="FY512">
        <v>10</v>
      </c>
      <c r="GA512" t="s">
        <v>3</v>
      </c>
      <c r="GD512">
        <v>0</v>
      </c>
      <c r="GF512">
        <v>-1929505880</v>
      </c>
      <c r="GG512">
        <v>2</v>
      </c>
      <c r="GH512">
        <v>1</v>
      </c>
      <c r="GI512">
        <v>-2</v>
      </c>
      <c r="GJ512">
        <v>0</v>
      </c>
      <c r="GK512">
        <f>ROUND(R512*(R12)/100,2)</f>
        <v>0</v>
      </c>
      <c r="GL512">
        <f t="shared" si="395"/>
        <v>0</v>
      </c>
      <c r="GM512">
        <f t="shared" si="396"/>
        <v>75364.58</v>
      </c>
      <c r="GN512">
        <f t="shared" si="397"/>
        <v>0</v>
      </c>
      <c r="GO512">
        <f t="shared" si="398"/>
        <v>0</v>
      </c>
      <c r="GP512">
        <f t="shared" si="399"/>
        <v>75364.58</v>
      </c>
      <c r="GR512">
        <v>0</v>
      </c>
      <c r="GS512">
        <v>3</v>
      </c>
      <c r="GT512">
        <v>0</v>
      </c>
      <c r="GU512" t="s">
        <v>3</v>
      </c>
      <c r="GV512">
        <f t="shared" si="400"/>
        <v>0</v>
      </c>
      <c r="GW512">
        <v>1</v>
      </c>
      <c r="GX512">
        <f t="shared" si="401"/>
        <v>0</v>
      </c>
      <c r="HA512">
        <v>0</v>
      </c>
      <c r="HB512">
        <v>0</v>
      </c>
      <c r="HC512">
        <f t="shared" si="402"/>
        <v>0</v>
      </c>
      <c r="IK512">
        <v>0</v>
      </c>
    </row>
    <row r="513" spans="1:245" x14ac:dyDescent="0.2">
      <c r="A513">
        <v>17</v>
      </c>
      <c r="B513">
        <v>1</v>
      </c>
      <c r="E513" t="s">
        <v>3</v>
      </c>
      <c r="F513" t="s">
        <v>394</v>
      </c>
      <c r="G513" t="s">
        <v>956</v>
      </c>
      <c r="H513" t="s">
        <v>367</v>
      </c>
      <c r="I513">
        <v>1</v>
      </c>
      <c r="J513">
        <v>0</v>
      </c>
      <c r="O513">
        <f t="shared" si="363"/>
        <v>371222.19</v>
      </c>
      <c r="P513">
        <f t="shared" si="364"/>
        <v>371222.19</v>
      </c>
      <c r="Q513">
        <f t="shared" si="365"/>
        <v>0</v>
      </c>
      <c r="R513">
        <f t="shared" si="366"/>
        <v>0</v>
      </c>
      <c r="S513">
        <f t="shared" si="367"/>
        <v>0</v>
      </c>
      <c r="T513">
        <f t="shared" si="368"/>
        <v>0</v>
      </c>
      <c r="U513">
        <f t="shared" si="369"/>
        <v>0</v>
      </c>
      <c r="V513">
        <f t="shared" si="370"/>
        <v>0</v>
      </c>
      <c r="W513">
        <f t="shared" si="371"/>
        <v>0</v>
      </c>
      <c r="X513">
        <f t="shared" si="372"/>
        <v>0</v>
      </c>
      <c r="Y513">
        <f t="shared" si="373"/>
        <v>0</v>
      </c>
      <c r="AA513">
        <v>-1</v>
      </c>
      <c r="AB513">
        <f t="shared" si="374"/>
        <v>371222.19</v>
      </c>
      <c r="AC513">
        <f t="shared" si="375"/>
        <v>371222.19</v>
      </c>
      <c r="AD513">
        <f t="shared" si="376"/>
        <v>0</v>
      </c>
      <c r="AE513">
        <f t="shared" si="377"/>
        <v>0</v>
      </c>
      <c r="AF513">
        <f t="shared" si="378"/>
        <v>0</v>
      </c>
      <c r="AG513">
        <f t="shared" si="379"/>
        <v>0</v>
      </c>
      <c r="AH513">
        <f t="shared" si="380"/>
        <v>0</v>
      </c>
      <c r="AI513">
        <f t="shared" si="381"/>
        <v>0</v>
      </c>
      <c r="AJ513">
        <f t="shared" si="382"/>
        <v>0</v>
      </c>
      <c r="AK513">
        <v>371222.19</v>
      </c>
      <c r="AL513">
        <v>371222.19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70</v>
      </c>
      <c r="AU513">
        <v>10</v>
      </c>
      <c r="AV513">
        <v>1</v>
      </c>
      <c r="AW513">
        <v>1</v>
      </c>
      <c r="AZ513">
        <v>1</v>
      </c>
      <c r="BA513">
        <v>1</v>
      </c>
      <c r="BB513">
        <v>1</v>
      </c>
      <c r="BC513">
        <v>1</v>
      </c>
      <c r="BD513" t="s">
        <v>3</v>
      </c>
      <c r="BE513" t="s">
        <v>3</v>
      </c>
      <c r="BF513" t="s">
        <v>3</v>
      </c>
      <c r="BG513" t="s">
        <v>3</v>
      </c>
      <c r="BH513">
        <v>3</v>
      </c>
      <c r="BI513">
        <v>4</v>
      </c>
      <c r="BJ513" t="s">
        <v>395</v>
      </c>
      <c r="BM513">
        <v>0</v>
      </c>
      <c r="BN513">
        <v>0</v>
      </c>
      <c r="BO513" t="s">
        <v>3</v>
      </c>
      <c r="BP513">
        <v>0</v>
      </c>
      <c r="BQ513">
        <v>1</v>
      </c>
      <c r="BR513">
        <v>0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 t="s">
        <v>3</v>
      </c>
      <c r="BZ513">
        <v>70</v>
      </c>
      <c r="CA513">
        <v>10</v>
      </c>
      <c r="CE513">
        <v>0</v>
      </c>
      <c r="CF513">
        <v>0</v>
      </c>
      <c r="CG513">
        <v>0</v>
      </c>
      <c r="CM513">
        <v>0</v>
      </c>
      <c r="CN513" t="s">
        <v>3</v>
      </c>
      <c r="CO513">
        <v>0</v>
      </c>
      <c r="CP513">
        <f t="shared" si="383"/>
        <v>371222.19</v>
      </c>
      <c r="CQ513">
        <f t="shared" si="384"/>
        <v>371222.19</v>
      </c>
      <c r="CR513">
        <f t="shared" si="385"/>
        <v>0</v>
      </c>
      <c r="CS513">
        <f t="shared" si="386"/>
        <v>0</v>
      </c>
      <c r="CT513">
        <f t="shared" si="387"/>
        <v>0</v>
      </c>
      <c r="CU513">
        <f t="shared" si="388"/>
        <v>0</v>
      </c>
      <c r="CV513">
        <f t="shared" si="389"/>
        <v>0</v>
      </c>
      <c r="CW513">
        <f t="shared" si="390"/>
        <v>0</v>
      </c>
      <c r="CX513">
        <f t="shared" si="391"/>
        <v>0</v>
      </c>
      <c r="CY513">
        <f t="shared" si="392"/>
        <v>0</v>
      </c>
      <c r="CZ513">
        <f t="shared" si="393"/>
        <v>0</v>
      </c>
      <c r="DC513" t="s">
        <v>3</v>
      </c>
      <c r="DD513" t="s">
        <v>3</v>
      </c>
      <c r="DE513" t="s">
        <v>3</v>
      </c>
      <c r="DF513" t="s">
        <v>3</v>
      </c>
      <c r="DG513" t="s">
        <v>3</v>
      </c>
      <c r="DH513" t="s">
        <v>3</v>
      </c>
      <c r="DI513" t="s">
        <v>3</v>
      </c>
      <c r="DJ513" t="s">
        <v>3</v>
      </c>
      <c r="DK513" t="s">
        <v>3</v>
      </c>
      <c r="DL513" t="s">
        <v>3</v>
      </c>
      <c r="DM513" t="s">
        <v>3</v>
      </c>
      <c r="DN513">
        <v>0</v>
      </c>
      <c r="DO513">
        <v>0</v>
      </c>
      <c r="DP513">
        <v>1</v>
      </c>
      <c r="DQ513">
        <v>1</v>
      </c>
      <c r="DU513">
        <v>1013</v>
      </c>
      <c r="DV513" t="s">
        <v>367</v>
      </c>
      <c r="DW513" t="s">
        <v>367</v>
      </c>
      <c r="DX513">
        <v>1</v>
      </c>
      <c r="EE513">
        <v>67874524</v>
      </c>
      <c r="EF513">
        <v>1</v>
      </c>
      <c r="EG513" t="s">
        <v>20</v>
      </c>
      <c r="EH513">
        <v>0</v>
      </c>
      <c r="EI513" t="s">
        <v>3</v>
      </c>
      <c r="EJ513">
        <v>4</v>
      </c>
      <c r="EK513">
        <v>0</v>
      </c>
      <c r="EL513" t="s">
        <v>21</v>
      </c>
      <c r="EM513" t="s">
        <v>22</v>
      </c>
      <c r="EO513" t="s">
        <v>3</v>
      </c>
      <c r="EQ513">
        <v>1024</v>
      </c>
      <c r="ER513">
        <v>371222.19</v>
      </c>
      <c r="ES513">
        <v>371222.19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FQ513">
        <v>0</v>
      </c>
      <c r="FR513">
        <f t="shared" si="394"/>
        <v>0</v>
      </c>
      <c r="FS513">
        <v>0</v>
      </c>
      <c r="FX513">
        <v>70</v>
      </c>
      <c r="FY513">
        <v>10</v>
      </c>
      <c r="GA513" t="s">
        <v>3</v>
      </c>
      <c r="GD513">
        <v>0</v>
      </c>
      <c r="GF513">
        <v>-254344778</v>
      </c>
      <c r="GG513">
        <v>2</v>
      </c>
      <c r="GH513">
        <v>1</v>
      </c>
      <c r="GI513">
        <v>-2</v>
      </c>
      <c r="GJ513">
        <v>0</v>
      </c>
      <c r="GK513">
        <f>ROUND(R513*(R12)/100,2)</f>
        <v>0</v>
      </c>
      <c r="GL513">
        <f t="shared" si="395"/>
        <v>0</v>
      </c>
      <c r="GM513">
        <f t="shared" si="396"/>
        <v>371222.19</v>
      </c>
      <c r="GN513">
        <f t="shared" si="397"/>
        <v>0</v>
      </c>
      <c r="GO513">
        <f t="shared" si="398"/>
        <v>0</v>
      </c>
      <c r="GP513">
        <f t="shared" si="399"/>
        <v>371222.19</v>
      </c>
      <c r="GR513">
        <v>0</v>
      </c>
      <c r="GS513">
        <v>3</v>
      </c>
      <c r="GT513">
        <v>0</v>
      </c>
      <c r="GU513" t="s">
        <v>3</v>
      </c>
      <c r="GV513">
        <f t="shared" si="400"/>
        <v>0</v>
      </c>
      <c r="GW513">
        <v>1</v>
      </c>
      <c r="GX513">
        <f t="shared" si="401"/>
        <v>0</v>
      </c>
      <c r="HA513">
        <v>0</v>
      </c>
      <c r="HB513">
        <v>0</v>
      </c>
      <c r="HC513">
        <f t="shared" si="402"/>
        <v>0</v>
      </c>
      <c r="IK513">
        <v>0</v>
      </c>
    </row>
    <row r="514" spans="1:245" x14ac:dyDescent="0.2">
      <c r="A514">
        <v>17</v>
      </c>
      <c r="B514">
        <v>1</v>
      </c>
      <c r="E514" t="s">
        <v>3</v>
      </c>
      <c r="F514" t="s">
        <v>417</v>
      </c>
      <c r="G514" t="s">
        <v>418</v>
      </c>
      <c r="H514" t="s">
        <v>367</v>
      </c>
      <c r="I514">
        <v>1</v>
      </c>
      <c r="J514">
        <v>0</v>
      </c>
      <c r="O514">
        <f t="shared" si="363"/>
        <v>191650.42</v>
      </c>
      <c r="P514">
        <f t="shared" si="364"/>
        <v>191650.42</v>
      </c>
      <c r="Q514">
        <f t="shared" si="365"/>
        <v>0</v>
      </c>
      <c r="R514">
        <f t="shared" si="366"/>
        <v>0</v>
      </c>
      <c r="S514">
        <f t="shared" si="367"/>
        <v>0</v>
      </c>
      <c r="T514">
        <f t="shared" si="368"/>
        <v>0</v>
      </c>
      <c r="U514">
        <f t="shared" si="369"/>
        <v>0</v>
      </c>
      <c r="V514">
        <f t="shared" si="370"/>
        <v>0</v>
      </c>
      <c r="W514">
        <f t="shared" si="371"/>
        <v>0</v>
      </c>
      <c r="X514">
        <f t="shared" si="372"/>
        <v>0</v>
      </c>
      <c r="Y514">
        <f t="shared" si="373"/>
        <v>0</v>
      </c>
      <c r="AA514">
        <v>-1</v>
      </c>
      <c r="AB514">
        <f t="shared" si="374"/>
        <v>191650.42</v>
      </c>
      <c r="AC514">
        <f t="shared" si="375"/>
        <v>191650.42</v>
      </c>
      <c r="AD514">
        <f t="shared" si="376"/>
        <v>0</v>
      </c>
      <c r="AE514">
        <f t="shared" si="377"/>
        <v>0</v>
      </c>
      <c r="AF514">
        <f t="shared" si="378"/>
        <v>0</v>
      </c>
      <c r="AG514">
        <f t="shared" si="379"/>
        <v>0</v>
      </c>
      <c r="AH514">
        <f t="shared" si="380"/>
        <v>0</v>
      </c>
      <c r="AI514">
        <f t="shared" si="381"/>
        <v>0</v>
      </c>
      <c r="AJ514">
        <f t="shared" si="382"/>
        <v>0</v>
      </c>
      <c r="AK514">
        <v>191650.42</v>
      </c>
      <c r="AL514">
        <v>191650.42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70</v>
      </c>
      <c r="AU514">
        <v>10</v>
      </c>
      <c r="AV514">
        <v>1</v>
      </c>
      <c r="AW514">
        <v>1</v>
      </c>
      <c r="AZ514">
        <v>1</v>
      </c>
      <c r="BA514">
        <v>1</v>
      </c>
      <c r="BB514">
        <v>1</v>
      </c>
      <c r="BC514">
        <v>1</v>
      </c>
      <c r="BD514" t="s">
        <v>3</v>
      </c>
      <c r="BE514" t="s">
        <v>3</v>
      </c>
      <c r="BF514" t="s">
        <v>3</v>
      </c>
      <c r="BG514" t="s">
        <v>3</v>
      </c>
      <c r="BH514">
        <v>3</v>
      </c>
      <c r="BI514">
        <v>4</v>
      </c>
      <c r="BJ514" t="s">
        <v>419</v>
      </c>
      <c r="BM514">
        <v>0</v>
      </c>
      <c r="BN514">
        <v>0</v>
      </c>
      <c r="BO514" t="s">
        <v>3</v>
      </c>
      <c r="BP514">
        <v>0</v>
      </c>
      <c r="BQ514">
        <v>1</v>
      </c>
      <c r="BR514">
        <v>0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 t="s">
        <v>3</v>
      </c>
      <c r="BZ514">
        <v>70</v>
      </c>
      <c r="CA514">
        <v>10</v>
      </c>
      <c r="CE514">
        <v>0</v>
      </c>
      <c r="CF514">
        <v>0</v>
      </c>
      <c r="CG514">
        <v>0</v>
      </c>
      <c r="CM514">
        <v>0</v>
      </c>
      <c r="CN514" t="s">
        <v>3</v>
      </c>
      <c r="CO514">
        <v>0</v>
      </c>
      <c r="CP514">
        <f t="shared" si="383"/>
        <v>191650.42</v>
      </c>
      <c r="CQ514">
        <f t="shared" si="384"/>
        <v>191650.42</v>
      </c>
      <c r="CR514">
        <f t="shared" si="385"/>
        <v>0</v>
      </c>
      <c r="CS514">
        <f t="shared" si="386"/>
        <v>0</v>
      </c>
      <c r="CT514">
        <f t="shared" si="387"/>
        <v>0</v>
      </c>
      <c r="CU514">
        <f t="shared" si="388"/>
        <v>0</v>
      </c>
      <c r="CV514">
        <f t="shared" si="389"/>
        <v>0</v>
      </c>
      <c r="CW514">
        <f t="shared" si="390"/>
        <v>0</v>
      </c>
      <c r="CX514">
        <f t="shared" si="391"/>
        <v>0</v>
      </c>
      <c r="CY514">
        <f t="shared" si="392"/>
        <v>0</v>
      </c>
      <c r="CZ514">
        <f t="shared" si="393"/>
        <v>0</v>
      </c>
      <c r="DC514" t="s">
        <v>3</v>
      </c>
      <c r="DD514" t="s">
        <v>3</v>
      </c>
      <c r="DE514" t="s">
        <v>3</v>
      </c>
      <c r="DF514" t="s">
        <v>3</v>
      </c>
      <c r="DG514" t="s">
        <v>3</v>
      </c>
      <c r="DH514" t="s">
        <v>3</v>
      </c>
      <c r="DI514" t="s">
        <v>3</v>
      </c>
      <c r="DJ514" t="s">
        <v>3</v>
      </c>
      <c r="DK514" t="s">
        <v>3</v>
      </c>
      <c r="DL514" t="s">
        <v>3</v>
      </c>
      <c r="DM514" t="s">
        <v>3</v>
      </c>
      <c r="DN514">
        <v>0</v>
      </c>
      <c r="DO514">
        <v>0</v>
      </c>
      <c r="DP514">
        <v>1</v>
      </c>
      <c r="DQ514">
        <v>1</v>
      </c>
      <c r="DU514">
        <v>1013</v>
      </c>
      <c r="DV514" t="s">
        <v>367</v>
      </c>
      <c r="DW514" t="s">
        <v>367</v>
      </c>
      <c r="DX514">
        <v>1</v>
      </c>
      <c r="EE514">
        <v>67874524</v>
      </c>
      <c r="EF514">
        <v>1</v>
      </c>
      <c r="EG514" t="s">
        <v>20</v>
      </c>
      <c r="EH514">
        <v>0</v>
      </c>
      <c r="EI514" t="s">
        <v>3</v>
      </c>
      <c r="EJ514">
        <v>4</v>
      </c>
      <c r="EK514">
        <v>0</v>
      </c>
      <c r="EL514" t="s">
        <v>21</v>
      </c>
      <c r="EM514" t="s">
        <v>22</v>
      </c>
      <c r="EO514" t="s">
        <v>3</v>
      </c>
      <c r="EQ514">
        <v>1024</v>
      </c>
      <c r="ER514">
        <v>191650.42</v>
      </c>
      <c r="ES514">
        <v>191650.42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FQ514">
        <v>0</v>
      </c>
      <c r="FR514">
        <f t="shared" si="394"/>
        <v>0</v>
      </c>
      <c r="FS514">
        <v>0</v>
      </c>
      <c r="FX514">
        <v>70</v>
      </c>
      <c r="FY514">
        <v>10</v>
      </c>
      <c r="GA514" t="s">
        <v>3</v>
      </c>
      <c r="GD514">
        <v>0</v>
      </c>
      <c r="GF514">
        <v>169427603</v>
      </c>
      <c r="GG514">
        <v>2</v>
      </c>
      <c r="GH514">
        <v>1</v>
      </c>
      <c r="GI514">
        <v>-2</v>
      </c>
      <c r="GJ514">
        <v>0</v>
      </c>
      <c r="GK514">
        <f>ROUND(R514*(R12)/100,2)</f>
        <v>0</v>
      </c>
      <c r="GL514">
        <f t="shared" si="395"/>
        <v>0</v>
      </c>
      <c r="GM514">
        <f t="shared" si="396"/>
        <v>191650.42</v>
      </c>
      <c r="GN514">
        <f t="shared" si="397"/>
        <v>0</v>
      </c>
      <c r="GO514">
        <f t="shared" si="398"/>
        <v>0</v>
      </c>
      <c r="GP514">
        <f t="shared" si="399"/>
        <v>191650.42</v>
      </c>
      <c r="GR514">
        <v>0</v>
      </c>
      <c r="GS514">
        <v>3</v>
      </c>
      <c r="GT514">
        <v>0</v>
      </c>
      <c r="GU514" t="s">
        <v>3</v>
      </c>
      <c r="GV514">
        <f t="shared" si="400"/>
        <v>0</v>
      </c>
      <c r="GW514">
        <v>1</v>
      </c>
      <c r="GX514">
        <f t="shared" si="401"/>
        <v>0</v>
      </c>
      <c r="HA514">
        <v>0</v>
      </c>
      <c r="HB514">
        <v>0</v>
      </c>
      <c r="HC514">
        <f t="shared" si="402"/>
        <v>0</v>
      </c>
      <c r="IK514">
        <v>0</v>
      </c>
    </row>
    <row r="515" spans="1:245" x14ac:dyDescent="0.2">
      <c r="A515">
        <v>17</v>
      </c>
      <c r="B515">
        <v>1</v>
      </c>
      <c r="E515" t="s">
        <v>3</v>
      </c>
      <c r="F515" t="s">
        <v>420</v>
      </c>
      <c r="G515" t="s">
        <v>421</v>
      </c>
      <c r="H515" t="s">
        <v>232</v>
      </c>
      <c r="I515">
        <v>1</v>
      </c>
      <c r="J515">
        <v>0</v>
      </c>
      <c r="O515">
        <f t="shared" si="363"/>
        <v>142635.94</v>
      </c>
      <c r="P515">
        <f t="shared" si="364"/>
        <v>142635.94</v>
      </c>
      <c r="Q515">
        <f t="shared" si="365"/>
        <v>0</v>
      </c>
      <c r="R515">
        <f t="shared" si="366"/>
        <v>0</v>
      </c>
      <c r="S515">
        <f t="shared" si="367"/>
        <v>0</v>
      </c>
      <c r="T515">
        <f t="shared" si="368"/>
        <v>0</v>
      </c>
      <c r="U515">
        <f t="shared" si="369"/>
        <v>0</v>
      </c>
      <c r="V515">
        <f t="shared" si="370"/>
        <v>0</v>
      </c>
      <c r="W515">
        <f t="shared" si="371"/>
        <v>0</v>
      </c>
      <c r="X515">
        <f t="shared" si="372"/>
        <v>0</v>
      </c>
      <c r="Y515">
        <f t="shared" si="373"/>
        <v>0</v>
      </c>
      <c r="AA515">
        <v>-1</v>
      </c>
      <c r="AB515">
        <f t="shared" si="374"/>
        <v>142635.94</v>
      </c>
      <c r="AC515">
        <f t="shared" si="375"/>
        <v>142635.94</v>
      </c>
      <c r="AD515">
        <f t="shared" si="376"/>
        <v>0</v>
      </c>
      <c r="AE515">
        <f t="shared" si="377"/>
        <v>0</v>
      </c>
      <c r="AF515">
        <f t="shared" si="378"/>
        <v>0</v>
      </c>
      <c r="AG515">
        <f t="shared" si="379"/>
        <v>0</v>
      </c>
      <c r="AH515">
        <f t="shared" si="380"/>
        <v>0</v>
      </c>
      <c r="AI515">
        <f t="shared" si="381"/>
        <v>0</v>
      </c>
      <c r="AJ515">
        <f t="shared" si="382"/>
        <v>0</v>
      </c>
      <c r="AK515">
        <v>142635.94</v>
      </c>
      <c r="AL515">
        <v>142635.94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70</v>
      </c>
      <c r="AU515">
        <v>10</v>
      </c>
      <c r="AV515">
        <v>1</v>
      </c>
      <c r="AW515">
        <v>1</v>
      </c>
      <c r="AZ515">
        <v>1</v>
      </c>
      <c r="BA515">
        <v>1</v>
      </c>
      <c r="BB515">
        <v>1</v>
      </c>
      <c r="BC515">
        <v>1</v>
      </c>
      <c r="BD515" t="s">
        <v>3</v>
      </c>
      <c r="BE515" t="s">
        <v>3</v>
      </c>
      <c r="BF515" t="s">
        <v>3</v>
      </c>
      <c r="BG515" t="s">
        <v>3</v>
      </c>
      <c r="BH515">
        <v>3</v>
      </c>
      <c r="BI515">
        <v>4</v>
      </c>
      <c r="BJ515" t="s">
        <v>422</v>
      </c>
      <c r="BM515">
        <v>0</v>
      </c>
      <c r="BN515">
        <v>0</v>
      </c>
      <c r="BO515" t="s">
        <v>3</v>
      </c>
      <c r="BP515">
        <v>0</v>
      </c>
      <c r="BQ515">
        <v>1</v>
      </c>
      <c r="BR515">
        <v>0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 t="s">
        <v>3</v>
      </c>
      <c r="BZ515">
        <v>70</v>
      </c>
      <c r="CA515">
        <v>10</v>
      </c>
      <c r="CE515">
        <v>0</v>
      </c>
      <c r="CF515">
        <v>0</v>
      </c>
      <c r="CG515">
        <v>0</v>
      </c>
      <c r="CM515">
        <v>0</v>
      </c>
      <c r="CN515" t="s">
        <v>3</v>
      </c>
      <c r="CO515">
        <v>0</v>
      </c>
      <c r="CP515">
        <f t="shared" si="383"/>
        <v>142635.94</v>
      </c>
      <c r="CQ515">
        <f t="shared" si="384"/>
        <v>142635.94</v>
      </c>
      <c r="CR515">
        <f t="shared" si="385"/>
        <v>0</v>
      </c>
      <c r="CS515">
        <f t="shared" si="386"/>
        <v>0</v>
      </c>
      <c r="CT515">
        <f t="shared" si="387"/>
        <v>0</v>
      </c>
      <c r="CU515">
        <f t="shared" si="388"/>
        <v>0</v>
      </c>
      <c r="CV515">
        <f t="shared" si="389"/>
        <v>0</v>
      </c>
      <c r="CW515">
        <f t="shared" si="390"/>
        <v>0</v>
      </c>
      <c r="CX515">
        <f t="shared" si="391"/>
        <v>0</v>
      </c>
      <c r="CY515">
        <f t="shared" si="392"/>
        <v>0</v>
      </c>
      <c r="CZ515">
        <f t="shared" si="393"/>
        <v>0</v>
      </c>
      <c r="DC515" t="s">
        <v>3</v>
      </c>
      <c r="DD515" t="s">
        <v>3</v>
      </c>
      <c r="DE515" t="s">
        <v>3</v>
      </c>
      <c r="DF515" t="s">
        <v>3</v>
      </c>
      <c r="DG515" t="s">
        <v>3</v>
      </c>
      <c r="DH515" t="s">
        <v>3</v>
      </c>
      <c r="DI515" t="s">
        <v>3</v>
      </c>
      <c r="DJ515" t="s">
        <v>3</v>
      </c>
      <c r="DK515" t="s">
        <v>3</v>
      </c>
      <c r="DL515" t="s">
        <v>3</v>
      </c>
      <c r="DM515" t="s">
        <v>3</v>
      </c>
      <c r="DN515">
        <v>0</v>
      </c>
      <c r="DO515">
        <v>0</v>
      </c>
      <c r="DP515">
        <v>1</v>
      </c>
      <c r="DQ515">
        <v>1</v>
      </c>
      <c r="DU515">
        <v>1010</v>
      </c>
      <c r="DV515" t="s">
        <v>232</v>
      </c>
      <c r="DW515" t="s">
        <v>232</v>
      </c>
      <c r="DX515">
        <v>1</v>
      </c>
      <c r="EE515">
        <v>67874524</v>
      </c>
      <c r="EF515">
        <v>1</v>
      </c>
      <c r="EG515" t="s">
        <v>20</v>
      </c>
      <c r="EH515">
        <v>0</v>
      </c>
      <c r="EI515" t="s">
        <v>3</v>
      </c>
      <c r="EJ515">
        <v>4</v>
      </c>
      <c r="EK515">
        <v>0</v>
      </c>
      <c r="EL515" t="s">
        <v>21</v>
      </c>
      <c r="EM515" t="s">
        <v>22</v>
      </c>
      <c r="EO515" t="s">
        <v>3</v>
      </c>
      <c r="EQ515">
        <v>1024</v>
      </c>
      <c r="ER515">
        <v>142635.94</v>
      </c>
      <c r="ES515">
        <v>142635.94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FQ515">
        <v>0</v>
      </c>
      <c r="FR515">
        <f t="shared" si="394"/>
        <v>0</v>
      </c>
      <c r="FS515">
        <v>0</v>
      </c>
      <c r="FX515">
        <v>70</v>
      </c>
      <c r="FY515">
        <v>10</v>
      </c>
      <c r="GA515" t="s">
        <v>3</v>
      </c>
      <c r="GD515">
        <v>0</v>
      </c>
      <c r="GF515">
        <v>-269176152</v>
      </c>
      <c r="GG515">
        <v>2</v>
      </c>
      <c r="GH515">
        <v>1</v>
      </c>
      <c r="GI515">
        <v>-2</v>
      </c>
      <c r="GJ515">
        <v>0</v>
      </c>
      <c r="GK515">
        <f>ROUND(R515*(R12)/100,2)</f>
        <v>0</v>
      </c>
      <c r="GL515">
        <f t="shared" si="395"/>
        <v>0</v>
      </c>
      <c r="GM515">
        <f t="shared" si="396"/>
        <v>142635.94</v>
      </c>
      <c r="GN515">
        <f t="shared" si="397"/>
        <v>0</v>
      </c>
      <c r="GO515">
        <f t="shared" si="398"/>
        <v>0</v>
      </c>
      <c r="GP515">
        <f t="shared" si="399"/>
        <v>142635.94</v>
      </c>
      <c r="GR515">
        <v>0</v>
      </c>
      <c r="GS515">
        <v>3</v>
      </c>
      <c r="GT515">
        <v>0</v>
      </c>
      <c r="GU515" t="s">
        <v>3</v>
      </c>
      <c r="GV515">
        <f t="shared" si="400"/>
        <v>0</v>
      </c>
      <c r="GW515">
        <v>1</v>
      </c>
      <c r="GX515">
        <f t="shared" si="401"/>
        <v>0</v>
      </c>
      <c r="HA515">
        <v>0</v>
      </c>
      <c r="HB515">
        <v>0</v>
      </c>
      <c r="HC515">
        <f t="shared" si="402"/>
        <v>0</v>
      </c>
      <c r="IK515">
        <v>0</v>
      </c>
    </row>
    <row r="516" spans="1:245" x14ac:dyDescent="0.2">
      <c r="A516">
        <v>17</v>
      </c>
      <c r="B516">
        <v>1</v>
      </c>
      <c r="C516">
        <f>ROW(SmtRes!A82)</f>
        <v>82</v>
      </c>
      <c r="D516">
        <f>ROW(EtalonRes!A426)</f>
        <v>426</v>
      </c>
      <c r="E516" t="s">
        <v>3</v>
      </c>
      <c r="F516" t="s">
        <v>86</v>
      </c>
      <c r="G516" t="s">
        <v>423</v>
      </c>
      <c r="H516" t="s">
        <v>35</v>
      </c>
      <c r="I516">
        <f>ROUND(250/1000,9)</f>
        <v>0.25</v>
      </c>
      <c r="J516">
        <v>0</v>
      </c>
      <c r="O516">
        <f t="shared" si="363"/>
        <v>19352.84</v>
      </c>
      <c r="P516">
        <f t="shared" si="364"/>
        <v>17996.060000000001</v>
      </c>
      <c r="Q516">
        <f t="shared" si="365"/>
        <v>76.56</v>
      </c>
      <c r="R516">
        <f t="shared" si="366"/>
        <v>0.49</v>
      </c>
      <c r="S516">
        <f t="shared" si="367"/>
        <v>1280.22</v>
      </c>
      <c r="T516">
        <f t="shared" si="368"/>
        <v>0</v>
      </c>
      <c r="U516">
        <f t="shared" si="369"/>
        <v>4.9749999999999996</v>
      </c>
      <c r="V516">
        <f t="shared" si="370"/>
        <v>0</v>
      </c>
      <c r="W516">
        <f t="shared" si="371"/>
        <v>0</v>
      </c>
      <c r="X516">
        <f t="shared" si="372"/>
        <v>896.15</v>
      </c>
      <c r="Y516">
        <f t="shared" si="373"/>
        <v>128.02000000000001</v>
      </c>
      <c r="AA516">
        <v>-1</v>
      </c>
      <c r="AB516">
        <f t="shared" si="374"/>
        <v>77411.34</v>
      </c>
      <c r="AC516">
        <f t="shared" si="375"/>
        <v>71984.23</v>
      </c>
      <c r="AD516">
        <f t="shared" si="376"/>
        <v>306.24</v>
      </c>
      <c r="AE516">
        <f t="shared" si="377"/>
        <v>1.95</v>
      </c>
      <c r="AF516">
        <f t="shared" si="378"/>
        <v>5120.87</v>
      </c>
      <c r="AG516">
        <f t="shared" si="379"/>
        <v>0</v>
      </c>
      <c r="AH516">
        <f t="shared" si="380"/>
        <v>19.899999999999999</v>
      </c>
      <c r="AI516">
        <f t="shared" si="381"/>
        <v>0</v>
      </c>
      <c r="AJ516">
        <f t="shared" si="382"/>
        <v>0</v>
      </c>
      <c r="AK516">
        <v>77411.34</v>
      </c>
      <c r="AL516">
        <v>71984.23</v>
      </c>
      <c r="AM516">
        <v>306.24</v>
      </c>
      <c r="AN516">
        <v>1.95</v>
      </c>
      <c r="AO516">
        <v>5120.87</v>
      </c>
      <c r="AP516">
        <v>0</v>
      </c>
      <c r="AQ516">
        <v>19.899999999999999</v>
      </c>
      <c r="AR516">
        <v>0</v>
      </c>
      <c r="AS516">
        <v>0</v>
      </c>
      <c r="AT516">
        <v>70</v>
      </c>
      <c r="AU516">
        <v>10</v>
      </c>
      <c r="AV516">
        <v>1</v>
      </c>
      <c r="AW516">
        <v>1</v>
      </c>
      <c r="AZ516">
        <v>1</v>
      </c>
      <c r="BA516">
        <v>1</v>
      </c>
      <c r="BB516">
        <v>1</v>
      </c>
      <c r="BC516">
        <v>1</v>
      </c>
      <c r="BD516" t="s">
        <v>3</v>
      </c>
      <c r="BE516" t="s">
        <v>3</v>
      </c>
      <c r="BF516" t="s">
        <v>3</v>
      </c>
      <c r="BG516" t="s">
        <v>3</v>
      </c>
      <c r="BH516">
        <v>0</v>
      </c>
      <c r="BI516">
        <v>4</v>
      </c>
      <c r="BJ516" t="s">
        <v>88</v>
      </c>
      <c r="BM516">
        <v>0</v>
      </c>
      <c r="BN516">
        <v>0</v>
      </c>
      <c r="BO516" t="s">
        <v>3</v>
      </c>
      <c r="BP516">
        <v>0</v>
      </c>
      <c r="BQ516">
        <v>1</v>
      </c>
      <c r="BR516">
        <v>0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 t="s">
        <v>3</v>
      </c>
      <c r="BZ516">
        <v>70</v>
      </c>
      <c r="CA516">
        <v>10</v>
      </c>
      <c r="CE516">
        <v>0</v>
      </c>
      <c r="CF516">
        <v>0</v>
      </c>
      <c r="CG516">
        <v>0</v>
      </c>
      <c r="CM516">
        <v>0</v>
      </c>
      <c r="CN516" t="s">
        <v>3</v>
      </c>
      <c r="CO516">
        <v>0</v>
      </c>
      <c r="CP516">
        <f t="shared" si="383"/>
        <v>19352.840000000004</v>
      </c>
      <c r="CQ516">
        <f t="shared" si="384"/>
        <v>71984.23</v>
      </c>
      <c r="CR516">
        <f t="shared" si="385"/>
        <v>306.24</v>
      </c>
      <c r="CS516">
        <f t="shared" si="386"/>
        <v>1.95</v>
      </c>
      <c r="CT516">
        <f t="shared" si="387"/>
        <v>5120.87</v>
      </c>
      <c r="CU516">
        <f t="shared" si="388"/>
        <v>0</v>
      </c>
      <c r="CV516">
        <f t="shared" si="389"/>
        <v>19.899999999999999</v>
      </c>
      <c r="CW516">
        <f t="shared" si="390"/>
        <v>0</v>
      </c>
      <c r="CX516">
        <f t="shared" si="391"/>
        <v>0</v>
      </c>
      <c r="CY516">
        <f t="shared" si="392"/>
        <v>896.15400000000011</v>
      </c>
      <c r="CZ516">
        <f t="shared" si="393"/>
        <v>128.02200000000002</v>
      </c>
      <c r="DC516" t="s">
        <v>3</v>
      </c>
      <c r="DD516" t="s">
        <v>3</v>
      </c>
      <c r="DE516" t="s">
        <v>3</v>
      </c>
      <c r="DF516" t="s">
        <v>3</v>
      </c>
      <c r="DG516" t="s">
        <v>3</v>
      </c>
      <c r="DH516" t="s">
        <v>3</v>
      </c>
      <c r="DI516" t="s">
        <v>3</v>
      </c>
      <c r="DJ516" t="s">
        <v>3</v>
      </c>
      <c r="DK516" t="s">
        <v>3</v>
      </c>
      <c r="DL516" t="s">
        <v>3</v>
      </c>
      <c r="DM516" t="s">
        <v>3</v>
      </c>
      <c r="DN516">
        <v>0</v>
      </c>
      <c r="DO516">
        <v>0</v>
      </c>
      <c r="DP516">
        <v>1</v>
      </c>
      <c r="DQ516">
        <v>1</v>
      </c>
      <c r="DU516">
        <v>1009</v>
      </c>
      <c r="DV516" t="s">
        <v>35</v>
      </c>
      <c r="DW516" t="s">
        <v>35</v>
      </c>
      <c r="DX516">
        <v>1000</v>
      </c>
      <c r="EE516">
        <v>67874524</v>
      </c>
      <c r="EF516">
        <v>1</v>
      </c>
      <c r="EG516" t="s">
        <v>20</v>
      </c>
      <c r="EH516">
        <v>0</v>
      </c>
      <c r="EI516" t="s">
        <v>3</v>
      </c>
      <c r="EJ516">
        <v>4</v>
      </c>
      <c r="EK516">
        <v>0</v>
      </c>
      <c r="EL516" t="s">
        <v>21</v>
      </c>
      <c r="EM516" t="s">
        <v>22</v>
      </c>
      <c r="EO516" t="s">
        <v>3</v>
      </c>
      <c r="EQ516">
        <v>1024</v>
      </c>
      <c r="ER516">
        <v>77411.34</v>
      </c>
      <c r="ES516">
        <v>71984.23</v>
      </c>
      <c r="ET516">
        <v>306.24</v>
      </c>
      <c r="EU516">
        <v>1.95</v>
      </c>
      <c r="EV516">
        <v>5120.87</v>
      </c>
      <c r="EW516">
        <v>19.899999999999999</v>
      </c>
      <c r="EX516">
        <v>0</v>
      </c>
      <c r="EY516">
        <v>0</v>
      </c>
      <c r="FQ516">
        <v>0</v>
      </c>
      <c r="FR516">
        <f t="shared" si="394"/>
        <v>0</v>
      </c>
      <c r="FS516">
        <v>0</v>
      </c>
      <c r="FX516">
        <v>70</v>
      </c>
      <c r="FY516">
        <v>10</v>
      </c>
      <c r="GA516" t="s">
        <v>3</v>
      </c>
      <c r="GD516">
        <v>0</v>
      </c>
      <c r="GF516">
        <v>1759174457</v>
      </c>
      <c r="GG516">
        <v>2</v>
      </c>
      <c r="GH516">
        <v>1</v>
      </c>
      <c r="GI516">
        <v>-2</v>
      </c>
      <c r="GJ516">
        <v>0</v>
      </c>
      <c r="GK516">
        <f>ROUND(R516*(R12)/100,2)</f>
        <v>0.53</v>
      </c>
      <c r="GL516">
        <f t="shared" si="395"/>
        <v>0</v>
      </c>
      <c r="GM516">
        <f t="shared" si="396"/>
        <v>20377.54</v>
      </c>
      <c r="GN516">
        <f t="shared" si="397"/>
        <v>0</v>
      </c>
      <c r="GO516">
        <f t="shared" si="398"/>
        <v>0</v>
      </c>
      <c r="GP516">
        <f t="shared" si="399"/>
        <v>20377.54</v>
      </c>
      <c r="GR516">
        <v>0</v>
      </c>
      <c r="GS516">
        <v>3</v>
      </c>
      <c r="GT516">
        <v>0</v>
      </c>
      <c r="GU516" t="s">
        <v>3</v>
      </c>
      <c r="GV516">
        <f t="shared" si="400"/>
        <v>0</v>
      </c>
      <c r="GW516">
        <v>1</v>
      </c>
      <c r="GX516">
        <f t="shared" si="401"/>
        <v>0</v>
      </c>
      <c r="HA516">
        <v>0</v>
      </c>
      <c r="HB516">
        <v>0</v>
      </c>
      <c r="HC516">
        <f t="shared" si="402"/>
        <v>0</v>
      </c>
      <c r="IK516">
        <v>0</v>
      </c>
    </row>
    <row r="517" spans="1:245" x14ac:dyDescent="0.2">
      <c r="A517">
        <v>18</v>
      </c>
      <c r="B517">
        <v>1</v>
      </c>
      <c r="C517">
        <v>81</v>
      </c>
      <c r="E517" t="s">
        <v>3</v>
      </c>
      <c r="F517" t="s">
        <v>424</v>
      </c>
      <c r="G517" t="s">
        <v>425</v>
      </c>
      <c r="H517" t="s">
        <v>35</v>
      </c>
      <c r="I517">
        <f>I516*J517</f>
        <v>-0.25</v>
      </c>
      <c r="J517">
        <v>-1</v>
      </c>
      <c r="O517">
        <f t="shared" si="363"/>
        <v>-16938.64</v>
      </c>
      <c r="P517">
        <f t="shared" si="364"/>
        <v>-16938.64</v>
      </c>
      <c r="Q517">
        <f t="shared" si="365"/>
        <v>0</v>
      </c>
      <c r="R517">
        <f t="shared" si="366"/>
        <v>0</v>
      </c>
      <c r="S517">
        <f t="shared" si="367"/>
        <v>0</v>
      </c>
      <c r="T517">
        <f t="shared" si="368"/>
        <v>0</v>
      </c>
      <c r="U517">
        <f t="shared" si="369"/>
        <v>0</v>
      </c>
      <c r="V517">
        <f t="shared" si="370"/>
        <v>0</v>
      </c>
      <c r="W517">
        <f t="shared" si="371"/>
        <v>0</v>
      </c>
      <c r="X517">
        <f t="shared" si="372"/>
        <v>0</v>
      </c>
      <c r="Y517">
        <f t="shared" si="373"/>
        <v>0</v>
      </c>
      <c r="AA517">
        <v>-1</v>
      </c>
      <c r="AB517">
        <f t="shared" si="374"/>
        <v>67754.539999999994</v>
      </c>
      <c r="AC517">
        <f t="shared" si="375"/>
        <v>67754.539999999994</v>
      </c>
      <c r="AD517">
        <f t="shared" si="376"/>
        <v>0</v>
      </c>
      <c r="AE517">
        <f t="shared" si="377"/>
        <v>0</v>
      </c>
      <c r="AF517">
        <f t="shared" si="378"/>
        <v>0</v>
      </c>
      <c r="AG517">
        <f t="shared" si="379"/>
        <v>0</v>
      </c>
      <c r="AH517">
        <f t="shared" si="380"/>
        <v>0</v>
      </c>
      <c r="AI517">
        <f t="shared" si="381"/>
        <v>0</v>
      </c>
      <c r="AJ517">
        <f t="shared" si="382"/>
        <v>0</v>
      </c>
      <c r="AK517">
        <v>67754.539999999994</v>
      </c>
      <c r="AL517">
        <v>67754.539999999994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70</v>
      </c>
      <c r="AU517">
        <v>10</v>
      </c>
      <c r="AV517">
        <v>1</v>
      </c>
      <c r="AW517">
        <v>1</v>
      </c>
      <c r="AZ517">
        <v>1</v>
      </c>
      <c r="BA517">
        <v>1</v>
      </c>
      <c r="BB517">
        <v>1</v>
      </c>
      <c r="BC517">
        <v>1</v>
      </c>
      <c r="BD517" t="s">
        <v>3</v>
      </c>
      <c r="BE517" t="s">
        <v>3</v>
      </c>
      <c r="BF517" t="s">
        <v>3</v>
      </c>
      <c r="BG517" t="s">
        <v>3</v>
      </c>
      <c r="BH517">
        <v>3</v>
      </c>
      <c r="BI517">
        <v>4</v>
      </c>
      <c r="BJ517" t="s">
        <v>426</v>
      </c>
      <c r="BM517">
        <v>0</v>
      </c>
      <c r="BN517">
        <v>0</v>
      </c>
      <c r="BO517" t="s">
        <v>3</v>
      </c>
      <c r="BP517">
        <v>0</v>
      </c>
      <c r="BQ517">
        <v>1</v>
      </c>
      <c r="BR517">
        <v>0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 t="s">
        <v>3</v>
      </c>
      <c r="BZ517">
        <v>70</v>
      </c>
      <c r="CA517">
        <v>10</v>
      </c>
      <c r="CE517">
        <v>0</v>
      </c>
      <c r="CF517">
        <v>0</v>
      </c>
      <c r="CG517">
        <v>0</v>
      </c>
      <c r="CM517">
        <v>0</v>
      </c>
      <c r="CN517" t="s">
        <v>3</v>
      </c>
      <c r="CO517">
        <v>0</v>
      </c>
      <c r="CP517">
        <f t="shared" si="383"/>
        <v>-16938.64</v>
      </c>
      <c r="CQ517">
        <f t="shared" si="384"/>
        <v>67754.539999999994</v>
      </c>
      <c r="CR517">
        <f t="shared" si="385"/>
        <v>0</v>
      </c>
      <c r="CS517">
        <f t="shared" si="386"/>
        <v>0</v>
      </c>
      <c r="CT517">
        <f t="shared" si="387"/>
        <v>0</v>
      </c>
      <c r="CU517">
        <f t="shared" si="388"/>
        <v>0</v>
      </c>
      <c r="CV517">
        <f t="shared" si="389"/>
        <v>0</v>
      </c>
      <c r="CW517">
        <f t="shared" si="390"/>
        <v>0</v>
      </c>
      <c r="CX517">
        <f t="shared" si="391"/>
        <v>0</v>
      </c>
      <c r="CY517">
        <f t="shared" si="392"/>
        <v>0</v>
      </c>
      <c r="CZ517">
        <f t="shared" si="393"/>
        <v>0</v>
      </c>
      <c r="DC517" t="s">
        <v>3</v>
      </c>
      <c r="DD517" t="s">
        <v>3</v>
      </c>
      <c r="DE517" t="s">
        <v>3</v>
      </c>
      <c r="DF517" t="s">
        <v>3</v>
      </c>
      <c r="DG517" t="s">
        <v>3</v>
      </c>
      <c r="DH517" t="s">
        <v>3</v>
      </c>
      <c r="DI517" t="s">
        <v>3</v>
      </c>
      <c r="DJ517" t="s">
        <v>3</v>
      </c>
      <c r="DK517" t="s">
        <v>3</v>
      </c>
      <c r="DL517" t="s">
        <v>3</v>
      </c>
      <c r="DM517" t="s">
        <v>3</v>
      </c>
      <c r="DN517">
        <v>0</v>
      </c>
      <c r="DO517">
        <v>0</v>
      </c>
      <c r="DP517">
        <v>1</v>
      </c>
      <c r="DQ517">
        <v>1</v>
      </c>
      <c r="DU517">
        <v>1009</v>
      </c>
      <c r="DV517" t="s">
        <v>35</v>
      </c>
      <c r="DW517" t="s">
        <v>35</v>
      </c>
      <c r="DX517">
        <v>1000</v>
      </c>
      <c r="EE517">
        <v>67874524</v>
      </c>
      <c r="EF517">
        <v>1</v>
      </c>
      <c r="EG517" t="s">
        <v>20</v>
      </c>
      <c r="EH517">
        <v>0</v>
      </c>
      <c r="EI517" t="s">
        <v>3</v>
      </c>
      <c r="EJ517">
        <v>4</v>
      </c>
      <c r="EK517">
        <v>0</v>
      </c>
      <c r="EL517" t="s">
        <v>21</v>
      </c>
      <c r="EM517" t="s">
        <v>22</v>
      </c>
      <c r="EO517" t="s">
        <v>3</v>
      </c>
      <c r="EQ517">
        <v>1024</v>
      </c>
      <c r="ER517">
        <v>67754.539999999994</v>
      </c>
      <c r="ES517">
        <v>67754.539999999994</v>
      </c>
      <c r="ET517">
        <v>0</v>
      </c>
      <c r="EU517">
        <v>0</v>
      </c>
      <c r="EV517">
        <v>0</v>
      </c>
      <c r="EW517">
        <v>0</v>
      </c>
      <c r="EX517">
        <v>0</v>
      </c>
      <c r="FQ517">
        <v>0</v>
      </c>
      <c r="FR517">
        <f t="shared" si="394"/>
        <v>0</v>
      </c>
      <c r="FS517">
        <v>0</v>
      </c>
      <c r="FX517">
        <v>70</v>
      </c>
      <c r="FY517">
        <v>10</v>
      </c>
      <c r="GA517" t="s">
        <v>3</v>
      </c>
      <c r="GD517">
        <v>0</v>
      </c>
      <c r="GF517">
        <v>741875256</v>
      </c>
      <c r="GG517">
        <v>2</v>
      </c>
      <c r="GH517">
        <v>1</v>
      </c>
      <c r="GI517">
        <v>-2</v>
      </c>
      <c r="GJ517">
        <v>0</v>
      </c>
      <c r="GK517">
        <f>ROUND(R517*(R12)/100,2)</f>
        <v>0</v>
      </c>
      <c r="GL517">
        <f t="shared" si="395"/>
        <v>0</v>
      </c>
      <c r="GM517">
        <f t="shared" si="396"/>
        <v>-16938.64</v>
      </c>
      <c r="GN517">
        <f t="shared" si="397"/>
        <v>0</v>
      </c>
      <c r="GO517">
        <f t="shared" si="398"/>
        <v>0</v>
      </c>
      <c r="GP517">
        <f t="shared" si="399"/>
        <v>-16938.64</v>
      </c>
      <c r="GR517">
        <v>0</v>
      </c>
      <c r="GS517">
        <v>3</v>
      </c>
      <c r="GT517">
        <v>0</v>
      </c>
      <c r="GU517" t="s">
        <v>3</v>
      </c>
      <c r="GV517">
        <f t="shared" si="400"/>
        <v>0</v>
      </c>
      <c r="GW517">
        <v>1</v>
      </c>
      <c r="GX517">
        <f t="shared" si="401"/>
        <v>0</v>
      </c>
      <c r="HA517">
        <v>0</v>
      </c>
      <c r="HB517">
        <v>0</v>
      </c>
      <c r="HC517">
        <f t="shared" si="402"/>
        <v>0</v>
      </c>
      <c r="IK517">
        <v>0</v>
      </c>
    </row>
    <row r="518" spans="1:245" x14ac:dyDescent="0.2">
      <c r="A518">
        <v>17</v>
      </c>
      <c r="B518">
        <v>1</v>
      </c>
      <c r="E518" t="s">
        <v>3</v>
      </c>
      <c r="F518" t="s">
        <v>427</v>
      </c>
      <c r="G518" t="s">
        <v>428</v>
      </c>
      <c r="H518" t="s">
        <v>232</v>
      </c>
      <c r="I518">
        <v>1</v>
      </c>
      <c r="J518">
        <v>0</v>
      </c>
      <c r="O518">
        <f t="shared" si="363"/>
        <v>52591.51</v>
      </c>
      <c r="P518">
        <f t="shared" si="364"/>
        <v>52591.51</v>
      </c>
      <c r="Q518">
        <f t="shared" si="365"/>
        <v>0</v>
      </c>
      <c r="R518">
        <f t="shared" si="366"/>
        <v>0</v>
      </c>
      <c r="S518">
        <f t="shared" si="367"/>
        <v>0</v>
      </c>
      <c r="T518">
        <f t="shared" si="368"/>
        <v>0</v>
      </c>
      <c r="U518">
        <f t="shared" si="369"/>
        <v>0</v>
      </c>
      <c r="V518">
        <f t="shared" si="370"/>
        <v>0</v>
      </c>
      <c r="W518">
        <f t="shared" si="371"/>
        <v>0</v>
      </c>
      <c r="X518">
        <f t="shared" si="372"/>
        <v>0</v>
      </c>
      <c r="Y518">
        <f t="shared" si="373"/>
        <v>0</v>
      </c>
      <c r="AA518">
        <v>-1</v>
      </c>
      <c r="AB518">
        <f t="shared" si="374"/>
        <v>52591.51</v>
      </c>
      <c r="AC518">
        <f t="shared" si="375"/>
        <v>52591.51</v>
      </c>
      <c r="AD518">
        <f t="shared" si="376"/>
        <v>0</v>
      </c>
      <c r="AE518">
        <f t="shared" si="377"/>
        <v>0</v>
      </c>
      <c r="AF518">
        <f t="shared" si="378"/>
        <v>0</v>
      </c>
      <c r="AG518">
        <f t="shared" si="379"/>
        <v>0</v>
      </c>
      <c r="AH518">
        <f t="shared" si="380"/>
        <v>0</v>
      </c>
      <c r="AI518">
        <f t="shared" si="381"/>
        <v>0</v>
      </c>
      <c r="AJ518">
        <f t="shared" si="382"/>
        <v>0</v>
      </c>
      <c r="AK518">
        <v>52591.51</v>
      </c>
      <c r="AL518">
        <v>52591.51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70</v>
      </c>
      <c r="AU518">
        <v>10</v>
      </c>
      <c r="AV518">
        <v>1</v>
      </c>
      <c r="AW518">
        <v>1</v>
      </c>
      <c r="AZ518">
        <v>1</v>
      </c>
      <c r="BA518">
        <v>1</v>
      </c>
      <c r="BB518">
        <v>1</v>
      </c>
      <c r="BC518">
        <v>1</v>
      </c>
      <c r="BD518" t="s">
        <v>3</v>
      </c>
      <c r="BE518" t="s">
        <v>3</v>
      </c>
      <c r="BF518" t="s">
        <v>3</v>
      </c>
      <c r="BG518" t="s">
        <v>3</v>
      </c>
      <c r="BH518">
        <v>3</v>
      </c>
      <c r="BI518">
        <v>4</v>
      </c>
      <c r="BJ518" t="s">
        <v>429</v>
      </c>
      <c r="BM518">
        <v>0</v>
      </c>
      <c r="BN518">
        <v>0</v>
      </c>
      <c r="BO518" t="s">
        <v>3</v>
      </c>
      <c r="BP518">
        <v>0</v>
      </c>
      <c r="BQ518">
        <v>1</v>
      </c>
      <c r="BR518">
        <v>0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 t="s">
        <v>3</v>
      </c>
      <c r="BZ518">
        <v>70</v>
      </c>
      <c r="CA518">
        <v>10</v>
      </c>
      <c r="CE518">
        <v>0</v>
      </c>
      <c r="CF518">
        <v>0</v>
      </c>
      <c r="CG518">
        <v>0</v>
      </c>
      <c r="CM518">
        <v>0</v>
      </c>
      <c r="CN518" t="s">
        <v>3</v>
      </c>
      <c r="CO518">
        <v>0</v>
      </c>
      <c r="CP518">
        <f t="shared" si="383"/>
        <v>52591.51</v>
      </c>
      <c r="CQ518">
        <f t="shared" si="384"/>
        <v>52591.51</v>
      </c>
      <c r="CR518">
        <f t="shared" si="385"/>
        <v>0</v>
      </c>
      <c r="CS518">
        <f t="shared" si="386"/>
        <v>0</v>
      </c>
      <c r="CT518">
        <f t="shared" si="387"/>
        <v>0</v>
      </c>
      <c r="CU518">
        <f t="shared" si="388"/>
        <v>0</v>
      </c>
      <c r="CV518">
        <f t="shared" si="389"/>
        <v>0</v>
      </c>
      <c r="CW518">
        <f t="shared" si="390"/>
        <v>0</v>
      </c>
      <c r="CX518">
        <f t="shared" si="391"/>
        <v>0</v>
      </c>
      <c r="CY518">
        <f t="shared" si="392"/>
        <v>0</v>
      </c>
      <c r="CZ518">
        <f t="shared" si="393"/>
        <v>0</v>
      </c>
      <c r="DC518" t="s">
        <v>3</v>
      </c>
      <c r="DD518" t="s">
        <v>3</v>
      </c>
      <c r="DE518" t="s">
        <v>3</v>
      </c>
      <c r="DF518" t="s">
        <v>3</v>
      </c>
      <c r="DG518" t="s">
        <v>3</v>
      </c>
      <c r="DH518" t="s">
        <v>3</v>
      </c>
      <c r="DI518" t="s">
        <v>3</v>
      </c>
      <c r="DJ518" t="s">
        <v>3</v>
      </c>
      <c r="DK518" t="s">
        <v>3</v>
      </c>
      <c r="DL518" t="s">
        <v>3</v>
      </c>
      <c r="DM518" t="s">
        <v>3</v>
      </c>
      <c r="DN518">
        <v>0</v>
      </c>
      <c r="DO518">
        <v>0</v>
      </c>
      <c r="DP518">
        <v>1</v>
      </c>
      <c r="DQ518">
        <v>1</v>
      </c>
      <c r="DU518">
        <v>1010</v>
      </c>
      <c r="DV518" t="s">
        <v>232</v>
      </c>
      <c r="DW518" t="s">
        <v>232</v>
      </c>
      <c r="DX518">
        <v>1</v>
      </c>
      <c r="EE518">
        <v>67874524</v>
      </c>
      <c r="EF518">
        <v>1</v>
      </c>
      <c r="EG518" t="s">
        <v>20</v>
      </c>
      <c r="EH518">
        <v>0</v>
      </c>
      <c r="EI518" t="s">
        <v>3</v>
      </c>
      <c r="EJ518">
        <v>4</v>
      </c>
      <c r="EK518">
        <v>0</v>
      </c>
      <c r="EL518" t="s">
        <v>21</v>
      </c>
      <c r="EM518" t="s">
        <v>22</v>
      </c>
      <c r="EO518" t="s">
        <v>3</v>
      </c>
      <c r="EQ518">
        <v>1024</v>
      </c>
      <c r="ER518">
        <v>52591.51</v>
      </c>
      <c r="ES518">
        <v>52591.51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FQ518">
        <v>0</v>
      </c>
      <c r="FR518">
        <f t="shared" si="394"/>
        <v>0</v>
      </c>
      <c r="FS518">
        <v>0</v>
      </c>
      <c r="FX518">
        <v>70</v>
      </c>
      <c r="FY518">
        <v>10</v>
      </c>
      <c r="GA518" t="s">
        <v>3</v>
      </c>
      <c r="GD518">
        <v>0</v>
      </c>
      <c r="GF518">
        <v>100364898</v>
      </c>
      <c r="GG518">
        <v>2</v>
      </c>
      <c r="GH518">
        <v>1</v>
      </c>
      <c r="GI518">
        <v>-2</v>
      </c>
      <c r="GJ518">
        <v>0</v>
      </c>
      <c r="GK518">
        <f>ROUND(R518*(R12)/100,2)</f>
        <v>0</v>
      </c>
      <c r="GL518">
        <f t="shared" si="395"/>
        <v>0</v>
      </c>
      <c r="GM518">
        <f t="shared" si="396"/>
        <v>52591.51</v>
      </c>
      <c r="GN518">
        <f t="shared" si="397"/>
        <v>0</v>
      </c>
      <c r="GO518">
        <f t="shared" si="398"/>
        <v>0</v>
      </c>
      <c r="GP518">
        <f t="shared" si="399"/>
        <v>52591.51</v>
      </c>
      <c r="GR518">
        <v>0</v>
      </c>
      <c r="GS518">
        <v>3</v>
      </c>
      <c r="GT518">
        <v>0</v>
      </c>
      <c r="GU518" t="s">
        <v>3</v>
      </c>
      <c r="GV518">
        <f t="shared" si="400"/>
        <v>0</v>
      </c>
      <c r="GW518">
        <v>1</v>
      </c>
      <c r="GX518">
        <f t="shared" si="401"/>
        <v>0</v>
      </c>
      <c r="HA518">
        <v>0</v>
      </c>
      <c r="HB518">
        <v>0</v>
      </c>
      <c r="HC518">
        <f t="shared" si="402"/>
        <v>0</v>
      </c>
      <c r="IK518">
        <v>0</v>
      </c>
    </row>
    <row r="519" spans="1:245" x14ac:dyDescent="0.2">
      <c r="A519">
        <v>17</v>
      </c>
      <c r="B519">
        <v>1</v>
      </c>
      <c r="E519" t="s">
        <v>3</v>
      </c>
      <c r="F519" t="s">
        <v>420</v>
      </c>
      <c r="G519" t="s">
        <v>430</v>
      </c>
      <c r="H519" t="s">
        <v>232</v>
      </c>
      <c r="I519">
        <v>1</v>
      </c>
      <c r="J519">
        <v>0</v>
      </c>
      <c r="O519">
        <f t="shared" si="363"/>
        <v>142635.94</v>
      </c>
      <c r="P519">
        <f t="shared" si="364"/>
        <v>142635.94</v>
      </c>
      <c r="Q519">
        <f t="shared" si="365"/>
        <v>0</v>
      </c>
      <c r="R519">
        <f t="shared" si="366"/>
        <v>0</v>
      </c>
      <c r="S519">
        <f t="shared" si="367"/>
        <v>0</v>
      </c>
      <c r="T519">
        <f t="shared" si="368"/>
        <v>0</v>
      </c>
      <c r="U519">
        <f t="shared" si="369"/>
        <v>0</v>
      </c>
      <c r="V519">
        <f t="shared" si="370"/>
        <v>0</v>
      </c>
      <c r="W519">
        <f t="shared" si="371"/>
        <v>0</v>
      </c>
      <c r="X519">
        <f t="shared" si="372"/>
        <v>0</v>
      </c>
      <c r="Y519">
        <f t="shared" si="373"/>
        <v>0</v>
      </c>
      <c r="AA519">
        <v>-1</v>
      </c>
      <c r="AB519">
        <f t="shared" si="374"/>
        <v>142635.94</v>
      </c>
      <c r="AC519">
        <f t="shared" si="375"/>
        <v>142635.94</v>
      </c>
      <c r="AD519">
        <f t="shared" si="376"/>
        <v>0</v>
      </c>
      <c r="AE519">
        <f t="shared" si="377"/>
        <v>0</v>
      </c>
      <c r="AF519">
        <f t="shared" si="378"/>
        <v>0</v>
      </c>
      <c r="AG519">
        <f t="shared" si="379"/>
        <v>0</v>
      </c>
      <c r="AH519">
        <f t="shared" si="380"/>
        <v>0</v>
      </c>
      <c r="AI519">
        <f t="shared" si="381"/>
        <v>0</v>
      </c>
      <c r="AJ519">
        <f t="shared" si="382"/>
        <v>0</v>
      </c>
      <c r="AK519">
        <v>142635.94</v>
      </c>
      <c r="AL519">
        <v>142635.94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70</v>
      </c>
      <c r="AU519">
        <v>10</v>
      </c>
      <c r="AV519">
        <v>1</v>
      </c>
      <c r="AW519">
        <v>1</v>
      </c>
      <c r="AZ519">
        <v>1</v>
      </c>
      <c r="BA519">
        <v>1</v>
      </c>
      <c r="BB519">
        <v>1</v>
      </c>
      <c r="BC519">
        <v>1</v>
      </c>
      <c r="BD519" t="s">
        <v>3</v>
      </c>
      <c r="BE519" t="s">
        <v>3</v>
      </c>
      <c r="BF519" t="s">
        <v>3</v>
      </c>
      <c r="BG519" t="s">
        <v>3</v>
      </c>
      <c r="BH519">
        <v>3</v>
      </c>
      <c r="BI519">
        <v>4</v>
      </c>
      <c r="BJ519" t="s">
        <v>422</v>
      </c>
      <c r="BM519">
        <v>0</v>
      </c>
      <c r="BN519">
        <v>0</v>
      </c>
      <c r="BO519" t="s">
        <v>3</v>
      </c>
      <c r="BP519">
        <v>0</v>
      </c>
      <c r="BQ519">
        <v>1</v>
      </c>
      <c r="BR519">
        <v>0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 t="s">
        <v>3</v>
      </c>
      <c r="BZ519">
        <v>70</v>
      </c>
      <c r="CA519">
        <v>10</v>
      </c>
      <c r="CE519">
        <v>0</v>
      </c>
      <c r="CF519">
        <v>0</v>
      </c>
      <c r="CG519">
        <v>0</v>
      </c>
      <c r="CM519">
        <v>0</v>
      </c>
      <c r="CN519" t="s">
        <v>3</v>
      </c>
      <c r="CO519">
        <v>0</v>
      </c>
      <c r="CP519">
        <f t="shared" si="383"/>
        <v>142635.94</v>
      </c>
      <c r="CQ519">
        <f t="shared" si="384"/>
        <v>142635.94</v>
      </c>
      <c r="CR519">
        <f t="shared" si="385"/>
        <v>0</v>
      </c>
      <c r="CS519">
        <f t="shared" si="386"/>
        <v>0</v>
      </c>
      <c r="CT519">
        <f t="shared" si="387"/>
        <v>0</v>
      </c>
      <c r="CU519">
        <f t="shared" si="388"/>
        <v>0</v>
      </c>
      <c r="CV519">
        <f t="shared" si="389"/>
        <v>0</v>
      </c>
      <c r="CW519">
        <f t="shared" si="390"/>
        <v>0</v>
      </c>
      <c r="CX519">
        <f t="shared" si="391"/>
        <v>0</v>
      </c>
      <c r="CY519">
        <f t="shared" si="392"/>
        <v>0</v>
      </c>
      <c r="CZ519">
        <f t="shared" si="393"/>
        <v>0</v>
      </c>
      <c r="DC519" t="s">
        <v>3</v>
      </c>
      <c r="DD519" t="s">
        <v>3</v>
      </c>
      <c r="DE519" t="s">
        <v>3</v>
      </c>
      <c r="DF519" t="s">
        <v>3</v>
      </c>
      <c r="DG519" t="s">
        <v>3</v>
      </c>
      <c r="DH519" t="s">
        <v>3</v>
      </c>
      <c r="DI519" t="s">
        <v>3</v>
      </c>
      <c r="DJ519" t="s">
        <v>3</v>
      </c>
      <c r="DK519" t="s">
        <v>3</v>
      </c>
      <c r="DL519" t="s">
        <v>3</v>
      </c>
      <c r="DM519" t="s">
        <v>3</v>
      </c>
      <c r="DN519">
        <v>0</v>
      </c>
      <c r="DO519">
        <v>0</v>
      </c>
      <c r="DP519">
        <v>1</v>
      </c>
      <c r="DQ519">
        <v>1</v>
      </c>
      <c r="DU519">
        <v>1010</v>
      </c>
      <c r="DV519" t="s">
        <v>232</v>
      </c>
      <c r="DW519" t="s">
        <v>232</v>
      </c>
      <c r="DX519">
        <v>1</v>
      </c>
      <c r="EE519">
        <v>67874524</v>
      </c>
      <c r="EF519">
        <v>1</v>
      </c>
      <c r="EG519" t="s">
        <v>20</v>
      </c>
      <c r="EH519">
        <v>0</v>
      </c>
      <c r="EI519" t="s">
        <v>3</v>
      </c>
      <c r="EJ519">
        <v>4</v>
      </c>
      <c r="EK519">
        <v>0</v>
      </c>
      <c r="EL519" t="s">
        <v>21</v>
      </c>
      <c r="EM519" t="s">
        <v>22</v>
      </c>
      <c r="EO519" t="s">
        <v>3</v>
      </c>
      <c r="EQ519">
        <v>1024</v>
      </c>
      <c r="ER519">
        <v>142635.94</v>
      </c>
      <c r="ES519">
        <v>142635.94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FQ519">
        <v>0</v>
      </c>
      <c r="FR519">
        <f t="shared" si="394"/>
        <v>0</v>
      </c>
      <c r="FS519">
        <v>0</v>
      </c>
      <c r="FX519">
        <v>70</v>
      </c>
      <c r="FY519">
        <v>10</v>
      </c>
      <c r="GA519" t="s">
        <v>3</v>
      </c>
      <c r="GD519">
        <v>0</v>
      </c>
      <c r="GF519">
        <v>-773385418</v>
      </c>
      <c r="GG519">
        <v>2</v>
      </c>
      <c r="GH519">
        <v>1</v>
      </c>
      <c r="GI519">
        <v>-2</v>
      </c>
      <c r="GJ519">
        <v>0</v>
      </c>
      <c r="GK519">
        <f>ROUND(R519*(R12)/100,2)</f>
        <v>0</v>
      </c>
      <c r="GL519">
        <f t="shared" si="395"/>
        <v>0</v>
      </c>
      <c r="GM519">
        <f t="shared" si="396"/>
        <v>142635.94</v>
      </c>
      <c r="GN519">
        <f t="shared" si="397"/>
        <v>0</v>
      </c>
      <c r="GO519">
        <f t="shared" si="398"/>
        <v>0</v>
      </c>
      <c r="GP519">
        <f t="shared" si="399"/>
        <v>142635.94</v>
      </c>
      <c r="GR519">
        <v>0</v>
      </c>
      <c r="GS519">
        <v>3</v>
      </c>
      <c r="GT519">
        <v>0</v>
      </c>
      <c r="GU519" t="s">
        <v>3</v>
      </c>
      <c r="GV519">
        <f t="shared" si="400"/>
        <v>0</v>
      </c>
      <c r="GW519">
        <v>1</v>
      </c>
      <c r="GX519">
        <f t="shared" si="401"/>
        <v>0</v>
      </c>
      <c r="HA519">
        <v>0</v>
      </c>
      <c r="HB519">
        <v>0</v>
      </c>
      <c r="HC519">
        <f t="shared" si="402"/>
        <v>0</v>
      </c>
      <c r="IK519">
        <v>0</v>
      </c>
    </row>
    <row r="520" spans="1:245" x14ac:dyDescent="0.2">
      <c r="A520">
        <v>17</v>
      </c>
      <c r="B520">
        <v>1</v>
      </c>
      <c r="E520" t="s">
        <v>3</v>
      </c>
      <c r="F520" t="s">
        <v>412</v>
      </c>
      <c r="G520" t="s">
        <v>431</v>
      </c>
      <c r="H520" t="s">
        <v>232</v>
      </c>
      <c r="I520">
        <v>1</v>
      </c>
      <c r="J520">
        <v>0</v>
      </c>
      <c r="O520">
        <f t="shared" si="363"/>
        <v>63486.18</v>
      </c>
      <c r="P520">
        <f t="shared" si="364"/>
        <v>63486.18</v>
      </c>
      <c r="Q520">
        <f t="shared" si="365"/>
        <v>0</v>
      </c>
      <c r="R520">
        <f t="shared" si="366"/>
        <v>0</v>
      </c>
      <c r="S520">
        <f t="shared" si="367"/>
        <v>0</v>
      </c>
      <c r="T520">
        <f t="shared" si="368"/>
        <v>0</v>
      </c>
      <c r="U520">
        <f t="shared" si="369"/>
        <v>0</v>
      </c>
      <c r="V520">
        <f t="shared" si="370"/>
        <v>0</v>
      </c>
      <c r="W520">
        <f t="shared" si="371"/>
        <v>0</v>
      </c>
      <c r="X520">
        <f t="shared" si="372"/>
        <v>0</v>
      </c>
      <c r="Y520">
        <f t="shared" si="373"/>
        <v>0</v>
      </c>
      <c r="AA520">
        <v>-1</v>
      </c>
      <c r="AB520">
        <f t="shared" si="374"/>
        <v>63486.18</v>
      </c>
      <c r="AC520">
        <f t="shared" si="375"/>
        <v>63486.18</v>
      </c>
      <c r="AD520">
        <f t="shared" si="376"/>
        <v>0</v>
      </c>
      <c r="AE520">
        <f t="shared" si="377"/>
        <v>0</v>
      </c>
      <c r="AF520">
        <f t="shared" si="378"/>
        <v>0</v>
      </c>
      <c r="AG520">
        <f t="shared" si="379"/>
        <v>0</v>
      </c>
      <c r="AH520">
        <f t="shared" si="380"/>
        <v>0</v>
      </c>
      <c r="AI520">
        <f t="shared" si="381"/>
        <v>0</v>
      </c>
      <c r="AJ520">
        <f t="shared" si="382"/>
        <v>0</v>
      </c>
      <c r="AK520">
        <v>63486.18</v>
      </c>
      <c r="AL520">
        <v>63486.18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70</v>
      </c>
      <c r="AU520">
        <v>10</v>
      </c>
      <c r="AV520">
        <v>1</v>
      </c>
      <c r="AW520">
        <v>1</v>
      </c>
      <c r="AZ520">
        <v>1</v>
      </c>
      <c r="BA520">
        <v>1</v>
      </c>
      <c r="BB520">
        <v>1</v>
      </c>
      <c r="BC520">
        <v>1</v>
      </c>
      <c r="BD520" t="s">
        <v>3</v>
      </c>
      <c r="BE520" t="s">
        <v>3</v>
      </c>
      <c r="BF520" t="s">
        <v>3</v>
      </c>
      <c r="BG520" t="s">
        <v>3</v>
      </c>
      <c r="BH520">
        <v>3</v>
      </c>
      <c r="BI520">
        <v>4</v>
      </c>
      <c r="BJ520" t="s">
        <v>413</v>
      </c>
      <c r="BM520">
        <v>0</v>
      </c>
      <c r="BN520">
        <v>0</v>
      </c>
      <c r="BO520" t="s">
        <v>3</v>
      </c>
      <c r="BP520">
        <v>0</v>
      </c>
      <c r="BQ520">
        <v>1</v>
      </c>
      <c r="BR520">
        <v>0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 t="s">
        <v>3</v>
      </c>
      <c r="BZ520">
        <v>70</v>
      </c>
      <c r="CA520">
        <v>10</v>
      </c>
      <c r="CE520">
        <v>0</v>
      </c>
      <c r="CF520">
        <v>0</v>
      </c>
      <c r="CG520">
        <v>0</v>
      </c>
      <c r="CM520">
        <v>0</v>
      </c>
      <c r="CN520" t="s">
        <v>3</v>
      </c>
      <c r="CO520">
        <v>0</v>
      </c>
      <c r="CP520">
        <f t="shared" si="383"/>
        <v>63486.18</v>
      </c>
      <c r="CQ520">
        <f t="shared" si="384"/>
        <v>63486.18</v>
      </c>
      <c r="CR520">
        <f t="shared" si="385"/>
        <v>0</v>
      </c>
      <c r="CS520">
        <f t="shared" si="386"/>
        <v>0</v>
      </c>
      <c r="CT520">
        <f t="shared" si="387"/>
        <v>0</v>
      </c>
      <c r="CU520">
        <f t="shared" si="388"/>
        <v>0</v>
      </c>
      <c r="CV520">
        <f t="shared" si="389"/>
        <v>0</v>
      </c>
      <c r="CW520">
        <f t="shared" si="390"/>
        <v>0</v>
      </c>
      <c r="CX520">
        <f t="shared" si="391"/>
        <v>0</v>
      </c>
      <c r="CY520">
        <f t="shared" si="392"/>
        <v>0</v>
      </c>
      <c r="CZ520">
        <f t="shared" si="393"/>
        <v>0</v>
      </c>
      <c r="DC520" t="s">
        <v>3</v>
      </c>
      <c r="DD520" t="s">
        <v>3</v>
      </c>
      <c r="DE520" t="s">
        <v>3</v>
      </c>
      <c r="DF520" t="s">
        <v>3</v>
      </c>
      <c r="DG520" t="s">
        <v>3</v>
      </c>
      <c r="DH520" t="s">
        <v>3</v>
      </c>
      <c r="DI520" t="s">
        <v>3</v>
      </c>
      <c r="DJ520" t="s">
        <v>3</v>
      </c>
      <c r="DK520" t="s">
        <v>3</v>
      </c>
      <c r="DL520" t="s">
        <v>3</v>
      </c>
      <c r="DM520" t="s">
        <v>3</v>
      </c>
      <c r="DN520">
        <v>0</v>
      </c>
      <c r="DO520">
        <v>0</v>
      </c>
      <c r="DP520">
        <v>1</v>
      </c>
      <c r="DQ520">
        <v>1</v>
      </c>
      <c r="DU520">
        <v>1010</v>
      </c>
      <c r="DV520" t="s">
        <v>232</v>
      </c>
      <c r="DW520" t="s">
        <v>232</v>
      </c>
      <c r="DX520">
        <v>1</v>
      </c>
      <c r="EE520">
        <v>67874524</v>
      </c>
      <c r="EF520">
        <v>1</v>
      </c>
      <c r="EG520" t="s">
        <v>20</v>
      </c>
      <c r="EH520">
        <v>0</v>
      </c>
      <c r="EI520" t="s">
        <v>3</v>
      </c>
      <c r="EJ520">
        <v>4</v>
      </c>
      <c r="EK520">
        <v>0</v>
      </c>
      <c r="EL520" t="s">
        <v>21</v>
      </c>
      <c r="EM520" t="s">
        <v>22</v>
      </c>
      <c r="EO520" t="s">
        <v>3</v>
      </c>
      <c r="EQ520">
        <v>1024</v>
      </c>
      <c r="ER520">
        <v>63486.18</v>
      </c>
      <c r="ES520">
        <v>63486.18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FQ520">
        <v>0</v>
      </c>
      <c r="FR520">
        <f t="shared" si="394"/>
        <v>0</v>
      </c>
      <c r="FS520">
        <v>0</v>
      </c>
      <c r="FX520">
        <v>70</v>
      </c>
      <c r="FY520">
        <v>10</v>
      </c>
      <c r="GA520" t="s">
        <v>3</v>
      </c>
      <c r="GD520">
        <v>0</v>
      </c>
      <c r="GF520">
        <v>-912770911</v>
      </c>
      <c r="GG520">
        <v>2</v>
      </c>
      <c r="GH520">
        <v>1</v>
      </c>
      <c r="GI520">
        <v>-2</v>
      </c>
      <c r="GJ520">
        <v>0</v>
      </c>
      <c r="GK520">
        <f>ROUND(R520*(R12)/100,2)</f>
        <v>0</v>
      </c>
      <c r="GL520">
        <f t="shared" si="395"/>
        <v>0</v>
      </c>
      <c r="GM520">
        <f t="shared" si="396"/>
        <v>63486.18</v>
      </c>
      <c r="GN520">
        <f t="shared" si="397"/>
        <v>0</v>
      </c>
      <c r="GO520">
        <f t="shared" si="398"/>
        <v>0</v>
      </c>
      <c r="GP520">
        <f t="shared" si="399"/>
        <v>63486.18</v>
      </c>
      <c r="GR520">
        <v>0</v>
      </c>
      <c r="GS520">
        <v>3</v>
      </c>
      <c r="GT520">
        <v>0</v>
      </c>
      <c r="GU520" t="s">
        <v>3</v>
      </c>
      <c r="GV520">
        <f t="shared" si="400"/>
        <v>0</v>
      </c>
      <c r="GW520">
        <v>1</v>
      </c>
      <c r="GX520">
        <f t="shared" si="401"/>
        <v>0</v>
      </c>
      <c r="HA520">
        <v>0</v>
      </c>
      <c r="HB520">
        <v>0</v>
      </c>
      <c r="HC520">
        <f t="shared" si="402"/>
        <v>0</v>
      </c>
      <c r="IK520">
        <v>0</v>
      </c>
    </row>
    <row r="521" spans="1:245" x14ac:dyDescent="0.2">
      <c r="A521">
        <v>17</v>
      </c>
      <c r="B521">
        <v>1</v>
      </c>
      <c r="E521" t="s">
        <v>3</v>
      </c>
      <c r="F521" t="s">
        <v>415</v>
      </c>
      <c r="G521" t="s">
        <v>432</v>
      </c>
      <c r="H521" t="s">
        <v>232</v>
      </c>
      <c r="I521">
        <v>1</v>
      </c>
      <c r="J521">
        <v>0</v>
      </c>
      <c r="O521">
        <f t="shared" si="363"/>
        <v>75364.58</v>
      </c>
      <c r="P521">
        <f t="shared" si="364"/>
        <v>75364.58</v>
      </c>
      <c r="Q521">
        <f t="shared" si="365"/>
        <v>0</v>
      </c>
      <c r="R521">
        <f t="shared" si="366"/>
        <v>0</v>
      </c>
      <c r="S521">
        <f t="shared" si="367"/>
        <v>0</v>
      </c>
      <c r="T521">
        <f t="shared" si="368"/>
        <v>0</v>
      </c>
      <c r="U521">
        <f t="shared" si="369"/>
        <v>0</v>
      </c>
      <c r="V521">
        <f t="shared" si="370"/>
        <v>0</v>
      </c>
      <c r="W521">
        <f t="shared" si="371"/>
        <v>0</v>
      </c>
      <c r="X521">
        <f t="shared" si="372"/>
        <v>0</v>
      </c>
      <c r="Y521">
        <f t="shared" si="373"/>
        <v>0</v>
      </c>
      <c r="AA521">
        <v>-1</v>
      </c>
      <c r="AB521">
        <f t="shared" si="374"/>
        <v>75364.58</v>
      </c>
      <c r="AC521">
        <f t="shared" si="375"/>
        <v>75364.58</v>
      </c>
      <c r="AD521">
        <f t="shared" si="376"/>
        <v>0</v>
      </c>
      <c r="AE521">
        <f t="shared" si="377"/>
        <v>0</v>
      </c>
      <c r="AF521">
        <f t="shared" si="378"/>
        <v>0</v>
      </c>
      <c r="AG521">
        <f t="shared" si="379"/>
        <v>0</v>
      </c>
      <c r="AH521">
        <f t="shared" si="380"/>
        <v>0</v>
      </c>
      <c r="AI521">
        <f t="shared" si="381"/>
        <v>0</v>
      </c>
      <c r="AJ521">
        <f t="shared" si="382"/>
        <v>0</v>
      </c>
      <c r="AK521">
        <v>75364.58</v>
      </c>
      <c r="AL521">
        <v>75364.58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70</v>
      </c>
      <c r="AU521">
        <v>10</v>
      </c>
      <c r="AV521">
        <v>1</v>
      </c>
      <c r="AW521">
        <v>1</v>
      </c>
      <c r="AZ521">
        <v>1</v>
      </c>
      <c r="BA521">
        <v>1</v>
      </c>
      <c r="BB521">
        <v>1</v>
      </c>
      <c r="BC521">
        <v>1</v>
      </c>
      <c r="BD521" t="s">
        <v>3</v>
      </c>
      <c r="BE521" t="s">
        <v>3</v>
      </c>
      <c r="BF521" t="s">
        <v>3</v>
      </c>
      <c r="BG521" t="s">
        <v>3</v>
      </c>
      <c r="BH521">
        <v>3</v>
      </c>
      <c r="BI521">
        <v>4</v>
      </c>
      <c r="BJ521" t="s">
        <v>416</v>
      </c>
      <c r="BM521">
        <v>0</v>
      </c>
      <c r="BN521">
        <v>0</v>
      </c>
      <c r="BO521" t="s">
        <v>3</v>
      </c>
      <c r="BP521">
        <v>0</v>
      </c>
      <c r="BQ521">
        <v>1</v>
      </c>
      <c r="BR521">
        <v>0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 t="s">
        <v>3</v>
      </c>
      <c r="BZ521">
        <v>70</v>
      </c>
      <c r="CA521">
        <v>10</v>
      </c>
      <c r="CE521">
        <v>0</v>
      </c>
      <c r="CF521">
        <v>0</v>
      </c>
      <c r="CG521">
        <v>0</v>
      </c>
      <c r="CM521">
        <v>0</v>
      </c>
      <c r="CN521" t="s">
        <v>3</v>
      </c>
      <c r="CO521">
        <v>0</v>
      </c>
      <c r="CP521">
        <f t="shared" si="383"/>
        <v>75364.58</v>
      </c>
      <c r="CQ521">
        <f t="shared" si="384"/>
        <v>75364.58</v>
      </c>
      <c r="CR521">
        <f t="shared" si="385"/>
        <v>0</v>
      </c>
      <c r="CS521">
        <f t="shared" si="386"/>
        <v>0</v>
      </c>
      <c r="CT521">
        <f t="shared" si="387"/>
        <v>0</v>
      </c>
      <c r="CU521">
        <f t="shared" si="388"/>
        <v>0</v>
      </c>
      <c r="CV521">
        <f t="shared" si="389"/>
        <v>0</v>
      </c>
      <c r="CW521">
        <f t="shared" si="390"/>
        <v>0</v>
      </c>
      <c r="CX521">
        <f t="shared" si="391"/>
        <v>0</v>
      </c>
      <c r="CY521">
        <f t="shared" si="392"/>
        <v>0</v>
      </c>
      <c r="CZ521">
        <f t="shared" si="393"/>
        <v>0</v>
      </c>
      <c r="DC521" t="s">
        <v>3</v>
      </c>
      <c r="DD521" t="s">
        <v>3</v>
      </c>
      <c r="DE521" t="s">
        <v>3</v>
      </c>
      <c r="DF521" t="s">
        <v>3</v>
      </c>
      <c r="DG521" t="s">
        <v>3</v>
      </c>
      <c r="DH521" t="s">
        <v>3</v>
      </c>
      <c r="DI521" t="s">
        <v>3</v>
      </c>
      <c r="DJ521" t="s">
        <v>3</v>
      </c>
      <c r="DK521" t="s">
        <v>3</v>
      </c>
      <c r="DL521" t="s">
        <v>3</v>
      </c>
      <c r="DM521" t="s">
        <v>3</v>
      </c>
      <c r="DN521">
        <v>0</v>
      </c>
      <c r="DO521">
        <v>0</v>
      </c>
      <c r="DP521">
        <v>1</v>
      </c>
      <c r="DQ521">
        <v>1</v>
      </c>
      <c r="DU521">
        <v>1010</v>
      </c>
      <c r="DV521" t="s">
        <v>232</v>
      </c>
      <c r="DW521" t="s">
        <v>232</v>
      </c>
      <c r="DX521">
        <v>1</v>
      </c>
      <c r="EE521">
        <v>67874524</v>
      </c>
      <c r="EF521">
        <v>1</v>
      </c>
      <c r="EG521" t="s">
        <v>20</v>
      </c>
      <c r="EH521">
        <v>0</v>
      </c>
      <c r="EI521" t="s">
        <v>3</v>
      </c>
      <c r="EJ521">
        <v>4</v>
      </c>
      <c r="EK521">
        <v>0</v>
      </c>
      <c r="EL521" t="s">
        <v>21</v>
      </c>
      <c r="EM521" t="s">
        <v>22</v>
      </c>
      <c r="EO521" t="s">
        <v>3</v>
      </c>
      <c r="EQ521">
        <v>1024</v>
      </c>
      <c r="ER521">
        <v>75364.58</v>
      </c>
      <c r="ES521">
        <v>75364.58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FQ521">
        <v>0</v>
      </c>
      <c r="FR521">
        <f t="shared" si="394"/>
        <v>0</v>
      </c>
      <c r="FS521">
        <v>0</v>
      </c>
      <c r="FX521">
        <v>70</v>
      </c>
      <c r="FY521">
        <v>10</v>
      </c>
      <c r="GA521" t="s">
        <v>3</v>
      </c>
      <c r="GD521">
        <v>0</v>
      </c>
      <c r="GF521">
        <v>-333056639</v>
      </c>
      <c r="GG521">
        <v>2</v>
      </c>
      <c r="GH521">
        <v>1</v>
      </c>
      <c r="GI521">
        <v>-2</v>
      </c>
      <c r="GJ521">
        <v>0</v>
      </c>
      <c r="GK521">
        <f>ROUND(R521*(R12)/100,2)</f>
        <v>0</v>
      </c>
      <c r="GL521">
        <f t="shared" si="395"/>
        <v>0</v>
      </c>
      <c r="GM521">
        <f t="shared" si="396"/>
        <v>75364.58</v>
      </c>
      <c r="GN521">
        <f t="shared" si="397"/>
        <v>0</v>
      </c>
      <c r="GO521">
        <f t="shared" si="398"/>
        <v>0</v>
      </c>
      <c r="GP521">
        <f t="shared" si="399"/>
        <v>75364.58</v>
      </c>
      <c r="GR521">
        <v>0</v>
      </c>
      <c r="GS521">
        <v>3</v>
      </c>
      <c r="GT521">
        <v>0</v>
      </c>
      <c r="GU521" t="s">
        <v>3</v>
      </c>
      <c r="GV521">
        <f t="shared" si="400"/>
        <v>0</v>
      </c>
      <c r="GW521">
        <v>1</v>
      </c>
      <c r="GX521">
        <f t="shared" si="401"/>
        <v>0</v>
      </c>
      <c r="HA521">
        <v>0</v>
      </c>
      <c r="HB521">
        <v>0</v>
      </c>
      <c r="HC521">
        <f t="shared" si="402"/>
        <v>0</v>
      </c>
      <c r="IK521">
        <v>0</v>
      </c>
    </row>
    <row r="522" spans="1:245" x14ac:dyDescent="0.2">
      <c r="A522">
        <v>17</v>
      </c>
      <c r="B522">
        <v>1</v>
      </c>
      <c r="E522" t="s">
        <v>3</v>
      </c>
      <c r="F522" t="s">
        <v>433</v>
      </c>
      <c r="G522" t="s">
        <v>434</v>
      </c>
      <c r="H522" t="s">
        <v>232</v>
      </c>
      <c r="I522">
        <v>1</v>
      </c>
      <c r="J522">
        <v>0</v>
      </c>
      <c r="O522">
        <f t="shared" si="363"/>
        <v>26917.8</v>
      </c>
      <c r="P522">
        <f t="shared" si="364"/>
        <v>26917.8</v>
      </c>
      <c r="Q522">
        <f t="shared" si="365"/>
        <v>0</v>
      </c>
      <c r="R522">
        <f t="shared" si="366"/>
        <v>0</v>
      </c>
      <c r="S522">
        <f t="shared" si="367"/>
        <v>0</v>
      </c>
      <c r="T522">
        <f t="shared" si="368"/>
        <v>0</v>
      </c>
      <c r="U522">
        <f t="shared" si="369"/>
        <v>0</v>
      </c>
      <c r="V522">
        <f t="shared" si="370"/>
        <v>0</v>
      </c>
      <c r="W522">
        <f t="shared" si="371"/>
        <v>0</v>
      </c>
      <c r="X522">
        <f t="shared" si="372"/>
        <v>0</v>
      </c>
      <c r="Y522">
        <f t="shared" si="373"/>
        <v>0</v>
      </c>
      <c r="AA522">
        <v>-1</v>
      </c>
      <c r="AB522">
        <f t="shared" si="374"/>
        <v>26917.8</v>
      </c>
      <c r="AC522">
        <f t="shared" si="375"/>
        <v>26917.8</v>
      </c>
      <c r="AD522">
        <f t="shared" si="376"/>
        <v>0</v>
      </c>
      <c r="AE522">
        <f t="shared" si="377"/>
        <v>0</v>
      </c>
      <c r="AF522">
        <f t="shared" si="378"/>
        <v>0</v>
      </c>
      <c r="AG522">
        <f t="shared" si="379"/>
        <v>0</v>
      </c>
      <c r="AH522">
        <f t="shared" si="380"/>
        <v>0</v>
      </c>
      <c r="AI522">
        <f t="shared" si="381"/>
        <v>0</v>
      </c>
      <c r="AJ522">
        <f t="shared" si="382"/>
        <v>0</v>
      </c>
      <c r="AK522">
        <v>26917.8</v>
      </c>
      <c r="AL522">
        <v>26917.8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70</v>
      </c>
      <c r="AU522">
        <v>10</v>
      </c>
      <c r="AV522">
        <v>1</v>
      </c>
      <c r="AW522">
        <v>1</v>
      </c>
      <c r="AZ522">
        <v>1</v>
      </c>
      <c r="BA522">
        <v>1</v>
      </c>
      <c r="BB522">
        <v>1</v>
      </c>
      <c r="BC522">
        <v>1</v>
      </c>
      <c r="BD522" t="s">
        <v>3</v>
      </c>
      <c r="BE522" t="s">
        <v>3</v>
      </c>
      <c r="BF522" t="s">
        <v>3</v>
      </c>
      <c r="BG522" t="s">
        <v>3</v>
      </c>
      <c r="BH522">
        <v>3</v>
      </c>
      <c r="BI522">
        <v>4</v>
      </c>
      <c r="BJ522" t="s">
        <v>435</v>
      </c>
      <c r="BM522">
        <v>0</v>
      </c>
      <c r="BN522">
        <v>0</v>
      </c>
      <c r="BO522" t="s">
        <v>3</v>
      </c>
      <c r="BP522">
        <v>0</v>
      </c>
      <c r="BQ522">
        <v>1</v>
      </c>
      <c r="BR522">
        <v>0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 t="s">
        <v>3</v>
      </c>
      <c r="BZ522">
        <v>70</v>
      </c>
      <c r="CA522">
        <v>10</v>
      </c>
      <c r="CE522">
        <v>0</v>
      </c>
      <c r="CF522">
        <v>0</v>
      </c>
      <c r="CG522">
        <v>0</v>
      </c>
      <c r="CM522">
        <v>0</v>
      </c>
      <c r="CN522" t="s">
        <v>3</v>
      </c>
      <c r="CO522">
        <v>0</v>
      </c>
      <c r="CP522">
        <f t="shared" si="383"/>
        <v>26917.8</v>
      </c>
      <c r="CQ522">
        <f t="shared" si="384"/>
        <v>26917.8</v>
      </c>
      <c r="CR522">
        <f t="shared" si="385"/>
        <v>0</v>
      </c>
      <c r="CS522">
        <f t="shared" si="386"/>
        <v>0</v>
      </c>
      <c r="CT522">
        <f t="shared" si="387"/>
        <v>0</v>
      </c>
      <c r="CU522">
        <f t="shared" si="388"/>
        <v>0</v>
      </c>
      <c r="CV522">
        <f t="shared" si="389"/>
        <v>0</v>
      </c>
      <c r="CW522">
        <f t="shared" si="390"/>
        <v>0</v>
      </c>
      <c r="CX522">
        <f t="shared" si="391"/>
        <v>0</v>
      </c>
      <c r="CY522">
        <f t="shared" si="392"/>
        <v>0</v>
      </c>
      <c r="CZ522">
        <f t="shared" si="393"/>
        <v>0</v>
      </c>
      <c r="DC522" t="s">
        <v>3</v>
      </c>
      <c r="DD522" t="s">
        <v>3</v>
      </c>
      <c r="DE522" t="s">
        <v>3</v>
      </c>
      <c r="DF522" t="s">
        <v>3</v>
      </c>
      <c r="DG522" t="s">
        <v>3</v>
      </c>
      <c r="DH522" t="s">
        <v>3</v>
      </c>
      <c r="DI522" t="s">
        <v>3</v>
      </c>
      <c r="DJ522" t="s">
        <v>3</v>
      </c>
      <c r="DK522" t="s">
        <v>3</v>
      </c>
      <c r="DL522" t="s">
        <v>3</v>
      </c>
      <c r="DM522" t="s">
        <v>3</v>
      </c>
      <c r="DN522">
        <v>0</v>
      </c>
      <c r="DO522">
        <v>0</v>
      </c>
      <c r="DP522">
        <v>1</v>
      </c>
      <c r="DQ522">
        <v>1</v>
      </c>
      <c r="DU522">
        <v>1010</v>
      </c>
      <c r="DV522" t="s">
        <v>232</v>
      </c>
      <c r="DW522" t="s">
        <v>232</v>
      </c>
      <c r="DX522">
        <v>1</v>
      </c>
      <c r="EE522">
        <v>67874524</v>
      </c>
      <c r="EF522">
        <v>1</v>
      </c>
      <c r="EG522" t="s">
        <v>20</v>
      </c>
      <c r="EH522">
        <v>0</v>
      </c>
      <c r="EI522" t="s">
        <v>3</v>
      </c>
      <c r="EJ522">
        <v>4</v>
      </c>
      <c r="EK522">
        <v>0</v>
      </c>
      <c r="EL522" t="s">
        <v>21</v>
      </c>
      <c r="EM522" t="s">
        <v>22</v>
      </c>
      <c r="EO522" t="s">
        <v>3</v>
      </c>
      <c r="EQ522">
        <v>1024</v>
      </c>
      <c r="ER522">
        <v>26917.8</v>
      </c>
      <c r="ES522">
        <v>26917.8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FQ522">
        <v>0</v>
      </c>
      <c r="FR522">
        <f t="shared" si="394"/>
        <v>0</v>
      </c>
      <c r="FS522">
        <v>0</v>
      </c>
      <c r="FX522">
        <v>70</v>
      </c>
      <c r="FY522">
        <v>10</v>
      </c>
      <c r="GA522" t="s">
        <v>3</v>
      </c>
      <c r="GD522">
        <v>0</v>
      </c>
      <c r="GF522">
        <v>1282909362</v>
      </c>
      <c r="GG522">
        <v>2</v>
      </c>
      <c r="GH522">
        <v>1</v>
      </c>
      <c r="GI522">
        <v>-2</v>
      </c>
      <c r="GJ522">
        <v>0</v>
      </c>
      <c r="GK522">
        <f>ROUND(R522*(R12)/100,2)</f>
        <v>0</v>
      </c>
      <c r="GL522">
        <f t="shared" si="395"/>
        <v>0</v>
      </c>
      <c r="GM522">
        <f t="shared" si="396"/>
        <v>26917.8</v>
      </c>
      <c r="GN522">
        <f t="shared" si="397"/>
        <v>0</v>
      </c>
      <c r="GO522">
        <f t="shared" si="398"/>
        <v>0</v>
      </c>
      <c r="GP522">
        <f t="shared" si="399"/>
        <v>26917.8</v>
      </c>
      <c r="GR522">
        <v>0</v>
      </c>
      <c r="GS522">
        <v>3</v>
      </c>
      <c r="GT522">
        <v>0</v>
      </c>
      <c r="GU522" t="s">
        <v>3</v>
      </c>
      <c r="GV522">
        <f t="shared" si="400"/>
        <v>0</v>
      </c>
      <c r="GW522">
        <v>1</v>
      </c>
      <c r="GX522">
        <f t="shared" si="401"/>
        <v>0</v>
      </c>
      <c r="HA522">
        <v>0</v>
      </c>
      <c r="HB522">
        <v>0</v>
      </c>
      <c r="HC522">
        <f t="shared" si="402"/>
        <v>0</v>
      </c>
      <c r="IK522">
        <v>0</v>
      </c>
    </row>
    <row r="523" spans="1:245" x14ac:dyDescent="0.2">
      <c r="A523">
        <v>17</v>
      </c>
      <c r="B523">
        <v>1</v>
      </c>
      <c r="E523" t="s">
        <v>3</v>
      </c>
      <c r="F523" t="s">
        <v>404</v>
      </c>
      <c r="G523" t="s">
        <v>436</v>
      </c>
      <c r="H523" t="s">
        <v>232</v>
      </c>
      <c r="I523">
        <v>1</v>
      </c>
      <c r="J523">
        <v>0</v>
      </c>
      <c r="O523">
        <f t="shared" si="363"/>
        <v>27978.6</v>
      </c>
      <c r="P523">
        <f t="shared" si="364"/>
        <v>27978.6</v>
      </c>
      <c r="Q523">
        <f t="shared" si="365"/>
        <v>0</v>
      </c>
      <c r="R523">
        <f t="shared" si="366"/>
        <v>0</v>
      </c>
      <c r="S523">
        <f t="shared" si="367"/>
        <v>0</v>
      </c>
      <c r="T523">
        <f t="shared" si="368"/>
        <v>0</v>
      </c>
      <c r="U523">
        <f t="shared" si="369"/>
        <v>0</v>
      </c>
      <c r="V523">
        <f t="shared" si="370"/>
        <v>0</v>
      </c>
      <c r="W523">
        <f t="shared" si="371"/>
        <v>0</v>
      </c>
      <c r="X523">
        <f t="shared" si="372"/>
        <v>0</v>
      </c>
      <c r="Y523">
        <f t="shared" si="373"/>
        <v>0</v>
      </c>
      <c r="AA523">
        <v>-1</v>
      </c>
      <c r="AB523">
        <f t="shared" si="374"/>
        <v>27978.6</v>
      </c>
      <c r="AC523">
        <f t="shared" si="375"/>
        <v>27978.6</v>
      </c>
      <c r="AD523">
        <f t="shared" si="376"/>
        <v>0</v>
      </c>
      <c r="AE523">
        <f t="shared" si="377"/>
        <v>0</v>
      </c>
      <c r="AF523">
        <f t="shared" si="378"/>
        <v>0</v>
      </c>
      <c r="AG523">
        <f t="shared" si="379"/>
        <v>0</v>
      </c>
      <c r="AH523">
        <f t="shared" si="380"/>
        <v>0</v>
      </c>
      <c r="AI523">
        <f t="shared" si="381"/>
        <v>0</v>
      </c>
      <c r="AJ523">
        <f t="shared" si="382"/>
        <v>0</v>
      </c>
      <c r="AK523">
        <v>27978.6</v>
      </c>
      <c r="AL523">
        <v>27978.6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70</v>
      </c>
      <c r="AU523">
        <v>10</v>
      </c>
      <c r="AV523">
        <v>1</v>
      </c>
      <c r="AW523">
        <v>1</v>
      </c>
      <c r="AZ523">
        <v>1</v>
      </c>
      <c r="BA523">
        <v>1</v>
      </c>
      <c r="BB523">
        <v>1</v>
      </c>
      <c r="BC523">
        <v>1</v>
      </c>
      <c r="BD523" t="s">
        <v>3</v>
      </c>
      <c r="BE523" t="s">
        <v>3</v>
      </c>
      <c r="BF523" t="s">
        <v>3</v>
      </c>
      <c r="BG523" t="s">
        <v>3</v>
      </c>
      <c r="BH523">
        <v>3</v>
      </c>
      <c r="BI523">
        <v>4</v>
      </c>
      <c r="BJ523" t="s">
        <v>406</v>
      </c>
      <c r="BM523">
        <v>0</v>
      </c>
      <c r="BN523">
        <v>0</v>
      </c>
      <c r="BO523" t="s">
        <v>3</v>
      </c>
      <c r="BP523">
        <v>0</v>
      </c>
      <c r="BQ523">
        <v>1</v>
      </c>
      <c r="BR523">
        <v>0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 t="s">
        <v>3</v>
      </c>
      <c r="BZ523">
        <v>70</v>
      </c>
      <c r="CA523">
        <v>10</v>
      </c>
      <c r="CE523">
        <v>0</v>
      </c>
      <c r="CF523">
        <v>0</v>
      </c>
      <c r="CG523">
        <v>0</v>
      </c>
      <c r="CM523">
        <v>0</v>
      </c>
      <c r="CN523" t="s">
        <v>3</v>
      </c>
      <c r="CO523">
        <v>0</v>
      </c>
      <c r="CP523">
        <f t="shared" si="383"/>
        <v>27978.6</v>
      </c>
      <c r="CQ523">
        <f t="shared" si="384"/>
        <v>27978.6</v>
      </c>
      <c r="CR523">
        <f t="shared" si="385"/>
        <v>0</v>
      </c>
      <c r="CS523">
        <f t="shared" si="386"/>
        <v>0</v>
      </c>
      <c r="CT523">
        <f t="shared" si="387"/>
        <v>0</v>
      </c>
      <c r="CU523">
        <f t="shared" si="388"/>
        <v>0</v>
      </c>
      <c r="CV523">
        <f t="shared" si="389"/>
        <v>0</v>
      </c>
      <c r="CW523">
        <f t="shared" si="390"/>
        <v>0</v>
      </c>
      <c r="CX523">
        <f t="shared" si="391"/>
        <v>0</v>
      </c>
      <c r="CY523">
        <f t="shared" si="392"/>
        <v>0</v>
      </c>
      <c r="CZ523">
        <f t="shared" si="393"/>
        <v>0</v>
      </c>
      <c r="DC523" t="s">
        <v>3</v>
      </c>
      <c r="DD523" t="s">
        <v>3</v>
      </c>
      <c r="DE523" t="s">
        <v>3</v>
      </c>
      <c r="DF523" t="s">
        <v>3</v>
      </c>
      <c r="DG523" t="s">
        <v>3</v>
      </c>
      <c r="DH523" t="s">
        <v>3</v>
      </c>
      <c r="DI523" t="s">
        <v>3</v>
      </c>
      <c r="DJ523" t="s">
        <v>3</v>
      </c>
      <c r="DK523" t="s">
        <v>3</v>
      </c>
      <c r="DL523" t="s">
        <v>3</v>
      </c>
      <c r="DM523" t="s">
        <v>3</v>
      </c>
      <c r="DN523">
        <v>0</v>
      </c>
      <c r="DO523">
        <v>0</v>
      </c>
      <c r="DP523">
        <v>1</v>
      </c>
      <c r="DQ523">
        <v>1</v>
      </c>
      <c r="DU523">
        <v>1010</v>
      </c>
      <c r="DV523" t="s">
        <v>232</v>
      </c>
      <c r="DW523" t="s">
        <v>232</v>
      </c>
      <c r="DX523">
        <v>1</v>
      </c>
      <c r="EE523">
        <v>67874524</v>
      </c>
      <c r="EF523">
        <v>1</v>
      </c>
      <c r="EG523" t="s">
        <v>20</v>
      </c>
      <c r="EH523">
        <v>0</v>
      </c>
      <c r="EI523" t="s">
        <v>3</v>
      </c>
      <c r="EJ523">
        <v>4</v>
      </c>
      <c r="EK523">
        <v>0</v>
      </c>
      <c r="EL523" t="s">
        <v>21</v>
      </c>
      <c r="EM523" t="s">
        <v>22</v>
      </c>
      <c r="EO523" t="s">
        <v>3</v>
      </c>
      <c r="EQ523">
        <v>1024</v>
      </c>
      <c r="ER523">
        <v>27978.6</v>
      </c>
      <c r="ES523">
        <v>27978.6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FQ523">
        <v>0</v>
      </c>
      <c r="FR523">
        <f t="shared" si="394"/>
        <v>0</v>
      </c>
      <c r="FS523">
        <v>0</v>
      </c>
      <c r="FX523">
        <v>70</v>
      </c>
      <c r="FY523">
        <v>10</v>
      </c>
      <c r="GA523" t="s">
        <v>3</v>
      </c>
      <c r="GD523">
        <v>0</v>
      </c>
      <c r="GF523">
        <v>-2017227627</v>
      </c>
      <c r="GG523">
        <v>2</v>
      </c>
      <c r="GH523">
        <v>1</v>
      </c>
      <c r="GI523">
        <v>-2</v>
      </c>
      <c r="GJ523">
        <v>0</v>
      </c>
      <c r="GK523">
        <f>ROUND(R523*(R12)/100,2)</f>
        <v>0</v>
      </c>
      <c r="GL523">
        <f t="shared" si="395"/>
        <v>0</v>
      </c>
      <c r="GM523">
        <f t="shared" si="396"/>
        <v>27978.6</v>
      </c>
      <c r="GN523">
        <f t="shared" si="397"/>
        <v>0</v>
      </c>
      <c r="GO523">
        <f t="shared" si="398"/>
        <v>0</v>
      </c>
      <c r="GP523">
        <f t="shared" si="399"/>
        <v>27978.6</v>
      </c>
      <c r="GR523">
        <v>0</v>
      </c>
      <c r="GS523">
        <v>3</v>
      </c>
      <c r="GT523">
        <v>0</v>
      </c>
      <c r="GU523" t="s">
        <v>3</v>
      </c>
      <c r="GV523">
        <f t="shared" si="400"/>
        <v>0</v>
      </c>
      <c r="GW523">
        <v>1</v>
      </c>
      <c r="GX523">
        <f t="shared" si="401"/>
        <v>0</v>
      </c>
      <c r="HA523">
        <v>0</v>
      </c>
      <c r="HB523">
        <v>0</v>
      </c>
      <c r="HC523">
        <f t="shared" si="402"/>
        <v>0</v>
      </c>
      <c r="IK523">
        <v>0</v>
      </c>
    </row>
    <row r="524" spans="1:245" x14ac:dyDescent="0.2">
      <c r="A524">
        <v>17</v>
      </c>
      <c r="B524">
        <v>1</v>
      </c>
      <c r="E524" t="s">
        <v>3</v>
      </c>
      <c r="F524" t="s">
        <v>437</v>
      </c>
      <c r="G524" t="s">
        <v>957</v>
      </c>
      <c r="H524" t="s">
        <v>367</v>
      </c>
      <c r="I524">
        <v>1</v>
      </c>
      <c r="J524">
        <v>0</v>
      </c>
      <c r="O524">
        <f t="shared" si="363"/>
        <v>113765</v>
      </c>
      <c r="P524">
        <f t="shared" si="364"/>
        <v>113765</v>
      </c>
      <c r="Q524">
        <f t="shared" si="365"/>
        <v>0</v>
      </c>
      <c r="R524">
        <f t="shared" si="366"/>
        <v>0</v>
      </c>
      <c r="S524">
        <f t="shared" si="367"/>
        <v>0</v>
      </c>
      <c r="T524">
        <f t="shared" si="368"/>
        <v>0</v>
      </c>
      <c r="U524">
        <f t="shared" si="369"/>
        <v>0</v>
      </c>
      <c r="V524">
        <f t="shared" si="370"/>
        <v>0</v>
      </c>
      <c r="W524">
        <f t="shared" si="371"/>
        <v>0</v>
      </c>
      <c r="X524">
        <f t="shared" si="372"/>
        <v>0</v>
      </c>
      <c r="Y524">
        <f t="shared" si="373"/>
        <v>0</v>
      </c>
      <c r="AA524">
        <v>-1</v>
      </c>
      <c r="AB524">
        <f t="shared" si="374"/>
        <v>113765</v>
      </c>
      <c r="AC524">
        <f t="shared" si="375"/>
        <v>113765</v>
      </c>
      <c r="AD524">
        <f t="shared" si="376"/>
        <v>0</v>
      </c>
      <c r="AE524">
        <f t="shared" si="377"/>
        <v>0</v>
      </c>
      <c r="AF524">
        <f t="shared" si="378"/>
        <v>0</v>
      </c>
      <c r="AG524">
        <f t="shared" si="379"/>
        <v>0</v>
      </c>
      <c r="AH524">
        <f t="shared" si="380"/>
        <v>0</v>
      </c>
      <c r="AI524">
        <f t="shared" si="381"/>
        <v>0</v>
      </c>
      <c r="AJ524">
        <f t="shared" si="382"/>
        <v>0</v>
      </c>
      <c r="AK524">
        <v>113765</v>
      </c>
      <c r="AL524">
        <v>113765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70</v>
      </c>
      <c r="AU524">
        <v>10</v>
      </c>
      <c r="AV524">
        <v>1</v>
      </c>
      <c r="AW524">
        <v>1</v>
      </c>
      <c r="AZ524">
        <v>1</v>
      </c>
      <c r="BA524">
        <v>1</v>
      </c>
      <c r="BB524">
        <v>1</v>
      </c>
      <c r="BC524">
        <v>1</v>
      </c>
      <c r="BD524" t="s">
        <v>3</v>
      </c>
      <c r="BE524" t="s">
        <v>3</v>
      </c>
      <c r="BF524" t="s">
        <v>3</v>
      </c>
      <c r="BG524" t="s">
        <v>3</v>
      </c>
      <c r="BH524">
        <v>3</v>
      </c>
      <c r="BI524">
        <v>4</v>
      </c>
      <c r="BJ524" t="s">
        <v>438</v>
      </c>
      <c r="BM524">
        <v>0</v>
      </c>
      <c r="BN524">
        <v>0</v>
      </c>
      <c r="BO524" t="s">
        <v>3</v>
      </c>
      <c r="BP524">
        <v>0</v>
      </c>
      <c r="BQ524">
        <v>1</v>
      </c>
      <c r="BR524">
        <v>0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 t="s">
        <v>3</v>
      </c>
      <c r="BZ524">
        <v>70</v>
      </c>
      <c r="CA524">
        <v>10</v>
      </c>
      <c r="CE524">
        <v>0</v>
      </c>
      <c r="CF524">
        <v>0</v>
      </c>
      <c r="CG524">
        <v>0</v>
      </c>
      <c r="CM524">
        <v>0</v>
      </c>
      <c r="CN524" t="s">
        <v>3</v>
      </c>
      <c r="CO524">
        <v>0</v>
      </c>
      <c r="CP524">
        <f t="shared" si="383"/>
        <v>113765</v>
      </c>
      <c r="CQ524">
        <f t="shared" si="384"/>
        <v>113765</v>
      </c>
      <c r="CR524">
        <f t="shared" si="385"/>
        <v>0</v>
      </c>
      <c r="CS524">
        <f t="shared" si="386"/>
        <v>0</v>
      </c>
      <c r="CT524">
        <f t="shared" si="387"/>
        <v>0</v>
      </c>
      <c r="CU524">
        <f t="shared" si="388"/>
        <v>0</v>
      </c>
      <c r="CV524">
        <f t="shared" si="389"/>
        <v>0</v>
      </c>
      <c r="CW524">
        <f t="shared" si="390"/>
        <v>0</v>
      </c>
      <c r="CX524">
        <f t="shared" si="391"/>
        <v>0</v>
      </c>
      <c r="CY524">
        <f t="shared" si="392"/>
        <v>0</v>
      </c>
      <c r="CZ524">
        <f t="shared" si="393"/>
        <v>0</v>
      </c>
      <c r="DC524" t="s">
        <v>3</v>
      </c>
      <c r="DD524" t="s">
        <v>3</v>
      </c>
      <c r="DE524" t="s">
        <v>3</v>
      </c>
      <c r="DF524" t="s">
        <v>3</v>
      </c>
      <c r="DG524" t="s">
        <v>3</v>
      </c>
      <c r="DH524" t="s">
        <v>3</v>
      </c>
      <c r="DI524" t="s">
        <v>3</v>
      </c>
      <c r="DJ524" t="s">
        <v>3</v>
      </c>
      <c r="DK524" t="s">
        <v>3</v>
      </c>
      <c r="DL524" t="s">
        <v>3</v>
      </c>
      <c r="DM524" t="s">
        <v>3</v>
      </c>
      <c r="DN524">
        <v>0</v>
      </c>
      <c r="DO524">
        <v>0</v>
      </c>
      <c r="DP524">
        <v>1</v>
      </c>
      <c r="DQ524">
        <v>1</v>
      </c>
      <c r="DU524">
        <v>1013</v>
      </c>
      <c r="DV524" t="s">
        <v>367</v>
      </c>
      <c r="DW524" t="s">
        <v>367</v>
      </c>
      <c r="DX524">
        <v>1</v>
      </c>
      <c r="EE524">
        <v>67874524</v>
      </c>
      <c r="EF524">
        <v>1</v>
      </c>
      <c r="EG524" t="s">
        <v>20</v>
      </c>
      <c r="EH524">
        <v>0</v>
      </c>
      <c r="EI524" t="s">
        <v>3</v>
      </c>
      <c r="EJ524">
        <v>4</v>
      </c>
      <c r="EK524">
        <v>0</v>
      </c>
      <c r="EL524" t="s">
        <v>21</v>
      </c>
      <c r="EM524" t="s">
        <v>22</v>
      </c>
      <c r="EO524" t="s">
        <v>3</v>
      </c>
      <c r="EQ524">
        <v>1024</v>
      </c>
      <c r="ER524">
        <v>113765</v>
      </c>
      <c r="ES524">
        <v>113765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FQ524">
        <v>0</v>
      </c>
      <c r="FR524">
        <f t="shared" si="394"/>
        <v>0</v>
      </c>
      <c r="FS524">
        <v>0</v>
      </c>
      <c r="FX524">
        <v>70</v>
      </c>
      <c r="FY524">
        <v>10</v>
      </c>
      <c r="GA524" t="s">
        <v>3</v>
      </c>
      <c r="GD524">
        <v>0</v>
      </c>
      <c r="GF524">
        <v>-1028077476</v>
      </c>
      <c r="GG524">
        <v>2</v>
      </c>
      <c r="GH524">
        <v>1</v>
      </c>
      <c r="GI524">
        <v>-2</v>
      </c>
      <c r="GJ524">
        <v>0</v>
      </c>
      <c r="GK524">
        <f>ROUND(R524*(R12)/100,2)</f>
        <v>0</v>
      </c>
      <c r="GL524">
        <f t="shared" si="395"/>
        <v>0</v>
      </c>
      <c r="GM524">
        <f t="shared" si="396"/>
        <v>113765</v>
      </c>
      <c r="GN524">
        <f t="shared" si="397"/>
        <v>0</v>
      </c>
      <c r="GO524">
        <f t="shared" si="398"/>
        <v>0</v>
      </c>
      <c r="GP524">
        <f t="shared" si="399"/>
        <v>113765</v>
      </c>
      <c r="GR524">
        <v>0</v>
      </c>
      <c r="GS524">
        <v>3</v>
      </c>
      <c r="GT524">
        <v>0</v>
      </c>
      <c r="GU524" t="s">
        <v>3</v>
      </c>
      <c r="GV524">
        <f t="shared" si="400"/>
        <v>0</v>
      </c>
      <c r="GW524">
        <v>1</v>
      </c>
      <c r="GX524">
        <f t="shared" si="401"/>
        <v>0</v>
      </c>
      <c r="HA524">
        <v>0</v>
      </c>
      <c r="HB524">
        <v>0</v>
      </c>
      <c r="HC524">
        <f t="shared" si="402"/>
        <v>0</v>
      </c>
      <c r="IK524">
        <v>0</v>
      </c>
    </row>
    <row r="525" spans="1:245" x14ac:dyDescent="0.2">
      <c r="A525">
        <v>17</v>
      </c>
      <c r="B525">
        <v>1</v>
      </c>
      <c r="E525" t="s">
        <v>3</v>
      </c>
      <c r="F525" t="s">
        <v>439</v>
      </c>
      <c r="G525" t="s">
        <v>958</v>
      </c>
      <c r="H525" t="s">
        <v>367</v>
      </c>
      <c r="I525">
        <v>1</v>
      </c>
      <c r="J525">
        <v>0</v>
      </c>
      <c r="O525">
        <f t="shared" si="363"/>
        <v>511877.91</v>
      </c>
      <c r="P525">
        <f t="shared" si="364"/>
        <v>511877.91</v>
      </c>
      <c r="Q525">
        <f t="shared" si="365"/>
        <v>0</v>
      </c>
      <c r="R525">
        <f t="shared" si="366"/>
        <v>0</v>
      </c>
      <c r="S525">
        <f t="shared" si="367"/>
        <v>0</v>
      </c>
      <c r="T525">
        <f t="shared" si="368"/>
        <v>0</v>
      </c>
      <c r="U525">
        <f t="shared" si="369"/>
        <v>0</v>
      </c>
      <c r="V525">
        <f t="shared" si="370"/>
        <v>0</v>
      </c>
      <c r="W525">
        <f t="shared" si="371"/>
        <v>0</v>
      </c>
      <c r="X525">
        <f t="shared" si="372"/>
        <v>0</v>
      </c>
      <c r="Y525">
        <f t="shared" si="373"/>
        <v>0</v>
      </c>
      <c r="AA525">
        <v>-1</v>
      </c>
      <c r="AB525">
        <f t="shared" si="374"/>
        <v>511877.91</v>
      </c>
      <c r="AC525">
        <f t="shared" si="375"/>
        <v>511877.91</v>
      </c>
      <c r="AD525">
        <f t="shared" si="376"/>
        <v>0</v>
      </c>
      <c r="AE525">
        <f t="shared" si="377"/>
        <v>0</v>
      </c>
      <c r="AF525">
        <f t="shared" si="378"/>
        <v>0</v>
      </c>
      <c r="AG525">
        <f t="shared" si="379"/>
        <v>0</v>
      </c>
      <c r="AH525">
        <f t="shared" si="380"/>
        <v>0</v>
      </c>
      <c r="AI525">
        <f t="shared" si="381"/>
        <v>0</v>
      </c>
      <c r="AJ525">
        <f t="shared" si="382"/>
        <v>0</v>
      </c>
      <c r="AK525">
        <v>511877.91</v>
      </c>
      <c r="AL525">
        <v>511877.91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70</v>
      </c>
      <c r="AU525">
        <v>10</v>
      </c>
      <c r="AV525">
        <v>1</v>
      </c>
      <c r="AW525">
        <v>1</v>
      </c>
      <c r="AZ525">
        <v>1</v>
      </c>
      <c r="BA525">
        <v>1</v>
      </c>
      <c r="BB525">
        <v>1</v>
      </c>
      <c r="BC525">
        <v>1</v>
      </c>
      <c r="BD525" t="s">
        <v>3</v>
      </c>
      <c r="BE525" t="s">
        <v>3</v>
      </c>
      <c r="BF525" t="s">
        <v>3</v>
      </c>
      <c r="BG525" t="s">
        <v>3</v>
      </c>
      <c r="BH525">
        <v>3</v>
      </c>
      <c r="BI525">
        <v>4</v>
      </c>
      <c r="BJ525" t="s">
        <v>440</v>
      </c>
      <c r="BM525">
        <v>0</v>
      </c>
      <c r="BN525">
        <v>0</v>
      </c>
      <c r="BO525" t="s">
        <v>3</v>
      </c>
      <c r="BP525">
        <v>0</v>
      </c>
      <c r="BQ525">
        <v>1</v>
      </c>
      <c r="BR525">
        <v>0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 t="s">
        <v>3</v>
      </c>
      <c r="BZ525">
        <v>70</v>
      </c>
      <c r="CA525">
        <v>10</v>
      </c>
      <c r="CE525">
        <v>0</v>
      </c>
      <c r="CF525">
        <v>0</v>
      </c>
      <c r="CG525">
        <v>0</v>
      </c>
      <c r="CM525">
        <v>0</v>
      </c>
      <c r="CN525" t="s">
        <v>3</v>
      </c>
      <c r="CO525">
        <v>0</v>
      </c>
      <c r="CP525">
        <f t="shared" si="383"/>
        <v>511877.91</v>
      </c>
      <c r="CQ525">
        <f t="shared" si="384"/>
        <v>511877.91</v>
      </c>
      <c r="CR525">
        <f t="shared" si="385"/>
        <v>0</v>
      </c>
      <c r="CS525">
        <f t="shared" si="386"/>
        <v>0</v>
      </c>
      <c r="CT525">
        <f t="shared" si="387"/>
        <v>0</v>
      </c>
      <c r="CU525">
        <f t="shared" si="388"/>
        <v>0</v>
      </c>
      <c r="CV525">
        <f t="shared" si="389"/>
        <v>0</v>
      </c>
      <c r="CW525">
        <f t="shared" si="390"/>
        <v>0</v>
      </c>
      <c r="CX525">
        <f t="shared" si="391"/>
        <v>0</v>
      </c>
      <c r="CY525">
        <f t="shared" si="392"/>
        <v>0</v>
      </c>
      <c r="CZ525">
        <f t="shared" si="393"/>
        <v>0</v>
      </c>
      <c r="DC525" t="s">
        <v>3</v>
      </c>
      <c r="DD525" t="s">
        <v>3</v>
      </c>
      <c r="DE525" t="s">
        <v>3</v>
      </c>
      <c r="DF525" t="s">
        <v>3</v>
      </c>
      <c r="DG525" t="s">
        <v>3</v>
      </c>
      <c r="DH525" t="s">
        <v>3</v>
      </c>
      <c r="DI525" t="s">
        <v>3</v>
      </c>
      <c r="DJ525" t="s">
        <v>3</v>
      </c>
      <c r="DK525" t="s">
        <v>3</v>
      </c>
      <c r="DL525" t="s">
        <v>3</v>
      </c>
      <c r="DM525" t="s">
        <v>3</v>
      </c>
      <c r="DN525">
        <v>0</v>
      </c>
      <c r="DO525">
        <v>0</v>
      </c>
      <c r="DP525">
        <v>1</v>
      </c>
      <c r="DQ525">
        <v>1</v>
      </c>
      <c r="DU525">
        <v>1013</v>
      </c>
      <c r="DV525" t="s">
        <v>367</v>
      </c>
      <c r="DW525" t="s">
        <v>367</v>
      </c>
      <c r="DX525">
        <v>1</v>
      </c>
      <c r="EE525">
        <v>67874524</v>
      </c>
      <c r="EF525">
        <v>1</v>
      </c>
      <c r="EG525" t="s">
        <v>20</v>
      </c>
      <c r="EH525">
        <v>0</v>
      </c>
      <c r="EI525" t="s">
        <v>3</v>
      </c>
      <c r="EJ525">
        <v>4</v>
      </c>
      <c r="EK525">
        <v>0</v>
      </c>
      <c r="EL525" t="s">
        <v>21</v>
      </c>
      <c r="EM525" t="s">
        <v>22</v>
      </c>
      <c r="EO525" t="s">
        <v>3</v>
      </c>
      <c r="EQ525">
        <v>132096</v>
      </c>
      <c r="ER525">
        <v>511877.91</v>
      </c>
      <c r="ES525">
        <v>511877.91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FQ525">
        <v>0</v>
      </c>
      <c r="FR525">
        <f t="shared" si="394"/>
        <v>0</v>
      </c>
      <c r="FS525">
        <v>0</v>
      </c>
      <c r="FX525">
        <v>70</v>
      </c>
      <c r="FY525">
        <v>10</v>
      </c>
      <c r="GA525" t="s">
        <v>3</v>
      </c>
      <c r="GD525">
        <v>0</v>
      </c>
      <c r="GF525">
        <v>-1585928590</v>
      </c>
      <c r="GG525">
        <v>2</v>
      </c>
      <c r="GH525">
        <v>1</v>
      </c>
      <c r="GI525">
        <v>-2</v>
      </c>
      <c r="GJ525">
        <v>0</v>
      </c>
      <c r="GK525">
        <f>ROUND(R525*(R12)/100,2)</f>
        <v>0</v>
      </c>
      <c r="GL525">
        <f t="shared" si="395"/>
        <v>0</v>
      </c>
      <c r="GM525">
        <f t="shared" si="396"/>
        <v>511877.91</v>
      </c>
      <c r="GN525">
        <f t="shared" si="397"/>
        <v>0</v>
      </c>
      <c r="GO525">
        <f t="shared" si="398"/>
        <v>0</v>
      </c>
      <c r="GP525">
        <f t="shared" si="399"/>
        <v>511877.91</v>
      </c>
      <c r="GR525">
        <v>0</v>
      </c>
      <c r="GS525">
        <v>3</v>
      </c>
      <c r="GT525">
        <v>0</v>
      </c>
      <c r="GU525" t="s">
        <v>3</v>
      </c>
      <c r="GV525">
        <f t="shared" si="400"/>
        <v>0</v>
      </c>
      <c r="GW525">
        <v>1</v>
      </c>
      <c r="GX525">
        <f t="shared" si="401"/>
        <v>0</v>
      </c>
      <c r="HA525">
        <v>0</v>
      </c>
      <c r="HB525">
        <v>0</v>
      </c>
      <c r="HC525">
        <f t="shared" si="402"/>
        <v>0</v>
      </c>
      <c r="IK525">
        <v>0</v>
      </c>
    </row>
    <row r="526" spans="1:245" x14ac:dyDescent="0.2">
      <c r="A526">
        <v>17</v>
      </c>
      <c r="B526">
        <v>1</v>
      </c>
      <c r="E526" t="s">
        <v>3</v>
      </c>
      <c r="F526" t="s">
        <v>441</v>
      </c>
      <c r="G526" t="s">
        <v>959</v>
      </c>
      <c r="H526" t="s">
        <v>232</v>
      </c>
      <c r="I526">
        <v>1</v>
      </c>
      <c r="J526">
        <v>0</v>
      </c>
      <c r="O526">
        <f t="shared" si="363"/>
        <v>55957.2</v>
      </c>
      <c r="P526">
        <f t="shared" si="364"/>
        <v>55957.2</v>
      </c>
      <c r="Q526">
        <f t="shared" si="365"/>
        <v>0</v>
      </c>
      <c r="R526">
        <f t="shared" si="366"/>
        <v>0</v>
      </c>
      <c r="S526">
        <f t="shared" si="367"/>
        <v>0</v>
      </c>
      <c r="T526">
        <f t="shared" si="368"/>
        <v>0</v>
      </c>
      <c r="U526">
        <f t="shared" si="369"/>
        <v>0</v>
      </c>
      <c r="V526">
        <f t="shared" si="370"/>
        <v>0</v>
      </c>
      <c r="W526">
        <f t="shared" si="371"/>
        <v>0</v>
      </c>
      <c r="X526">
        <f t="shared" si="372"/>
        <v>0</v>
      </c>
      <c r="Y526">
        <f t="shared" si="373"/>
        <v>0</v>
      </c>
      <c r="AA526">
        <v>-1</v>
      </c>
      <c r="AB526">
        <f t="shared" si="374"/>
        <v>55957.2</v>
      </c>
      <c r="AC526">
        <f t="shared" si="375"/>
        <v>55957.2</v>
      </c>
      <c r="AD526">
        <f t="shared" si="376"/>
        <v>0</v>
      </c>
      <c r="AE526">
        <f t="shared" si="377"/>
        <v>0</v>
      </c>
      <c r="AF526">
        <f t="shared" si="378"/>
        <v>0</v>
      </c>
      <c r="AG526">
        <f t="shared" si="379"/>
        <v>0</v>
      </c>
      <c r="AH526">
        <f t="shared" si="380"/>
        <v>0</v>
      </c>
      <c r="AI526">
        <f t="shared" si="381"/>
        <v>0</v>
      </c>
      <c r="AJ526">
        <f t="shared" si="382"/>
        <v>0</v>
      </c>
      <c r="AK526">
        <v>55957.2</v>
      </c>
      <c r="AL526">
        <v>55957.2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70</v>
      </c>
      <c r="AU526">
        <v>10</v>
      </c>
      <c r="AV526">
        <v>1</v>
      </c>
      <c r="AW526">
        <v>1</v>
      </c>
      <c r="AZ526">
        <v>1</v>
      </c>
      <c r="BA526">
        <v>1</v>
      </c>
      <c r="BB526">
        <v>1</v>
      </c>
      <c r="BC526">
        <v>1</v>
      </c>
      <c r="BD526" t="s">
        <v>3</v>
      </c>
      <c r="BE526" t="s">
        <v>3</v>
      </c>
      <c r="BF526" t="s">
        <v>3</v>
      </c>
      <c r="BG526" t="s">
        <v>3</v>
      </c>
      <c r="BH526">
        <v>3</v>
      </c>
      <c r="BI526">
        <v>4</v>
      </c>
      <c r="BJ526" t="s">
        <v>442</v>
      </c>
      <c r="BM526">
        <v>0</v>
      </c>
      <c r="BN526">
        <v>0</v>
      </c>
      <c r="BO526" t="s">
        <v>3</v>
      </c>
      <c r="BP526">
        <v>0</v>
      </c>
      <c r="BQ526">
        <v>1</v>
      </c>
      <c r="BR526">
        <v>0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 t="s">
        <v>3</v>
      </c>
      <c r="BZ526">
        <v>70</v>
      </c>
      <c r="CA526">
        <v>10</v>
      </c>
      <c r="CE526">
        <v>0</v>
      </c>
      <c r="CF526">
        <v>0</v>
      </c>
      <c r="CG526">
        <v>0</v>
      </c>
      <c r="CM526">
        <v>0</v>
      </c>
      <c r="CN526" t="s">
        <v>3</v>
      </c>
      <c r="CO526">
        <v>0</v>
      </c>
      <c r="CP526">
        <f t="shared" si="383"/>
        <v>55957.2</v>
      </c>
      <c r="CQ526">
        <f t="shared" si="384"/>
        <v>55957.2</v>
      </c>
      <c r="CR526">
        <f t="shared" si="385"/>
        <v>0</v>
      </c>
      <c r="CS526">
        <f t="shared" si="386"/>
        <v>0</v>
      </c>
      <c r="CT526">
        <f t="shared" si="387"/>
        <v>0</v>
      </c>
      <c r="CU526">
        <f t="shared" si="388"/>
        <v>0</v>
      </c>
      <c r="CV526">
        <f t="shared" si="389"/>
        <v>0</v>
      </c>
      <c r="CW526">
        <f t="shared" si="390"/>
        <v>0</v>
      </c>
      <c r="CX526">
        <f t="shared" si="391"/>
        <v>0</v>
      </c>
      <c r="CY526">
        <f t="shared" si="392"/>
        <v>0</v>
      </c>
      <c r="CZ526">
        <f t="shared" si="393"/>
        <v>0</v>
      </c>
      <c r="DC526" t="s">
        <v>3</v>
      </c>
      <c r="DD526" t="s">
        <v>3</v>
      </c>
      <c r="DE526" t="s">
        <v>3</v>
      </c>
      <c r="DF526" t="s">
        <v>3</v>
      </c>
      <c r="DG526" t="s">
        <v>3</v>
      </c>
      <c r="DH526" t="s">
        <v>3</v>
      </c>
      <c r="DI526" t="s">
        <v>3</v>
      </c>
      <c r="DJ526" t="s">
        <v>3</v>
      </c>
      <c r="DK526" t="s">
        <v>3</v>
      </c>
      <c r="DL526" t="s">
        <v>3</v>
      </c>
      <c r="DM526" t="s">
        <v>3</v>
      </c>
      <c r="DN526">
        <v>0</v>
      </c>
      <c r="DO526">
        <v>0</v>
      </c>
      <c r="DP526">
        <v>1</v>
      </c>
      <c r="DQ526">
        <v>1</v>
      </c>
      <c r="DU526">
        <v>1010</v>
      </c>
      <c r="DV526" t="s">
        <v>232</v>
      </c>
      <c r="DW526" t="s">
        <v>232</v>
      </c>
      <c r="DX526">
        <v>1</v>
      </c>
      <c r="EE526">
        <v>67874524</v>
      </c>
      <c r="EF526">
        <v>1</v>
      </c>
      <c r="EG526" t="s">
        <v>20</v>
      </c>
      <c r="EH526">
        <v>0</v>
      </c>
      <c r="EI526" t="s">
        <v>3</v>
      </c>
      <c r="EJ526">
        <v>4</v>
      </c>
      <c r="EK526">
        <v>0</v>
      </c>
      <c r="EL526" t="s">
        <v>21</v>
      </c>
      <c r="EM526" t="s">
        <v>22</v>
      </c>
      <c r="EO526" t="s">
        <v>3</v>
      </c>
      <c r="EQ526">
        <v>132096</v>
      </c>
      <c r="ER526">
        <v>55957.2</v>
      </c>
      <c r="ES526">
        <v>55957.2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FQ526">
        <v>0</v>
      </c>
      <c r="FR526">
        <f t="shared" si="394"/>
        <v>0</v>
      </c>
      <c r="FS526">
        <v>0</v>
      </c>
      <c r="FX526">
        <v>70</v>
      </c>
      <c r="FY526">
        <v>10</v>
      </c>
      <c r="GA526" t="s">
        <v>3</v>
      </c>
      <c r="GD526">
        <v>0</v>
      </c>
      <c r="GF526">
        <v>-495004357</v>
      </c>
      <c r="GG526">
        <v>2</v>
      </c>
      <c r="GH526">
        <v>1</v>
      </c>
      <c r="GI526">
        <v>-2</v>
      </c>
      <c r="GJ526">
        <v>0</v>
      </c>
      <c r="GK526">
        <f>ROUND(R526*(R12)/100,2)</f>
        <v>0</v>
      </c>
      <c r="GL526">
        <f t="shared" si="395"/>
        <v>0</v>
      </c>
      <c r="GM526">
        <f t="shared" si="396"/>
        <v>55957.2</v>
      </c>
      <c r="GN526">
        <f t="shared" si="397"/>
        <v>0</v>
      </c>
      <c r="GO526">
        <f t="shared" si="398"/>
        <v>0</v>
      </c>
      <c r="GP526">
        <f t="shared" si="399"/>
        <v>55957.2</v>
      </c>
      <c r="GR526">
        <v>0</v>
      </c>
      <c r="GS526">
        <v>3</v>
      </c>
      <c r="GT526">
        <v>0</v>
      </c>
      <c r="GU526" t="s">
        <v>3</v>
      </c>
      <c r="GV526">
        <f t="shared" si="400"/>
        <v>0</v>
      </c>
      <c r="GW526">
        <v>1</v>
      </c>
      <c r="GX526">
        <f t="shared" si="401"/>
        <v>0</v>
      </c>
      <c r="HA526">
        <v>0</v>
      </c>
      <c r="HB526">
        <v>0</v>
      </c>
      <c r="HC526">
        <f t="shared" si="402"/>
        <v>0</v>
      </c>
      <c r="IK526">
        <v>0</v>
      </c>
    </row>
    <row r="527" spans="1:245" x14ac:dyDescent="0.2">
      <c r="A527">
        <v>17</v>
      </c>
      <c r="B527">
        <v>1</v>
      </c>
      <c r="E527" t="s">
        <v>3</v>
      </c>
      <c r="F527" t="s">
        <v>443</v>
      </c>
      <c r="G527" t="s">
        <v>960</v>
      </c>
      <c r="H527" t="s">
        <v>367</v>
      </c>
      <c r="I527">
        <v>1</v>
      </c>
      <c r="J527">
        <v>0</v>
      </c>
      <c r="O527">
        <f t="shared" si="363"/>
        <v>133040.16</v>
      </c>
      <c r="P527">
        <f t="shared" si="364"/>
        <v>133040.16</v>
      </c>
      <c r="Q527">
        <f t="shared" si="365"/>
        <v>0</v>
      </c>
      <c r="R527">
        <f t="shared" si="366"/>
        <v>0</v>
      </c>
      <c r="S527">
        <f t="shared" si="367"/>
        <v>0</v>
      </c>
      <c r="T527">
        <f t="shared" si="368"/>
        <v>0</v>
      </c>
      <c r="U527">
        <f t="shared" si="369"/>
        <v>0</v>
      </c>
      <c r="V527">
        <f t="shared" si="370"/>
        <v>0</v>
      </c>
      <c r="W527">
        <f t="shared" si="371"/>
        <v>0</v>
      </c>
      <c r="X527">
        <f t="shared" si="372"/>
        <v>0</v>
      </c>
      <c r="Y527">
        <f t="shared" si="373"/>
        <v>0</v>
      </c>
      <c r="AA527">
        <v>-1</v>
      </c>
      <c r="AB527">
        <f t="shared" si="374"/>
        <v>133040.16</v>
      </c>
      <c r="AC527">
        <f t="shared" si="375"/>
        <v>133040.16</v>
      </c>
      <c r="AD527">
        <f t="shared" si="376"/>
        <v>0</v>
      </c>
      <c r="AE527">
        <f t="shared" si="377"/>
        <v>0</v>
      </c>
      <c r="AF527">
        <f t="shared" si="378"/>
        <v>0</v>
      </c>
      <c r="AG527">
        <f t="shared" si="379"/>
        <v>0</v>
      </c>
      <c r="AH527">
        <f t="shared" si="380"/>
        <v>0</v>
      </c>
      <c r="AI527">
        <f t="shared" si="381"/>
        <v>0</v>
      </c>
      <c r="AJ527">
        <f t="shared" si="382"/>
        <v>0</v>
      </c>
      <c r="AK527">
        <v>133040.16</v>
      </c>
      <c r="AL527">
        <v>133040.16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70</v>
      </c>
      <c r="AU527">
        <v>10</v>
      </c>
      <c r="AV527">
        <v>1</v>
      </c>
      <c r="AW527">
        <v>1</v>
      </c>
      <c r="AZ527">
        <v>1</v>
      </c>
      <c r="BA527">
        <v>1</v>
      </c>
      <c r="BB527">
        <v>1</v>
      </c>
      <c r="BC527">
        <v>1</v>
      </c>
      <c r="BD527" t="s">
        <v>3</v>
      </c>
      <c r="BE527" t="s">
        <v>3</v>
      </c>
      <c r="BF527" t="s">
        <v>3</v>
      </c>
      <c r="BG527" t="s">
        <v>3</v>
      </c>
      <c r="BH527">
        <v>3</v>
      </c>
      <c r="BI527">
        <v>4</v>
      </c>
      <c r="BJ527" t="s">
        <v>444</v>
      </c>
      <c r="BM527">
        <v>0</v>
      </c>
      <c r="BN527">
        <v>0</v>
      </c>
      <c r="BO527" t="s">
        <v>3</v>
      </c>
      <c r="BP527">
        <v>0</v>
      </c>
      <c r="BQ527">
        <v>1</v>
      </c>
      <c r="BR527">
        <v>0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 t="s">
        <v>3</v>
      </c>
      <c r="BZ527">
        <v>70</v>
      </c>
      <c r="CA527">
        <v>10</v>
      </c>
      <c r="CE527">
        <v>0</v>
      </c>
      <c r="CF527">
        <v>0</v>
      </c>
      <c r="CG527">
        <v>0</v>
      </c>
      <c r="CM527">
        <v>0</v>
      </c>
      <c r="CN527" t="s">
        <v>3</v>
      </c>
      <c r="CO527">
        <v>0</v>
      </c>
      <c r="CP527">
        <f t="shared" si="383"/>
        <v>133040.16</v>
      </c>
      <c r="CQ527">
        <f t="shared" si="384"/>
        <v>133040.16</v>
      </c>
      <c r="CR527">
        <f t="shared" si="385"/>
        <v>0</v>
      </c>
      <c r="CS527">
        <f t="shared" si="386"/>
        <v>0</v>
      </c>
      <c r="CT527">
        <f t="shared" si="387"/>
        <v>0</v>
      </c>
      <c r="CU527">
        <f t="shared" si="388"/>
        <v>0</v>
      </c>
      <c r="CV527">
        <f t="shared" si="389"/>
        <v>0</v>
      </c>
      <c r="CW527">
        <f t="shared" si="390"/>
        <v>0</v>
      </c>
      <c r="CX527">
        <f t="shared" si="391"/>
        <v>0</v>
      </c>
      <c r="CY527">
        <f t="shared" si="392"/>
        <v>0</v>
      </c>
      <c r="CZ527">
        <f t="shared" si="393"/>
        <v>0</v>
      </c>
      <c r="DC527" t="s">
        <v>3</v>
      </c>
      <c r="DD527" t="s">
        <v>3</v>
      </c>
      <c r="DE527" t="s">
        <v>3</v>
      </c>
      <c r="DF527" t="s">
        <v>3</v>
      </c>
      <c r="DG527" t="s">
        <v>3</v>
      </c>
      <c r="DH527" t="s">
        <v>3</v>
      </c>
      <c r="DI527" t="s">
        <v>3</v>
      </c>
      <c r="DJ527" t="s">
        <v>3</v>
      </c>
      <c r="DK527" t="s">
        <v>3</v>
      </c>
      <c r="DL527" t="s">
        <v>3</v>
      </c>
      <c r="DM527" t="s">
        <v>3</v>
      </c>
      <c r="DN527">
        <v>0</v>
      </c>
      <c r="DO527">
        <v>0</v>
      </c>
      <c r="DP527">
        <v>1</v>
      </c>
      <c r="DQ527">
        <v>1</v>
      </c>
      <c r="DU527">
        <v>1013</v>
      </c>
      <c r="DV527" t="s">
        <v>367</v>
      </c>
      <c r="DW527" t="s">
        <v>367</v>
      </c>
      <c r="DX527">
        <v>1</v>
      </c>
      <c r="EE527">
        <v>67874524</v>
      </c>
      <c r="EF527">
        <v>1</v>
      </c>
      <c r="EG527" t="s">
        <v>20</v>
      </c>
      <c r="EH527">
        <v>0</v>
      </c>
      <c r="EI527" t="s">
        <v>3</v>
      </c>
      <c r="EJ527">
        <v>4</v>
      </c>
      <c r="EK527">
        <v>0</v>
      </c>
      <c r="EL527" t="s">
        <v>21</v>
      </c>
      <c r="EM527" t="s">
        <v>22</v>
      </c>
      <c r="EO527" t="s">
        <v>3</v>
      </c>
      <c r="EQ527">
        <v>132096</v>
      </c>
      <c r="ER527">
        <v>133040.16</v>
      </c>
      <c r="ES527">
        <v>133040.16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FQ527">
        <v>0</v>
      </c>
      <c r="FR527">
        <f t="shared" si="394"/>
        <v>0</v>
      </c>
      <c r="FS527">
        <v>0</v>
      </c>
      <c r="FX527">
        <v>70</v>
      </c>
      <c r="FY527">
        <v>10</v>
      </c>
      <c r="GA527" t="s">
        <v>3</v>
      </c>
      <c r="GD527">
        <v>0</v>
      </c>
      <c r="GF527">
        <v>347912362</v>
      </c>
      <c r="GG527">
        <v>2</v>
      </c>
      <c r="GH527">
        <v>1</v>
      </c>
      <c r="GI527">
        <v>-2</v>
      </c>
      <c r="GJ527">
        <v>0</v>
      </c>
      <c r="GK527">
        <f>ROUND(R527*(R12)/100,2)</f>
        <v>0</v>
      </c>
      <c r="GL527">
        <f t="shared" si="395"/>
        <v>0</v>
      </c>
      <c r="GM527">
        <f t="shared" si="396"/>
        <v>133040.16</v>
      </c>
      <c r="GN527">
        <f t="shared" si="397"/>
        <v>0</v>
      </c>
      <c r="GO527">
        <f t="shared" si="398"/>
        <v>0</v>
      </c>
      <c r="GP527">
        <f t="shared" si="399"/>
        <v>133040.16</v>
      </c>
      <c r="GR527">
        <v>0</v>
      </c>
      <c r="GS527">
        <v>3</v>
      </c>
      <c r="GT527">
        <v>0</v>
      </c>
      <c r="GU527" t="s">
        <v>3</v>
      </c>
      <c r="GV527">
        <f t="shared" si="400"/>
        <v>0</v>
      </c>
      <c r="GW527">
        <v>1</v>
      </c>
      <c r="GX527">
        <f t="shared" si="401"/>
        <v>0</v>
      </c>
      <c r="HA527">
        <v>0</v>
      </c>
      <c r="HB527">
        <v>0</v>
      </c>
      <c r="HC527">
        <f t="shared" si="402"/>
        <v>0</v>
      </c>
      <c r="IK527">
        <v>0</v>
      </c>
    </row>
    <row r="528" spans="1:245" x14ac:dyDescent="0.2">
      <c r="A528">
        <v>17</v>
      </c>
      <c r="B528">
        <v>1</v>
      </c>
      <c r="E528" t="s">
        <v>3</v>
      </c>
      <c r="F528" t="s">
        <v>445</v>
      </c>
      <c r="G528" t="s">
        <v>961</v>
      </c>
      <c r="H528" t="s">
        <v>367</v>
      </c>
      <c r="I528">
        <v>1</v>
      </c>
      <c r="J528">
        <v>0</v>
      </c>
      <c r="O528">
        <f t="shared" si="363"/>
        <v>48437.5</v>
      </c>
      <c r="P528">
        <f t="shared" si="364"/>
        <v>48437.5</v>
      </c>
      <c r="Q528">
        <f t="shared" si="365"/>
        <v>0</v>
      </c>
      <c r="R528">
        <f t="shared" si="366"/>
        <v>0</v>
      </c>
      <c r="S528">
        <f t="shared" si="367"/>
        <v>0</v>
      </c>
      <c r="T528">
        <f t="shared" si="368"/>
        <v>0</v>
      </c>
      <c r="U528">
        <f t="shared" si="369"/>
        <v>0</v>
      </c>
      <c r="V528">
        <f t="shared" si="370"/>
        <v>0</v>
      </c>
      <c r="W528">
        <f t="shared" si="371"/>
        <v>0</v>
      </c>
      <c r="X528">
        <f t="shared" si="372"/>
        <v>0</v>
      </c>
      <c r="Y528">
        <f t="shared" si="373"/>
        <v>0</v>
      </c>
      <c r="AA528">
        <v>-1</v>
      </c>
      <c r="AB528">
        <f t="shared" si="374"/>
        <v>48437.5</v>
      </c>
      <c r="AC528">
        <f t="shared" si="375"/>
        <v>48437.5</v>
      </c>
      <c r="AD528">
        <f t="shared" si="376"/>
        <v>0</v>
      </c>
      <c r="AE528">
        <f t="shared" si="377"/>
        <v>0</v>
      </c>
      <c r="AF528">
        <f t="shared" si="378"/>
        <v>0</v>
      </c>
      <c r="AG528">
        <f t="shared" si="379"/>
        <v>0</v>
      </c>
      <c r="AH528">
        <f t="shared" si="380"/>
        <v>0</v>
      </c>
      <c r="AI528">
        <f t="shared" si="381"/>
        <v>0</v>
      </c>
      <c r="AJ528">
        <f t="shared" si="382"/>
        <v>0</v>
      </c>
      <c r="AK528">
        <v>48437.5</v>
      </c>
      <c r="AL528">
        <v>48437.5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70</v>
      </c>
      <c r="AU528">
        <v>10</v>
      </c>
      <c r="AV528">
        <v>1</v>
      </c>
      <c r="AW528">
        <v>1</v>
      </c>
      <c r="AZ528">
        <v>1</v>
      </c>
      <c r="BA528">
        <v>1</v>
      </c>
      <c r="BB528">
        <v>1</v>
      </c>
      <c r="BC528">
        <v>1</v>
      </c>
      <c r="BD528" t="s">
        <v>3</v>
      </c>
      <c r="BE528" t="s">
        <v>3</v>
      </c>
      <c r="BF528" t="s">
        <v>3</v>
      </c>
      <c r="BG528" t="s">
        <v>3</v>
      </c>
      <c r="BH528">
        <v>3</v>
      </c>
      <c r="BI528">
        <v>4</v>
      </c>
      <c r="BJ528" t="s">
        <v>446</v>
      </c>
      <c r="BM528">
        <v>0</v>
      </c>
      <c r="BN528">
        <v>0</v>
      </c>
      <c r="BO528" t="s">
        <v>3</v>
      </c>
      <c r="BP528">
        <v>0</v>
      </c>
      <c r="BQ528">
        <v>1</v>
      </c>
      <c r="BR528">
        <v>0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 t="s">
        <v>3</v>
      </c>
      <c r="BZ528">
        <v>70</v>
      </c>
      <c r="CA528">
        <v>10</v>
      </c>
      <c r="CE528">
        <v>0</v>
      </c>
      <c r="CF528">
        <v>0</v>
      </c>
      <c r="CG528">
        <v>0</v>
      </c>
      <c r="CM528">
        <v>0</v>
      </c>
      <c r="CN528" t="s">
        <v>3</v>
      </c>
      <c r="CO528">
        <v>0</v>
      </c>
      <c r="CP528">
        <f t="shared" si="383"/>
        <v>48437.5</v>
      </c>
      <c r="CQ528">
        <f t="shared" si="384"/>
        <v>48437.5</v>
      </c>
      <c r="CR528">
        <f t="shared" si="385"/>
        <v>0</v>
      </c>
      <c r="CS528">
        <f t="shared" si="386"/>
        <v>0</v>
      </c>
      <c r="CT528">
        <f t="shared" si="387"/>
        <v>0</v>
      </c>
      <c r="CU528">
        <f t="shared" si="388"/>
        <v>0</v>
      </c>
      <c r="CV528">
        <f t="shared" si="389"/>
        <v>0</v>
      </c>
      <c r="CW528">
        <f t="shared" si="390"/>
        <v>0</v>
      </c>
      <c r="CX528">
        <f t="shared" si="391"/>
        <v>0</v>
      </c>
      <c r="CY528">
        <f t="shared" si="392"/>
        <v>0</v>
      </c>
      <c r="CZ528">
        <f t="shared" si="393"/>
        <v>0</v>
      </c>
      <c r="DC528" t="s">
        <v>3</v>
      </c>
      <c r="DD528" t="s">
        <v>3</v>
      </c>
      <c r="DE528" t="s">
        <v>3</v>
      </c>
      <c r="DF528" t="s">
        <v>3</v>
      </c>
      <c r="DG528" t="s">
        <v>3</v>
      </c>
      <c r="DH528" t="s">
        <v>3</v>
      </c>
      <c r="DI528" t="s">
        <v>3</v>
      </c>
      <c r="DJ528" t="s">
        <v>3</v>
      </c>
      <c r="DK528" t="s">
        <v>3</v>
      </c>
      <c r="DL528" t="s">
        <v>3</v>
      </c>
      <c r="DM528" t="s">
        <v>3</v>
      </c>
      <c r="DN528">
        <v>0</v>
      </c>
      <c r="DO528">
        <v>0</v>
      </c>
      <c r="DP528">
        <v>1</v>
      </c>
      <c r="DQ528">
        <v>1</v>
      </c>
      <c r="DU528">
        <v>1013</v>
      </c>
      <c r="DV528" t="s">
        <v>367</v>
      </c>
      <c r="DW528" t="s">
        <v>367</v>
      </c>
      <c r="DX528">
        <v>1</v>
      </c>
      <c r="EE528">
        <v>67874524</v>
      </c>
      <c r="EF528">
        <v>1</v>
      </c>
      <c r="EG528" t="s">
        <v>20</v>
      </c>
      <c r="EH528">
        <v>0</v>
      </c>
      <c r="EI528" t="s">
        <v>3</v>
      </c>
      <c r="EJ528">
        <v>4</v>
      </c>
      <c r="EK528">
        <v>0</v>
      </c>
      <c r="EL528" t="s">
        <v>21</v>
      </c>
      <c r="EM528" t="s">
        <v>22</v>
      </c>
      <c r="EO528" t="s">
        <v>3</v>
      </c>
      <c r="EQ528">
        <v>132096</v>
      </c>
      <c r="ER528">
        <v>48437.5</v>
      </c>
      <c r="ES528">
        <v>48437.5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FQ528">
        <v>0</v>
      </c>
      <c r="FR528">
        <f t="shared" si="394"/>
        <v>0</v>
      </c>
      <c r="FS528">
        <v>0</v>
      </c>
      <c r="FX528">
        <v>70</v>
      </c>
      <c r="FY528">
        <v>10</v>
      </c>
      <c r="GA528" t="s">
        <v>3</v>
      </c>
      <c r="GD528">
        <v>0</v>
      </c>
      <c r="GF528">
        <v>971255918</v>
      </c>
      <c r="GG528">
        <v>2</v>
      </c>
      <c r="GH528">
        <v>1</v>
      </c>
      <c r="GI528">
        <v>-2</v>
      </c>
      <c r="GJ528">
        <v>0</v>
      </c>
      <c r="GK528">
        <f>ROUND(R528*(R12)/100,2)</f>
        <v>0</v>
      </c>
      <c r="GL528">
        <f t="shared" si="395"/>
        <v>0</v>
      </c>
      <c r="GM528">
        <f t="shared" si="396"/>
        <v>48437.5</v>
      </c>
      <c r="GN528">
        <f t="shared" si="397"/>
        <v>0</v>
      </c>
      <c r="GO528">
        <f t="shared" si="398"/>
        <v>0</v>
      </c>
      <c r="GP528">
        <f t="shared" si="399"/>
        <v>48437.5</v>
      </c>
      <c r="GR528">
        <v>0</v>
      </c>
      <c r="GS528">
        <v>3</v>
      </c>
      <c r="GT528">
        <v>0</v>
      </c>
      <c r="GU528" t="s">
        <v>3</v>
      </c>
      <c r="GV528">
        <f t="shared" si="400"/>
        <v>0</v>
      </c>
      <c r="GW528">
        <v>1</v>
      </c>
      <c r="GX528">
        <f t="shared" si="401"/>
        <v>0</v>
      </c>
      <c r="HA528">
        <v>0</v>
      </c>
      <c r="HB528">
        <v>0</v>
      </c>
      <c r="HC528">
        <f t="shared" si="402"/>
        <v>0</v>
      </c>
      <c r="IK528">
        <v>0</v>
      </c>
    </row>
    <row r="529" spans="1:245" x14ac:dyDescent="0.2">
      <c r="A529">
        <v>17</v>
      </c>
      <c r="B529">
        <v>1</v>
      </c>
      <c r="D529">
        <f>ROW(EtalonRes!A431)</f>
        <v>431</v>
      </c>
      <c r="E529" t="s">
        <v>3</v>
      </c>
      <c r="F529" t="s">
        <v>447</v>
      </c>
      <c r="G529" t="s">
        <v>448</v>
      </c>
      <c r="H529" t="s">
        <v>18</v>
      </c>
      <c r="I529">
        <f>ROUND(26*2.04*0.65,9)</f>
        <v>34.475999999999999</v>
      </c>
      <c r="J529">
        <v>0</v>
      </c>
      <c r="O529">
        <f t="shared" si="363"/>
        <v>33429.99</v>
      </c>
      <c r="P529">
        <f t="shared" si="364"/>
        <v>32218.51</v>
      </c>
      <c r="Q529">
        <f t="shared" si="365"/>
        <v>244.43</v>
      </c>
      <c r="R529">
        <f t="shared" si="366"/>
        <v>4.83</v>
      </c>
      <c r="S529">
        <f t="shared" si="367"/>
        <v>967.05</v>
      </c>
      <c r="T529">
        <f t="shared" si="368"/>
        <v>0</v>
      </c>
      <c r="U529">
        <f t="shared" si="369"/>
        <v>4.1371199999999995</v>
      </c>
      <c r="V529">
        <f t="shared" si="370"/>
        <v>0</v>
      </c>
      <c r="W529">
        <f t="shared" si="371"/>
        <v>0</v>
      </c>
      <c r="X529">
        <f t="shared" si="372"/>
        <v>676.94</v>
      </c>
      <c r="Y529">
        <f t="shared" si="373"/>
        <v>96.71</v>
      </c>
      <c r="AA529">
        <v>-1</v>
      </c>
      <c r="AB529">
        <f t="shared" si="374"/>
        <v>969.66</v>
      </c>
      <c r="AC529">
        <f t="shared" si="375"/>
        <v>934.52</v>
      </c>
      <c r="AD529">
        <f t="shared" si="376"/>
        <v>7.09</v>
      </c>
      <c r="AE529">
        <f t="shared" si="377"/>
        <v>0.14000000000000001</v>
      </c>
      <c r="AF529">
        <f t="shared" si="378"/>
        <v>28.05</v>
      </c>
      <c r="AG529">
        <f t="shared" si="379"/>
        <v>0</v>
      </c>
      <c r="AH529">
        <f t="shared" si="380"/>
        <v>0.12</v>
      </c>
      <c r="AI529">
        <f t="shared" si="381"/>
        <v>0</v>
      </c>
      <c r="AJ529">
        <f t="shared" si="382"/>
        <v>0</v>
      </c>
      <c r="AK529">
        <v>969.66</v>
      </c>
      <c r="AL529">
        <v>934.52</v>
      </c>
      <c r="AM529">
        <v>7.09</v>
      </c>
      <c r="AN529">
        <v>0.14000000000000001</v>
      </c>
      <c r="AO529">
        <v>28.05</v>
      </c>
      <c r="AP529">
        <v>0</v>
      </c>
      <c r="AQ529">
        <v>0.12</v>
      </c>
      <c r="AR529">
        <v>0</v>
      </c>
      <c r="AS529">
        <v>0</v>
      </c>
      <c r="AT529">
        <v>70</v>
      </c>
      <c r="AU529">
        <v>10</v>
      </c>
      <c r="AV529">
        <v>1</v>
      </c>
      <c r="AW529">
        <v>1</v>
      </c>
      <c r="AZ529">
        <v>1</v>
      </c>
      <c r="BA529">
        <v>1</v>
      </c>
      <c r="BB529">
        <v>1</v>
      </c>
      <c r="BC529">
        <v>1</v>
      </c>
      <c r="BD529" t="s">
        <v>3</v>
      </c>
      <c r="BE529" t="s">
        <v>3</v>
      </c>
      <c r="BF529" t="s">
        <v>3</v>
      </c>
      <c r="BG529" t="s">
        <v>3</v>
      </c>
      <c r="BH529">
        <v>0</v>
      </c>
      <c r="BI529">
        <v>4</v>
      </c>
      <c r="BJ529" t="s">
        <v>449</v>
      </c>
      <c r="BM529">
        <v>0</v>
      </c>
      <c r="BN529">
        <v>0</v>
      </c>
      <c r="BO529" t="s">
        <v>3</v>
      </c>
      <c r="BP529">
        <v>0</v>
      </c>
      <c r="BQ529">
        <v>1</v>
      </c>
      <c r="BR529">
        <v>0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 t="s">
        <v>3</v>
      </c>
      <c r="BZ529">
        <v>70</v>
      </c>
      <c r="CA529">
        <v>10</v>
      </c>
      <c r="CE529">
        <v>0</v>
      </c>
      <c r="CF529">
        <v>0</v>
      </c>
      <c r="CG529">
        <v>0</v>
      </c>
      <c r="CM529">
        <v>0</v>
      </c>
      <c r="CN529" t="s">
        <v>3</v>
      </c>
      <c r="CO529">
        <v>0</v>
      </c>
      <c r="CP529">
        <f t="shared" si="383"/>
        <v>33429.99</v>
      </c>
      <c r="CQ529">
        <f t="shared" si="384"/>
        <v>934.52</v>
      </c>
      <c r="CR529">
        <f t="shared" si="385"/>
        <v>7.09</v>
      </c>
      <c r="CS529">
        <f t="shared" si="386"/>
        <v>0.14000000000000001</v>
      </c>
      <c r="CT529">
        <f t="shared" si="387"/>
        <v>28.05</v>
      </c>
      <c r="CU529">
        <f t="shared" si="388"/>
        <v>0</v>
      </c>
      <c r="CV529">
        <f t="shared" si="389"/>
        <v>0.12</v>
      </c>
      <c r="CW529">
        <f t="shared" si="390"/>
        <v>0</v>
      </c>
      <c r="CX529">
        <f t="shared" si="391"/>
        <v>0</v>
      </c>
      <c r="CY529">
        <f t="shared" si="392"/>
        <v>676.93499999999995</v>
      </c>
      <c r="CZ529">
        <f t="shared" si="393"/>
        <v>96.704999999999998</v>
      </c>
      <c r="DC529" t="s">
        <v>3</v>
      </c>
      <c r="DD529" t="s">
        <v>3</v>
      </c>
      <c r="DE529" t="s">
        <v>3</v>
      </c>
      <c r="DF529" t="s">
        <v>3</v>
      </c>
      <c r="DG529" t="s">
        <v>3</v>
      </c>
      <c r="DH529" t="s">
        <v>3</v>
      </c>
      <c r="DI529" t="s">
        <v>3</v>
      </c>
      <c r="DJ529" t="s">
        <v>3</v>
      </c>
      <c r="DK529" t="s">
        <v>3</v>
      </c>
      <c r="DL529" t="s">
        <v>3</v>
      </c>
      <c r="DM529" t="s">
        <v>3</v>
      </c>
      <c r="DN529">
        <v>0</v>
      </c>
      <c r="DO529">
        <v>0</v>
      </c>
      <c r="DP529">
        <v>1</v>
      </c>
      <c r="DQ529">
        <v>1</v>
      </c>
      <c r="DU529">
        <v>1005</v>
      </c>
      <c r="DV529" t="s">
        <v>18</v>
      </c>
      <c r="DW529" t="s">
        <v>18</v>
      </c>
      <c r="DX529">
        <v>1</v>
      </c>
      <c r="EE529">
        <v>67874524</v>
      </c>
      <c r="EF529">
        <v>1</v>
      </c>
      <c r="EG529" t="s">
        <v>20</v>
      </c>
      <c r="EH529">
        <v>0</v>
      </c>
      <c r="EI529" t="s">
        <v>3</v>
      </c>
      <c r="EJ529">
        <v>4</v>
      </c>
      <c r="EK529">
        <v>0</v>
      </c>
      <c r="EL529" t="s">
        <v>21</v>
      </c>
      <c r="EM529" t="s">
        <v>22</v>
      </c>
      <c r="EO529" t="s">
        <v>3</v>
      </c>
      <c r="EQ529">
        <v>132096</v>
      </c>
      <c r="ER529">
        <v>969.66</v>
      </c>
      <c r="ES529">
        <v>934.52</v>
      </c>
      <c r="ET529">
        <v>7.09</v>
      </c>
      <c r="EU529">
        <v>0.14000000000000001</v>
      </c>
      <c r="EV529">
        <v>28.05</v>
      </c>
      <c r="EW529">
        <v>0.12</v>
      </c>
      <c r="EX529">
        <v>0</v>
      </c>
      <c r="EY529">
        <v>0</v>
      </c>
      <c r="FQ529">
        <v>0</v>
      </c>
      <c r="FR529">
        <f t="shared" si="394"/>
        <v>0</v>
      </c>
      <c r="FS529">
        <v>0</v>
      </c>
      <c r="FX529">
        <v>70</v>
      </c>
      <c r="FY529">
        <v>10</v>
      </c>
      <c r="GA529" t="s">
        <v>3</v>
      </c>
      <c r="GD529">
        <v>0</v>
      </c>
      <c r="GF529">
        <v>-926035552</v>
      </c>
      <c r="GG529">
        <v>2</v>
      </c>
      <c r="GH529">
        <v>1</v>
      </c>
      <c r="GI529">
        <v>-2</v>
      </c>
      <c r="GJ529">
        <v>0</v>
      </c>
      <c r="GK529">
        <f>ROUND(R529*(R12)/100,2)</f>
        <v>5.22</v>
      </c>
      <c r="GL529">
        <f t="shared" si="395"/>
        <v>0</v>
      </c>
      <c r="GM529">
        <f t="shared" si="396"/>
        <v>34208.86</v>
      </c>
      <c r="GN529">
        <f t="shared" si="397"/>
        <v>0</v>
      </c>
      <c r="GO529">
        <f t="shared" si="398"/>
        <v>0</v>
      </c>
      <c r="GP529">
        <f t="shared" si="399"/>
        <v>34208.86</v>
      </c>
      <c r="GR529">
        <v>0</v>
      </c>
      <c r="GS529">
        <v>3</v>
      </c>
      <c r="GT529">
        <v>0</v>
      </c>
      <c r="GU529" t="s">
        <v>3</v>
      </c>
      <c r="GV529">
        <f t="shared" si="400"/>
        <v>0</v>
      </c>
      <c r="GW529">
        <v>1</v>
      </c>
      <c r="GX529">
        <f t="shared" si="401"/>
        <v>0</v>
      </c>
      <c r="HA529">
        <v>0</v>
      </c>
      <c r="HB529">
        <v>0</v>
      </c>
      <c r="HC529">
        <f t="shared" si="402"/>
        <v>0</v>
      </c>
      <c r="IK529">
        <v>0</v>
      </c>
    </row>
    <row r="530" spans="1:245" x14ac:dyDescent="0.2">
      <c r="A530">
        <v>18</v>
      </c>
      <c r="B530">
        <v>1</v>
      </c>
      <c r="E530" t="s">
        <v>3</v>
      </c>
      <c r="F530" t="s">
        <v>450</v>
      </c>
      <c r="G530" t="s">
        <v>451</v>
      </c>
      <c r="H530" t="s">
        <v>18</v>
      </c>
      <c r="I530">
        <f>I529*J530</f>
        <v>-34.475999999999999</v>
      </c>
      <c r="J530">
        <v>-1</v>
      </c>
      <c r="O530">
        <f t="shared" si="363"/>
        <v>-32104.05</v>
      </c>
      <c r="P530">
        <f t="shared" si="364"/>
        <v>-32104.05</v>
      </c>
      <c r="Q530">
        <f t="shared" si="365"/>
        <v>0</v>
      </c>
      <c r="R530">
        <f t="shared" si="366"/>
        <v>0</v>
      </c>
      <c r="S530">
        <f t="shared" si="367"/>
        <v>0</v>
      </c>
      <c r="T530">
        <f t="shared" si="368"/>
        <v>0</v>
      </c>
      <c r="U530">
        <f t="shared" si="369"/>
        <v>0</v>
      </c>
      <c r="V530">
        <f t="shared" si="370"/>
        <v>0</v>
      </c>
      <c r="W530">
        <f t="shared" si="371"/>
        <v>0</v>
      </c>
      <c r="X530">
        <f t="shared" si="372"/>
        <v>0</v>
      </c>
      <c r="Y530">
        <f t="shared" si="373"/>
        <v>0</v>
      </c>
      <c r="AA530">
        <v>-1</v>
      </c>
      <c r="AB530">
        <f t="shared" si="374"/>
        <v>931.2</v>
      </c>
      <c r="AC530">
        <f t="shared" si="375"/>
        <v>931.2</v>
      </c>
      <c r="AD530">
        <f t="shared" si="376"/>
        <v>0</v>
      </c>
      <c r="AE530">
        <f t="shared" si="377"/>
        <v>0</v>
      </c>
      <c r="AF530">
        <f t="shared" si="378"/>
        <v>0</v>
      </c>
      <c r="AG530">
        <f t="shared" si="379"/>
        <v>0</v>
      </c>
      <c r="AH530">
        <f t="shared" si="380"/>
        <v>0</v>
      </c>
      <c r="AI530">
        <f t="shared" si="381"/>
        <v>0</v>
      </c>
      <c r="AJ530">
        <f t="shared" si="382"/>
        <v>0</v>
      </c>
      <c r="AK530">
        <v>931.2</v>
      </c>
      <c r="AL530">
        <v>931.2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70</v>
      </c>
      <c r="AU530">
        <v>10</v>
      </c>
      <c r="AV530">
        <v>1</v>
      </c>
      <c r="AW530">
        <v>1</v>
      </c>
      <c r="AZ530">
        <v>1</v>
      </c>
      <c r="BA530">
        <v>1</v>
      </c>
      <c r="BB530">
        <v>1</v>
      </c>
      <c r="BC530">
        <v>1</v>
      </c>
      <c r="BD530" t="s">
        <v>3</v>
      </c>
      <c r="BE530" t="s">
        <v>3</v>
      </c>
      <c r="BF530" t="s">
        <v>3</v>
      </c>
      <c r="BG530" t="s">
        <v>3</v>
      </c>
      <c r="BH530">
        <v>3</v>
      </c>
      <c r="BI530">
        <v>4</v>
      </c>
      <c r="BJ530" t="s">
        <v>452</v>
      </c>
      <c r="BM530">
        <v>0</v>
      </c>
      <c r="BN530">
        <v>0</v>
      </c>
      <c r="BO530" t="s">
        <v>3</v>
      </c>
      <c r="BP530">
        <v>0</v>
      </c>
      <c r="BQ530">
        <v>1</v>
      </c>
      <c r="BR530">
        <v>0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 t="s">
        <v>3</v>
      </c>
      <c r="BZ530">
        <v>70</v>
      </c>
      <c r="CA530">
        <v>10</v>
      </c>
      <c r="CE530">
        <v>0</v>
      </c>
      <c r="CF530">
        <v>0</v>
      </c>
      <c r="CG530">
        <v>0</v>
      </c>
      <c r="CM530">
        <v>0</v>
      </c>
      <c r="CN530" t="s">
        <v>3</v>
      </c>
      <c r="CO530">
        <v>0</v>
      </c>
      <c r="CP530">
        <f t="shared" si="383"/>
        <v>-32104.05</v>
      </c>
      <c r="CQ530">
        <f t="shared" si="384"/>
        <v>931.2</v>
      </c>
      <c r="CR530">
        <f t="shared" si="385"/>
        <v>0</v>
      </c>
      <c r="CS530">
        <f t="shared" si="386"/>
        <v>0</v>
      </c>
      <c r="CT530">
        <f t="shared" si="387"/>
        <v>0</v>
      </c>
      <c r="CU530">
        <f t="shared" si="388"/>
        <v>0</v>
      </c>
      <c r="CV530">
        <f t="shared" si="389"/>
        <v>0</v>
      </c>
      <c r="CW530">
        <f t="shared" si="390"/>
        <v>0</v>
      </c>
      <c r="CX530">
        <f t="shared" si="391"/>
        <v>0</v>
      </c>
      <c r="CY530">
        <f t="shared" si="392"/>
        <v>0</v>
      </c>
      <c r="CZ530">
        <f t="shared" si="393"/>
        <v>0</v>
      </c>
      <c r="DC530" t="s">
        <v>3</v>
      </c>
      <c r="DD530" t="s">
        <v>3</v>
      </c>
      <c r="DE530" t="s">
        <v>3</v>
      </c>
      <c r="DF530" t="s">
        <v>3</v>
      </c>
      <c r="DG530" t="s">
        <v>3</v>
      </c>
      <c r="DH530" t="s">
        <v>3</v>
      </c>
      <c r="DI530" t="s">
        <v>3</v>
      </c>
      <c r="DJ530" t="s">
        <v>3</v>
      </c>
      <c r="DK530" t="s">
        <v>3</v>
      </c>
      <c r="DL530" t="s">
        <v>3</v>
      </c>
      <c r="DM530" t="s">
        <v>3</v>
      </c>
      <c r="DN530">
        <v>0</v>
      </c>
      <c r="DO530">
        <v>0</v>
      </c>
      <c r="DP530">
        <v>1</v>
      </c>
      <c r="DQ530">
        <v>1</v>
      </c>
      <c r="DU530">
        <v>1005</v>
      </c>
      <c r="DV530" t="s">
        <v>18</v>
      </c>
      <c r="DW530" t="s">
        <v>18</v>
      </c>
      <c r="DX530">
        <v>1</v>
      </c>
      <c r="EE530">
        <v>67874524</v>
      </c>
      <c r="EF530">
        <v>1</v>
      </c>
      <c r="EG530" t="s">
        <v>20</v>
      </c>
      <c r="EH530">
        <v>0</v>
      </c>
      <c r="EI530" t="s">
        <v>3</v>
      </c>
      <c r="EJ530">
        <v>4</v>
      </c>
      <c r="EK530">
        <v>0</v>
      </c>
      <c r="EL530" t="s">
        <v>21</v>
      </c>
      <c r="EM530" t="s">
        <v>22</v>
      </c>
      <c r="EO530" t="s">
        <v>3</v>
      </c>
      <c r="EQ530">
        <v>1024</v>
      </c>
      <c r="ER530">
        <v>931.2</v>
      </c>
      <c r="ES530">
        <v>931.2</v>
      </c>
      <c r="ET530">
        <v>0</v>
      </c>
      <c r="EU530">
        <v>0</v>
      </c>
      <c r="EV530">
        <v>0</v>
      </c>
      <c r="EW530">
        <v>0</v>
      </c>
      <c r="EX530">
        <v>0</v>
      </c>
      <c r="FQ530">
        <v>0</v>
      </c>
      <c r="FR530">
        <f t="shared" si="394"/>
        <v>0</v>
      </c>
      <c r="FS530">
        <v>0</v>
      </c>
      <c r="FX530">
        <v>70</v>
      </c>
      <c r="FY530">
        <v>10</v>
      </c>
      <c r="GA530" t="s">
        <v>3</v>
      </c>
      <c r="GD530">
        <v>0</v>
      </c>
      <c r="GF530">
        <v>809843818</v>
      </c>
      <c r="GG530">
        <v>2</v>
      </c>
      <c r="GH530">
        <v>1</v>
      </c>
      <c r="GI530">
        <v>-2</v>
      </c>
      <c r="GJ530">
        <v>0</v>
      </c>
      <c r="GK530">
        <f>ROUND(R530*(R12)/100,2)</f>
        <v>0</v>
      </c>
      <c r="GL530">
        <f t="shared" si="395"/>
        <v>0</v>
      </c>
      <c r="GM530">
        <f t="shared" si="396"/>
        <v>-32104.05</v>
      </c>
      <c r="GN530">
        <f t="shared" si="397"/>
        <v>0</v>
      </c>
      <c r="GO530">
        <f t="shared" si="398"/>
        <v>0</v>
      </c>
      <c r="GP530">
        <f t="shared" si="399"/>
        <v>-32104.05</v>
      </c>
      <c r="GR530">
        <v>0</v>
      </c>
      <c r="GS530">
        <v>3</v>
      </c>
      <c r="GT530">
        <v>0</v>
      </c>
      <c r="GU530" t="s">
        <v>3</v>
      </c>
      <c r="GV530">
        <f t="shared" si="400"/>
        <v>0</v>
      </c>
      <c r="GW530">
        <v>1</v>
      </c>
      <c r="GX530">
        <f t="shared" si="401"/>
        <v>0</v>
      </c>
      <c r="HA530">
        <v>0</v>
      </c>
      <c r="HB530">
        <v>0</v>
      </c>
      <c r="HC530">
        <f t="shared" si="402"/>
        <v>0</v>
      </c>
      <c r="IK530">
        <v>0</v>
      </c>
    </row>
    <row r="531" spans="1:245" x14ac:dyDescent="0.2">
      <c r="A531">
        <v>18</v>
      </c>
      <c r="B531">
        <v>1</v>
      </c>
      <c r="E531" t="s">
        <v>3</v>
      </c>
      <c r="F531" t="s">
        <v>453</v>
      </c>
      <c r="G531" t="s">
        <v>454</v>
      </c>
      <c r="H531" t="s">
        <v>455</v>
      </c>
      <c r="I531">
        <f>I529*J531</f>
        <v>53.04</v>
      </c>
      <c r="J531">
        <v>1.5384615384615385</v>
      </c>
      <c r="O531">
        <f t="shared" si="363"/>
        <v>639133.59</v>
      </c>
      <c r="P531">
        <f t="shared" si="364"/>
        <v>639133.59</v>
      </c>
      <c r="Q531">
        <f t="shared" si="365"/>
        <v>0</v>
      </c>
      <c r="R531">
        <f t="shared" si="366"/>
        <v>0</v>
      </c>
      <c r="S531">
        <f t="shared" si="367"/>
        <v>0</v>
      </c>
      <c r="T531">
        <f t="shared" si="368"/>
        <v>0</v>
      </c>
      <c r="U531">
        <f t="shared" si="369"/>
        <v>0</v>
      </c>
      <c r="V531">
        <f t="shared" si="370"/>
        <v>0</v>
      </c>
      <c r="W531">
        <f t="shared" si="371"/>
        <v>0</v>
      </c>
      <c r="X531">
        <f t="shared" si="372"/>
        <v>0</v>
      </c>
      <c r="Y531">
        <f t="shared" si="373"/>
        <v>0</v>
      </c>
      <c r="AA531">
        <v>-1</v>
      </c>
      <c r="AB531">
        <f t="shared" si="374"/>
        <v>12050.03</v>
      </c>
      <c r="AC531">
        <f t="shared" si="375"/>
        <v>12050.03</v>
      </c>
      <c r="AD531">
        <f t="shared" si="376"/>
        <v>0</v>
      </c>
      <c r="AE531">
        <f t="shared" si="377"/>
        <v>0</v>
      </c>
      <c r="AF531">
        <f t="shared" si="378"/>
        <v>0</v>
      </c>
      <c r="AG531">
        <f t="shared" si="379"/>
        <v>0</v>
      </c>
      <c r="AH531">
        <f t="shared" si="380"/>
        <v>0</v>
      </c>
      <c r="AI531">
        <f t="shared" si="381"/>
        <v>0</v>
      </c>
      <c r="AJ531">
        <f t="shared" si="382"/>
        <v>0</v>
      </c>
      <c r="AK531">
        <v>12050.03</v>
      </c>
      <c r="AL531">
        <v>12050.03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70</v>
      </c>
      <c r="AU531">
        <v>10</v>
      </c>
      <c r="AV531">
        <v>1</v>
      </c>
      <c r="AW531">
        <v>1</v>
      </c>
      <c r="AZ531">
        <v>1</v>
      </c>
      <c r="BA531">
        <v>1</v>
      </c>
      <c r="BB531">
        <v>1</v>
      </c>
      <c r="BC531">
        <v>1</v>
      </c>
      <c r="BD531" t="s">
        <v>3</v>
      </c>
      <c r="BE531" t="s">
        <v>3</v>
      </c>
      <c r="BF531" t="s">
        <v>3</v>
      </c>
      <c r="BG531" t="s">
        <v>3</v>
      </c>
      <c r="BH531">
        <v>3</v>
      </c>
      <c r="BI531">
        <v>4</v>
      </c>
      <c r="BJ531" t="s">
        <v>456</v>
      </c>
      <c r="BM531">
        <v>0</v>
      </c>
      <c r="BN531">
        <v>0</v>
      </c>
      <c r="BO531" t="s">
        <v>3</v>
      </c>
      <c r="BP531">
        <v>0</v>
      </c>
      <c r="BQ531">
        <v>1</v>
      </c>
      <c r="BR531">
        <v>0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 t="s">
        <v>3</v>
      </c>
      <c r="BZ531">
        <v>70</v>
      </c>
      <c r="CA531">
        <v>10</v>
      </c>
      <c r="CE531">
        <v>0</v>
      </c>
      <c r="CF531">
        <v>0</v>
      </c>
      <c r="CG531">
        <v>0</v>
      </c>
      <c r="CM531">
        <v>0</v>
      </c>
      <c r="CN531" t="s">
        <v>3</v>
      </c>
      <c r="CO531">
        <v>0</v>
      </c>
      <c r="CP531">
        <f t="shared" si="383"/>
        <v>639133.59</v>
      </c>
      <c r="CQ531">
        <f t="shared" si="384"/>
        <v>12050.03</v>
      </c>
      <c r="CR531">
        <f t="shared" si="385"/>
        <v>0</v>
      </c>
      <c r="CS531">
        <f t="shared" si="386"/>
        <v>0</v>
      </c>
      <c r="CT531">
        <f t="shared" si="387"/>
        <v>0</v>
      </c>
      <c r="CU531">
        <f t="shared" si="388"/>
        <v>0</v>
      </c>
      <c r="CV531">
        <f t="shared" si="389"/>
        <v>0</v>
      </c>
      <c r="CW531">
        <f t="shared" si="390"/>
        <v>0</v>
      </c>
      <c r="CX531">
        <f t="shared" si="391"/>
        <v>0</v>
      </c>
      <c r="CY531">
        <f t="shared" si="392"/>
        <v>0</v>
      </c>
      <c r="CZ531">
        <f t="shared" si="393"/>
        <v>0</v>
      </c>
      <c r="DC531" t="s">
        <v>3</v>
      </c>
      <c r="DD531" t="s">
        <v>3</v>
      </c>
      <c r="DE531" t="s">
        <v>3</v>
      </c>
      <c r="DF531" t="s">
        <v>3</v>
      </c>
      <c r="DG531" t="s">
        <v>3</v>
      </c>
      <c r="DH531" t="s">
        <v>3</v>
      </c>
      <c r="DI531" t="s">
        <v>3</v>
      </c>
      <c r="DJ531" t="s">
        <v>3</v>
      </c>
      <c r="DK531" t="s">
        <v>3</v>
      </c>
      <c r="DL531" t="s">
        <v>3</v>
      </c>
      <c r="DM531" t="s">
        <v>3</v>
      </c>
      <c r="DN531">
        <v>0</v>
      </c>
      <c r="DO531">
        <v>0</v>
      </c>
      <c r="DP531">
        <v>1</v>
      </c>
      <c r="DQ531">
        <v>1</v>
      </c>
      <c r="DU531">
        <v>1003</v>
      </c>
      <c r="DV531" t="s">
        <v>455</v>
      </c>
      <c r="DW531" t="s">
        <v>455</v>
      </c>
      <c r="DX531">
        <v>1</v>
      </c>
      <c r="EE531">
        <v>67874524</v>
      </c>
      <c r="EF531">
        <v>1</v>
      </c>
      <c r="EG531" t="s">
        <v>20</v>
      </c>
      <c r="EH531">
        <v>0</v>
      </c>
      <c r="EI531" t="s">
        <v>3</v>
      </c>
      <c r="EJ531">
        <v>4</v>
      </c>
      <c r="EK531">
        <v>0</v>
      </c>
      <c r="EL531" t="s">
        <v>21</v>
      </c>
      <c r="EM531" t="s">
        <v>22</v>
      </c>
      <c r="EO531" t="s">
        <v>3</v>
      </c>
      <c r="EQ531">
        <v>1024</v>
      </c>
      <c r="ER531">
        <v>12050.03</v>
      </c>
      <c r="ES531">
        <v>12050.03</v>
      </c>
      <c r="ET531">
        <v>0</v>
      </c>
      <c r="EU531">
        <v>0</v>
      </c>
      <c r="EV531">
        <v>0</v>
      </c>
      <c r="EW531">
        <v>0</v>
      </c>
      <c r="EX531">
        <v>0</v>
      </c>
      <c r="FQ531">
        <v>0</v>
      </c>
      <c r="FR531">
        <f t="shared" si="394"/>
        <v>0</v>
      </c>
      <c r="FS531">
        <v>0</v>
      </c>
      <c r="FX531">
        <v>70</v>
      </c>
      <c r="FY531">
        <v>10</v>
      </c>
      <c r="GA531" t="s">
        <v>3</v>
      </c>
      <c r="GD531">
        <v>0</v>
      </c>
      <c r="GF531">
        <v>-718096831</v>
      </c>
      <c r="GG531">
        <v>2</v>
      </c>
      <c r="GH531">
        <v>1</v>
      </c>
      <c r="GI531">
        <v>-2</v>
      </c>
      <c r="GJ531">
        <v>0</v>
      </c>
      <c r="GK531">
        <f>ROUND(R531*(R12)/100,2)</f>
        <v>0</v>
      </c>
      <c r="GL531">
        <f t="shared" si="395"/>
        <v>0</v>
      </c>
      <c r="GM531">
        <f t="shared" si="396"/>
        <v>639133.59</v>
      </c>
      <c r="GN531">
        <f t="shared" si="397"/>
        <v>0</v>
      </c>
      <c r="GO531">
        <f t="shared" si="398"/>
        <v>0</v>
      </c>
      <c r="GP531">
        <f t="shared" si="399"/>
        <v>639133.59</v>
      </c>
      <c r="GR531">
        <v>0</v>
      </c>
      <c r="GS531">
        <v>3</v>
      </c>
      <c r="GT531">
        <v>0</v>
      </c>
      <c r="GU531" t="s">
        <v>3</v>
      </c>
      <c r="GV531">
        <f t="shared" si="400"/>
        <v>0</v>
      </c>
      <c r="GW531">
        <v>1</v>
      </c>
      <c r="GX531">
        <f t="shared" si="401"/>
        <v>0</v>
      </c>
      <c r="HA531">
        <v>0</v>
      </c>
      <c r="HB531">
        <v>0</v>
      </c>
      <c r="HC531">
        <f t="shared" si="402"/>
        <v>0</v>
      </c>
      <c r="IK531">
        <v>0</v>
      </c>
    </row>
    <row r="532" spans="1:245" x14ac:dyDescent="0.2">
      <c r="A532">
        <v>17</v>
      </c>
      <c r="B532">
        <v>1</v>
      </c>
      <c r="D532">
        <f>ROW(EtalonRes!A436)</f>
        <v>436</v>
      </c>
      <c r="E532" t="s">
        <v>3</v>
      </c>
      <c r="F532" t="s">
        <v>379</v>
      </c>
      <c r="G532" t="s">
        <v>380</v>
      </c>
      <c r="H532" t="s">
        <v>381</v>
      </c>
      <c r="I532">
        <f>ROUND(29/10,9)</f>
        <v>2.9</v>
      </c>
      <c r="J532">
        <v>0</v>
      </c>
      <c r="O532">
        <f t="shared" si="363"/>
        <v>12086.27</v>
      </c>
      <c r="P532">
        <f t="shared" si="364"/>
        <v>8685.09</v>
      </c>
      <c r="Q532">
        <f t="shared" si="365"/>
        <v>0</v>
      </c>
      <c r="R532">
        <f t="shared" si="366"/>
        <v>0</v>
      </c>
      <c r="S532">
        <f t="shared" si="367"/>
        <v>3401.18</v>
      </c>
      <c r="T532">
        <f t="shared" si="368"/>
        <v>0</v>
      </c>
      <c r="U532">
        <f t="shared" si="369"/>
        <v>18.038</v>
      </c>
      <c r="V532">
        <f t="shared" si="370"/>
        <v>0</v>
      </c>
      <c r="W532">
        <f t="shared" si="371"/>
        <v>0</v>
      </c>
      <c r="X532">
        <f t="shared" si="372"/>
        <v>2380.83</v>
      </c>
      <c r="Y532">
        <f t="shared" si="373"/>
        <v>340.12</v>
      </c>
      <c r="AA532">
        <v>-1</v>
      </c>
      <c r="AB532">
        <f t="shared" si="374"/>
        <v>4167.68</v>
      </c>
      <c r="AC532">
        <f t="shared" si="375"/>
        <v>2994.86</v>
      </c>
      <c r="AD532">
        <f t="shared" si="376"/>
        <v>0</v>
      </c>
      <c r="AE532">
        <f t="shared" si="377"/>
        <v>0</v>
      </c>
      <c r="AF532">
        <f t="shared" si="378"/>
        <v>1172.82</v>
      </c>
      <c r="AG532">
        <f t="shared" si="379"/>
        <v>0</v>
      </c>
      <c r="AH532">
        <f t="shared" si="380"/>
        <v>6.22</v>
      </c>
      <c r="AI532">
        <f t="shared" si="381"/>
        <v>0</v>
      </c>
      <c r="AJ532">
        <f t="shared" si="382"/>
        <v>0</v>
      </c>
      <c r="AK532">
        <v>4167.68</v>
      </c>
      <c r="AL532">
        <v>2994.86</v>
      </c>
      <c r="AM532">
        <v>0</v>
      </c>
      <c r="AN532">
        <v>0</v>
      </c>
      <c r="AO532">
        <v>1172.82</v>
      </c>
      <c r="AP532">
        <v>0</v>
      </c>
      <c r="AQ532">
        <v>6.22</v>
      </c>
      <c r="AR532">
        <v>0</v>
      </c>
      <c r="AS532">
        <v>0</v>
      </c>
      <c r="AT532">
        <v>70</v>
      </c>
      <c r="AU532">
        <v>10</v>
      </c>
      <c r="AV532">
        <v>1</v>
      </c>
      <c r="AW532">
        <v>1</v>
      </c>
      <c r="AZ532">
        <v>1</v>
      </c>
      <c r="BA532">
        <v>1</v>
      </c>
      <c r="BB532">
        <v>1</v>
      </c>
      <c r="BC532">
        <v>1</v>
      </c>
      <c r="BD532" t="s">
        <v>3</v>
      </c>
      <c r="BE532" t="s">
        <v>3</v>
      </c>
      <c r="BF532" t="s">
        <v>3</v>
      </c>
      <c r="BG532" t="s">
        <v>3</v>
      </c>
      <c r="BH532">
        <v>0</v>
      </c>
      <c r="BI532">
        <v>4</v>
      </c>
      <c r="BJ532" t="s">
        <v>382</v>
      </c>
      <c r="BM532">
        <v>0</v>
      </c>
      <c r="BN532">
        <v>0</v>
      </c>
      <c r="BO532" t="s">
        <v>3</v>
      </c>
      <c r="BP532">
        <v>0</v>
      </c>
      <c r="BQ532">
        <v>1</v>
      </c>
      <c r="BR532">
        <v>0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 t="s">
        <v>3</v>
      </c>
      <c r="BZ532">
        <v>70</v>
      </c>
      <c r="CA532">
        <v>10</v>
      </c>
      <c r="CE532">
        <v>0</v>
      </c>
      <c r="CF532">
        <v>0</v>
      </c>
      <c r="CG532">
        <v>0</v>
      </c>
      <c r="CM532">
        <v>0</v>
      </c>
      <c r="CN532" t="s">
        <v>3</v>
      </c>
      <c r="CO532">
        <v>0</v>
      </c>
      <c r="CP532">
        <f t="shared" si="383"/>
        <v>12086.27</v>
      </c>
      <c r="CQ532">
        <f t="shared" si="384"/>
        <v>2994.86</v>
      </c>
      <c r="CR532">
        <f t="shared" si="385"/>
        <v>0</v>
      </c>
      <c r="CS532">
        <f t="shared" si="386"/>
        <v>0</v>
      </c>
      <c r="CT532">
        <f t="shared" si="387"/>
        <v>1172.82</v>
      </c>
      <c r="CU532">
        <f t="shared" si="388"/>
        <v>0</v>
      </c>
      <c r="CV532">
        <f t="shared" si="389"/>
        <v>6.22</v>
      </c>
      <c r="CW532">
        <f t="shared" si="390"/>
        <v>0</v>
      </c>
      <c r="CX532">
        <f t="shared" si="391"/>
        <v>0</v>
      </c>
      <c r="CY532">
        <f t="shared" si="392"/>
        <v>2380.8259999999996</v>
      </c>
      <c r="CZ532">
        <f t="shared" si="393"/>
        <v>340.11799999999994</v>
      </c>
      <c r="DC532" t="s">
        <v>3</v>
      </c>
      <c r="DD532" t="s">
        <v>3</v>
      </c>
      <c r="DE532" t="s">
        <v>3</v>
      </c>
      <c r="DF532" t="s">
        <v>3</v>
      </c>
      <c r="DG532" t="s">
        <v>3</v>
      </c>
      <c r="DH532" t="s">
        <v>3</v>
      </c>
      <c r="DI532" t="s">
        <v>3</v>
      </c>
      <c r="DJ532" t="s">
        <v>3</v>
      </c>
      <c r="DK532" t="s">
        <v>3</v>
      </c>
      <c r="DL532" t="s">
        <v>3</v>
      </c>
      <c r="DM532" t="s">
        <v>3</v>
      </c>
      <c r="DN532">
        <v>0</v>
      </c>
      <c r="DO532">
        <v>0</v>
      </c>
      <c r="DP532">
        <v>1</v>
      </c>
      <c r="DQ532">
        <v>1</v>
      </c>
      <c r="DU532">
        <v>1010</v>
      </c>
      <c r="DV532" t="s">
        <v>381</v>
      </c>
      <c r="DW532" t="s">
        <v>381</v>
      </c>
      <c r="DX532">
        <v>10</v>
      </c>
      <c r="EE532">
        <v>67874524</v>
      </c>
      <c r="EF532">
        <v>1</v>
      </c>
      <c r="EG532" t="s">
        <v>20</v>
      </c>
      <c r="EH532">
        <v>0</v>
      </c>
      <c r="EI532" t="s">
        <v>3</v>
      </c>
      <c r="EJ532">
        <v>4</v>
      </c>
      <c r="EK532">
        <v>0</v>
      </c>
      <c r="EL532" t="s">
        <v>21</v>
      </c>
      <c r="EM532" t="s">
        <v>22</v>
      </c>
      <c r="EO532" t="s">
        <v>3</v>
      </c>
      <c r="EQ532">
        <v>132096</v>
      </c>
      <c r="ER532">
        <v>4167.68</v>
      </c>
      <c r="ES532">
        <v>2994.86</v>
      </c>
      <c r="ET532">
        <v>0</v>
      </c>
      <c r="EU532">
        <v>0</v>
      </c>
      <c r="EV532">
        <v>1172.82</v>
      </c>
      <c r="EW532">
        <v>6.22</v>
      </c>
      <c r="EX532">
        <v>0</v>
      </c>
      <c r="EY532">
        <v>0</v>
      </c>
      <c r="FQ532">
        <v>0</v>
      </c>
      <c r="FR532">
        <f t="shared" si="394"/>
        <v>0</v>
      </c>
      <c r="FS532">
        <v>0</v>
      </c>
      <c r="FX532">
        <v>70</v>
      </c>
      <c r="FY532">
        <v>10</v>
      </c>
      <c r="GA532" t="s">
        <v>3</v>
      </c>
      <c r="GD532">
        <v>0</v>
      </c>
      <c r="GF532">
        <v>-1736434182</v>
      </c>
      <c r="GG532">
        <v>2</v>
      </c>
      <c r="GH532">
        <v>1</v>
      </c>
      <c r="GI532">
        <v>-2</v>
      </c>
      <c r="GJ532">
        <v>0</v>
      </c>
      <c r="GK532">
        <f>ROUND(R532*(R12)/100,2)</f>
        <v>0</v>
      </c>
      <c r="GL532">
        <f t="shared" si="395"/>
        <v>0</v>
      </c>
      <c r="GM532">
        <f t="shared" si="396"/>
        <v>14807.22</v>
      </c>
      <c r="GN532">
        <f t="shared" si="397"/>
        <v>0</v>
      </c>
      <c r="GO532">
        <f t="shared" si="398"/>
        <v>0</v>
      </c>
      <c r="GP532">
        <f t="shared" si="399"/>
        <v>14807.22</v>
      </c>
      <c r="GR532">
        <v>0</v>
      </c>
      <c r="GS532">
        <v>3</v>
      </c>
      <c r="GT532">
        <v>0</v>
      </c>
      <c r="GU532" t="s">
        <v>3</v>
      </c>
      <c r="GV532">
        <f t="shared" si="400"/>
        <v>0</v>
      </c>
      <c r="GW532">
        <v>1</v>
      </c>
      <c r="GX532">
        <f t="shared" si="401"/>
        <v>0</v>
      </c>
      <c r="HA532">
        <v>0</v>
      </c>
      <c r="HB532">
        <v>0</v>
      </c>
      <c r="HC532">
        <f t="shared" si="402"/>
        <v>0</v>
      </c>
      <c r="IK532">
        <v>0</v>
      </c>
    </row>
    <row r="533" spans="1:245" x14ac:dyDescent="0.2">
      <c r="A533">
        <v>18</v>
      </c>
      <c r="B533">
        <v>1</v>
      </c>
      <c r="E533" t="s">
        <v>3</v>
      </c>
      <c r="F533" t="s">
        <v>383</v>
      </c>
      <c r="G533" t="s">
        <v>457</v>
      </c>
      <c r="H533" t="s">
        <v>232</v>
      </c>
      <c r="I533">
        <f>I532*J533</f>
        <v>-29</v>
      </c>
      <c r="J533">
        <v>-10</v>
      </c>
      <c r="O533">
        <f t="shared" si="363"/>
        <v>-6859.37</v>
      </c>
      <c r="P533">
        <f t="shared" si="364"/>
        <v>-6859.37</v>
      </c>
      <c r="Q533">
        <f t="shared" si="365"/>
        <v>0</v>
      </c>
      <c r="R533">
        <f t="shared" si="366"/>
        <v>0</v>
      </c>
      <c r="S533">
        <f t="shared" si="367"/>
        <v>0</v>
      </c>
      <c r="T533">
        <f t="shared" si="368"/>
        <v>0</v>
      </c>
      <c r="U533">
        <f t="shared" si="369"/>
        <v>0</v>
      </c>
      <c r="V533">
        <f t="shared" si="370"/>
        <v>0</v>
      </c>
      <c r="W533">
        <f t="shared" si="371"/>
        <v>0</v>
      </c>
      <c r="X533">
        <f t="shared" si="372"/>
        <v>0</v>
      </c>
      <c r="Y533">
        <f t="shared" si="373"/>
        <v>0</v>
      </c>
      <c r="AA533">
        <v>-1</v>
      </c>
      <c r="AB533">
        <f t="shared" si="374"/>
        <v>236.53</v>
      </c>
      <c r="AC533">
        <f t="shared" si="375"/>
        <v>236.53</v>
      </c>
      <c r="AD533">
        <f t="shared" si="376"/>
        <v>0</v>
      </c>
      <c r="AE533">
        <f t="shared" si="377"/>
        <v>0</v>
      </c>
      <c r="AF533">
        <f t="shared" si="378"/>
        <v>0</v>
      </c>
      <c r="AG533">
        <f t="shared" si="379"/>
        <v>0</v>
      </c>
      <c r="AH533">
        <f t="shared" si="380"/>
        <v>0</v>
      </c>
      <c r="AI533">
        <f t="shared" si="381"/>
        <v>0</v>
      </c>
      <c r="AJ533">
        <f t="shared" si="382"/>
        <v>0</v>
      </c>
      <c r="AK533">
        <v>236.53</v>
      </c>
      <c r="AL533">
        <v>236.53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70</v>
      </c>
      <c r="AU533">
        <v>10</v>
      </c>
      <c r="AV533">
        <v>1</v>
      </c>
      <c r="AW533">
        <v>1</v>
      </c>
      <c r="AZ533">
        <v>1</v>
      </c>
      <c r="BA533">
        <v>1</v>
      </c>
      <c r="BB533">
        <v>1</v>
      </c>
      <c r="BC533">
        <v>1</v>
      </c>
      <c r="BD533" t="s">
        <v>3</v>
      </c>
      <c r="BE533" t="s">
        <v>3</v>
      </c>
      <c r="BF533" t="s">
        <v>3</v>
      </c>
      <c r="BG533" t="s">
        <v>3</v>
      </c>
      <c r="BH533">
        <v>3</v>
      </c>
      <c r="BI533">
        <v>4</v>
      </c>
      <c r="BJ533" t="s">
        <v>385</v>
      </c>
      <c r="BM533">
        <v>0</v>
      </c>
      <c r="BN533">
        <v>0</v>
      </c>
      <c r="BO533" t="s">
        <v>3</v>
      </c>
      <c r="BP533">
        <v>0</v>
      </c>
      <c r="BQ533">
        <v>1</v>
      </c>
      <c r="BR533">
        <v>0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 t="s">
        <v>3</v>
      </c>
      <c r="BZ533">
        <v>70</v>
      </c>
      <c r="CA533">
        <v>10</v>
      </c>
      <c r="CE533">
        <v>0</v>
      </c>
      <c r="CF533">
        <v>0</v>
      </c>
      <c r="CG533">
        <v>0</v>
      </c>
      <c r="CM533">
        <v>0</v>
      </c>
      <c r="CN533" t="s">
        <v>3</v>
      </c>
      <c r="CO533">
        <v>0</v>
      </c>
      <c r="CP533">
        <f t="shared" si="383"/>
        <v>-6859.37</v>
      </c>
      <c r="CQ533">
        <f t="shared" si="384"/>
        <v>236.53</v>
      </c>
      <c r="CR533">
        <f t="shared" si="385"/>
        <v>0</v>
      </c>
      <c r="CS533">
        <f t="shared" si="386"/>
        <v>0</v>
      </c>
      <c r="CT533">
        <f t="shared" si="387"/>
        <v>0</v>
      </c>
      <c r="CU533">
        <f t="shared" si="388"/>
        <v>0</v>
      </c>
      <c r="CV533">
        <f t="shared" si="389"/>
        <v>0</v>
      </c>
      <c r="CW533">
        <f t="shared" si="390"/>
        <v>0</v>
      </c>
      <c r="CX533">
        <f t="shared" si="391"/>
        <v>0</v>
      </c>
      <c r="CY533">
        <f t="shared" si="392"/>
        <v>0</v>
      </c>
      <c r="CZ533">
        <f t="shared" si="393"/>
        <v>0</v>
      </c>
      <c r="DC533" t="s">
        <v>3</v>
      </c>
      <c r="DD533" t="s">
        <v>3</v>
      </c>
      <c r="DE533" t="s">
        <v>3</v>
      </c>
      <c r="DF533" t="s">
        <v>3</v>
      </c>
      <c r="DG533" t="s">
        <v>3</v>
      </c>
      <c r="DH533" t="s">
        <v>3</v>
      </c>
      <c r="DI533" t="s">
        <v>3</v>
      </c>
      <c r="DJ533" t="s">
        <v>3</v>
      </c>
      <c r="DK533" t="s">
        <v>3</v>
      </c>
      <c r="DL533" t="s">
        <v>3</v>
      </c>
      <c r="DM533" t="s">
        <v>3</v>
      </c>
      <c r="DN533">
        <v>0</v>
      </c>
      <c r="DO533">
        <v>0</v>
      </c>
      <c r="DP533">
        <v>1</v>
      </c>
      <c r="DQ533">
        <v>1</v>
      </c>
      <c r="DU533">
        <v>1010</v>
      </c>
      <c r="DV533" t="s">
        <v>232</v>
      </c>
      <c r="DW533" t="s">
        <v>232</v>
      </c>
      <c r="DX533">
        <v>1</v>
      </c>
      <c r="EE533">
        <v>67874524</v>
      </c>
      <c r="EF533">
        <v>1</v>
      </c>
      <c r="EG533" t="s">
        <v>20</v>
      </c>
      <c r="EH533">
        <v>0</v>
      </c>
      <c r="EI533" t="s">
        <v>3</v>
      </c>
      <c r="EJ533">
        <v>4</v>
      </c>
      <c r="EK533">
        <v>0</v>
      </c>
      <c r="EL533" t="s">
        <v>21</v>
      </c>
      <c r="EM533" t="s">
        <v>22</v>
      </c>
      <c r="EO533" t="s">
        <v>3</v>
      </c>
      <c r="EQ533">
        <v>1024</v>
      </c>
      <c r="ER533">
        <v>236.53</v>
      </c>
      <c r="ES533">
        <v>236.53</v>
      </c>
      <c r="ET533">
        <v>0</v>
      </c>
      <c r="EU533">
        <v>0</v>
      </c>
      <c r="EV533">
        <v>0</v>
      </c>
      <c r="EW533">
        <v>0</v>
      </c>
      <c r="EX533">
        <v>0</v>
      </c>
      <c r="FQ533">
        <v>0</v>
      </c>
      <c r="FR533">
        <f t="shared" si="394"/>
        <v>0</v>
      </c>
      <c r="FS533">
        <v>0</v>
      </c>
      <c r="FX533">
        <v>70</v>
      </c>
      <c r="FY533">
        <v>10</v>
      </c>
      <c r="GA533" t="s">
        <v>3</v>
      </c>
      <c r="GD533">
        <v>0</v>
      </c>
      <c r="GF533">
        <v>-647538940</v>
      </c>
      <c r="GG533">
        <v>2</v>
      </c>
      <c r="GH533">
        <v>1</v>
      </c>
      <c r="GI533">
        <v>-2</v>
      </c>
      <c r="GJ533">
        <v>0</v>
      </c>
      <c r="GK533">
        <f>ROUND(R533*(R12)/100,2)</f>
        <v>0</v>
      </c>
      <c r="GL533">
        <f t="shared" si="395"/>
        <v>0</v>
      </c>
      <c r="GM533">
        <f t="shared" si="396"/>
        <v>-6859.37</v>
      </c>
      <c r="GN533">
        <f t="shared" si="397"/>
        <v>0</v>
      </c>
      <c r="GO533">
        <f t="shared" si="398"/>
        <v>0</v>
      </c>
      <c r="GP533">
        <f t="shared" si="399"/>
        <v>-6859.37</v>
      </c>
      <c r="GR533">
        <v>0</v>
      </c>
      <c r="GS533">
        <v>3</v>
      </c>
      <c r="GT533">
        <v>0</v>
      </c>
      <c r="GU533" t="s">
        <v>3</v>
      </c>
      <c r="GV533">
        <f t="shared" si="400"/>
        <v>0</v>
      </c>
      <c r="GW533">
        <v>1</v>
      </c>
      <c r="GX533">
        <f t="shared" si="401"/>
        <v>0</v>
      </c>
      <c r="HA533">
        <v>0</v>
      </c>
      <c r="HB533">
        <v>0</v>
      </c>
      <c r="HC533">
        <f t="shared" si="402"/>
        <v>0</v>
      </c>
      <c r="IK533">
        <v>0</v>
      </c>
    </row>
    <row r="534" spans="1:245" x14ac:dyDescent="0.2">
      <c r="A534">
        <v>18</v>
      </c>
      <c r="B534">
        <v>1</v>
      </c>
      <c r="E534" t="s">
        <v>3</v>
      </c>
      <c r="F534" t="s">
        <v>458</v>
      </c>
      <c r="G534" t="s">
        <v>459</v>
      </c>
      <c r="H534" t="s">
        <v>232</v>
      </c>
      <c r="I534">
        <f>I532*J534</f>
        <v>29</v>
      </c>
      <c r="J534">
        <v>10</v>
      </c>
      <c r="O534">
        <f t="shared" ref="O534:O564" si="403">ROUND(CP534,2)</f>
        <v>75855.59</v>
      </c>
      <c r="P534">
        <f t="shared" ref="P534:P564" si="404">ROUND(CQ534*I534,2)</f>
        <v>75855.59</v>
      </c>
      <c r="Q534">
        <f t="shared" ref="Q534:Q564" si="405">ROUND(CR534*I534,2)</f>
        <v>0</v>
      </c>
      <c r="R534">
        <f t="shared" ref="R534:R564" si="406">ROUND(CS534*I534,2)</f>
        <v>0</v>
      </c>
      <c r="S534">
        <f t="shared" ref="S534:S564" si="407">ROUND(CT534*I534,2)</f>
        <v>0</v>
      </c>
      <c r="T534">
        <f t="shared" ref="T534:T564" si="408">ROUND(CU534*I534,2)</f>
        <v>0</v>
      </c>
      <c r="U534">
        <f t="shared" ref="U534:U564" si="409">CV534*I534</f>
        <v>0</v>
      </c>
      <c r="V534">
        <f t="shared" ref="V534:V564" si="410">CW534*I534</f>
        <v>0</v>
      </c>
      <c r="W534">
        <f t="shared" ref="W534:W564" si="411">ROUND(CX534*I534,2)</f>
        <v>0</v>
      </c>
      <c r="X534">
        <f t="shared" ref="X534:X564" si="412">ROUND(CY534,2)</f>
        <v>0</v>
      </c>
      <c r="Y534">
        <f t="shared" ref="Y534:Y564" si="413">ROUND(CZ534,2)</f>
        <v>0</v>
      </c>
      <c r="AA534">
        <v>-1</v>
      </c>
      <c r="AB534">
        <f t="shared" ref="AB534:AB564" si="414">ROUND((AC534+AD534+AF534),6)</f>
        <v>2615.71</v>
      </c>
      <c r="AC534">
        <f t="shared" si="375"/>
        <v>2615.71</v>
      </c>
      <c r="AD534">
        <f t="shared" si="376"/>
        <v>0</v>
      </c>
      <c r="AE534">
        <f t="shared" si="377"/>
        <v>0</v>
      </c>
      <c r="AF534">
        <f t="shared" si="378"/>
        <v>0</v>
      </c>
      <c r="AG534">
        <f t="shared" ref="AG534:AG564" si="415">ROUND((AP534),6)</f>
        <v>0</v>
      </c>
      <c r="AH534">
        <f t="shared" si="380"/>
        <v>0</v>
      </c>
      <c r="AI534">
        <f t="shared" si="381"/>
        <v>0</v>
      </c>
      <c r="AJ534">
        <f t="shared" ref="AJ534:AJ564" si="416">(AS534)</f>
        <v>0</v>
      </c>
      <c r="AK534">
        <v>2615.71</v>
      </c>
      <c r="AL534">
        <v>2615.71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70</v>
      </c>
      <c r="AU534">
        <v>10</v>
      </c>
      <c r="AV534">
        <v>1</v>
      </c>
      <c r="AW534">
        <v>1</v>
      </c>
      <c r="AZ534">
        <v>1</v>
      </c>
      <c r="BA534">
        <v>1</v>
      </c>
      <c r="BB534">
        <v>1</v>
      </c>
      <c r="BC534">
        <v>1</v>
      </c>
      <c r="BD534" t="s">
        <v>3</v>
      </c>
      <c r="BE534" t="s">
        <v>3</v>
      </c>
      <c r="BF534" t="s">
        <v>3</v>
      </c>
      <c r="BG534" t="s">
        <v>3</v>
      </c>
      <c r="BH534">
        <v>3</v>
      </c>
      <c r="BI534">
        <v>4</v>
      </c>
      <c r="BJ534" t="s">
        <v>460</v>
      </c>
      <c r="BM534">
        <v>0</v>
      </c>
      <c r="BN534">
        <v>0</v>
      </c>
      <c r="BO534" t="s">
        <v>3</v>
      </c>
      <c r="BP534">
        <v>0</v>
      </c>
      <c r="BQ534">
        <v>1</v>
      </c>
      <c r="BR534">
        <v>0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 t="s">
        <v>3</v>
      </c>
      <c r="BZ534">
        <v>70</v>
      </c>
      <c r="CA534">
        <v>10</v>
      </c>
      <c r="CE534">
        <v>0</v>
      </c>
      <c r="CF534">
        <v>0</v>
      </c>
      <c r="CG534">
        <v>0</v>
      </c>
      <c r="CM534">
        <v>0</v>
      </c>
      <c r="CN534" t="s">
        <v>3</v>
      </c>
      <c r="CO534">
        <v>0</v>
      </c>
      <c r="CP534">
        <f t="shared" ref="CP534:CP564" si="417">(P534+Q534+S534)</f>
        <v>75855.59</v>
      </c>
      <c r="CQ534">
        <f t="shared" ref="CQ534:CQ564" si="418">(AC534*BC534*AW534)</f>
        <v>2615.71</v>
      </c>
      <c r="CR534">
        <f t="shared" si="385"/>
        <v>0</v>
      </c>
      <c r="CS534">
        <f t="shared" ref="CS534:CS564" si="419">(AE534*BS534*AV534)</f>
        <v>0</v>
      </c>
      <c r="CT534">
        <f t="shared" ref="CT534:CT564" si="420">(AF534*BA534*AV534)</f>
        <v>0</v>
      </c>
      <c r="CU534">
        <f t="shared" ref="CU534:CU564" si="421">AG534</f>
        <v>0</v>
      </c>
      <c r="CV534">
        <f t="shared" ref="CV534:CV564" si="422">(AH534*AV534)</f>
        <v>0</v>
      </c>
      <c r="CW534">
        <f t="shared" ref="CW534:CW564" si="423">AI534</f>
        <v>0</v>
      </c>
      <c r="CX534">
        <f t="shared" ref="CX534:CX564" si="424">AJ534</f>
        <v>0</v>
      </c>
      <c r="CY534">
        <f t="shared" ref="CY534:CY564" si="425">((S534*BZ534)/100)</f>
        <v>0</v>
      </c>
      <c r="CZ534">
        <f t="shared" ref="CZ534:CZ564" si="426">((S534*CA534)/100)</f>
        <v>0</v>
      </c>
      <c r="DC534" t="s">
        <v>3</v>
      </c>
      <c r="DD534" t="s">
        <v>3</v>
      </c>
      <c r="DE534" t="s">
        <v>3</v>
      </c>
      <c r="DF534" t="s">
        <v>3</v>
      </c>
      <c r="DG534" t="s">
        <v>3</v>
      </c>
      <c r="DH534" t="s">
        <v>3</v>
      </c>
      <c r="DI534" t="s">
        <v>3</v>
      </c>
      <c r="DJ534" t="s">
        <v>3</v>
      </c>
      <c r="DK534" t="s">
        <v>3</v>
      </c>
      <c r="DL534" t="s">
        <v>3</v>
      </c>
      <c r="DM534" t="s">
        <v>3</v>
      </c>
      <c r="DN534">
        <v>0</v>
      </c>
      <c r="DO534">
        <v>0</v>
      </c>
      <c r="DP534">
        <v>1</v>
      </c>
      <c r="DQ534">
        <v>1</v>
      </c>
      <c r="DU534">
        <v>1010</v>
      </c>
      <c r="DV534" t="s">
        <v>232</v>
      </c>
      <c r="DW534" t="s">
        <v>232</v>
      </c>
      <c r="DX534">
        <v>1</v>
      </c>
      <c r="EE534">
        <v>67874524</v>
      </c>
      <c r="EF534">
        <v>1</v>
      </c>
      <c r="EG534" t="s">
        <v>20</v>
      </c>
      <c r="EH534">
        <v>0</v>
      </c>
      <c r="EI534" t="s">
        <v>3</v>
      </c>
      <c r="EJ534">
        <v>4</v>
      </c>
      <c r="EK534">
        <v>0</v>
      </c>
      <c r="EL534" t="s">
        <v>21</v>
      </c>
      <c r="EM534" t="s">
        <v>22</v>
      </c>
      <c r="EO534" t="s">
        <v>3</v>
      </c>
      <c r="EQ534">
        <v>1024</v>
      </c>
      <c r="ER534">
        <v>2615.71</v>
      </c>
      <c r="ES534">
        <v>2615.71</v>
      </c>
      <c r="ET534">
        <v>0</v>
      </c>
      <c r="EU534">
        <v>0</v>
      </c>
      <c r="EV534">
        <v>0</v>
      </c>
      <c r="EW534">
        <v>0</v>
      </c>
      <c r="EX534">
        <v>0</v>
      </c>
      <c r="FQ534">
        <v>0</v>
      </c>
      <c r="FR534">
        <f t="shared" ref="FR534:FR564" si="427">ROUND(IF(AND(BH534=3,BI534=3),P534,0),2)</f>
        <v>0</v>
      </c>
      <c r="FS534">
        <v>0</v>
      </c>
      <c r="FX534">
        <v>70</v>
      </c>
      <c r="FY534">
        <v>10</v>
      </c>
      <c r="GA534" t="s">
        <v>3</v>
      </c>
      <c r="GD534">
        <v>0</v>
      </c>
      <c r="GF534">
        <v>978363008</v>
      </c>
      <c r="GG534">
        <v>2</v>
      </c>
      <c r="GH534">
        <v>1</v>
      </c>
      <c r="GI534">
        <v>-2</v>
      </c>
      <c r="GJ534">
        <v>0</v>
      </c>
      <c r="GK534">
        <f>ROUND(R534*(R12)/100,2)</f>
        <v>0</v>
      </c>
      <c r="GL534">
        <f t="shared" ref="GL534:GL564" si="428">ROUND(IF(AND(BH534=3,BI534=3,FS534&lt;&gt;0),P534,0),2)</f>
        <v>0</v>
      </c>
      <c r="GM534">
        <f t="shared" ref="GM534:GM564" si="429">ROUND(O534+X534+Y534+GK534,2)+GX534</f>
        <v>75855.59</v>
      </c>
      <c r="GN534">
        <f t="shared" ref="GN534:GN564" si="430">IF(OR(BI534=0,BI534=1),ROUND(O534+X534+Y534+GK534,2),0)</f>
        <v>0</v>
      </c>
      <c r="GO534">
        <f t="shared" ref="GO534:GO564" si="431">IF(BI534=2,ROUND(O534+X534+Y534+GK534,2),0)</f>
        <v>0</v>
      </c>
      <c r="GP534">
        <f t="shared" ref="GP534:GP564" si="432">IF(BI534=4,ROUND(O534+X534+Y534+GK534,2)+GX534,0)</f>
        <v>75855.59</v>
      </c>
      <c r="GR534">
        <v>0</v>
      </c>
      <c r="GS534">
        <v>3</v>
      </c>
      <c r="GT534">
        <v>0</v>
      </c>
      <c r="GU534" t="s">
        <v>3</v>
      </c>
      <c r="GV534">
        <f t="shared" ref="GV534:GV564" si="433">ROUND((GT534),6)</f>
        <v>0</v>
      </c>
      <c r="GW534">
        <v>1</v>
      </c>
      <c r="GX534">
        <f t="shared" ref="GX534:GX564" si="434">ROUND(HC534*I534,2)</f>
        <v>0</v>
      </c>
      <c r="HA534">
        <v>0</v>
      </c>
      <c r="HB534">
        <v>0</v>
      </c>
      <c r="HC534">
        <f t="shared" ref="HC534:HC564" si="435">GV534*GW534</f>
        <v>0</v>
      </c>
      <c r="IK534">
        <v>0</v>
      </c>
    </row>
    <row r="535" spans="1:245" x14ac:dyDescent="0.2">
      <c r="A535">
        <v>17</v>
      </c>
      <c r="B535">
        <v>1</v>
      </c>
      <c r="D535">
        <f>ROW(EtalonRes!A439)</f>
        <v>439</v>
      </c>
      <c r="E535" t="s">
        <v>3</v>
      </c>
      <c r="F535" t="s">
        <v>461</v>
      </c>
      <c r="G535" t="s">
        <v>462</v>
      </c>
      <c r="H535" t="s">
        <v>222</v>
      </c>
      <c r="I535">
        <f>ROUND(3/100,9)</f>
        <v>0.03</v>
      </c>
      <c r="J535">
        <v>0</v>
      </c>
      <c r="O535">
        <f t="shared" si="403"/>
        <v>936.43</v>
      </c>
      <c r="P535">
        <f t="shared" si="404"/>
        <v>381.63</v>
      </c>
      <c r="Q535">
        <f t="shared" si="405"/>
        <v>0</v>
      </c>
      <c r="R535">
        <f t="shared" si="406"/>
        <v>0</v>
      </c>
      <c r="S535">
        <f t="shared" si="407"/>
        <v>554.79999999999995</v>
      </c>
      <c r="T535">
        <f t="shared" si="408"/>
        <v>0</v>
      </c>
      <c r="U535">
        <f t="shared" si="409"/>
        <v>2.3804999999999996</v>
      </c>
      <c r="V535">
        <f t="shared" si="410"/>
        <v>0</v>
      </c>
      <c r="W535">
        <f t="shared" si="411"/>
        <v>0</v>
      </c>
      <c r="X535">
        <f t="shared" si="412"/>
        <v>388.36</v>
      </c>
      <c r="Y535">
        <f t="shared" si="413"/>
        <v>55.48</v>
      </c>
      <c r="AA535">
        <v>-1</v>
      </c>
      <c r="AB535">
        <f t="shared" si="414"/>
        <v>31214.31</v>
      </c>
      <c r="AC535">
        <f t="shared" si="375"/>
        <v>12721</v>
      </c>
      <c r="AD535">
        <f t="shared" si="376"/>
        <v>0</v>
      </c>
      <c r="AE535">
        <f t="shared" si="377"/>
        <v>0</v>
      </c>
      <c r="AF535">
        <f t="shared" si="378"/>
        <v>18493.310000000001</v>
      </c>
      <c r="AG535">
        <f t="shared" si="415"/>
        <v>0</v>
      </c>
      <c r="AH535">
        <f t="shared" si="380"/>
        <v>79.349999999999994</v>
      </c>
      <c r="AI535">
        <f t="shared" si="381"/>
        <v>0</v>
      </c>
      <c r="AJ535">
        <f t="shared" si="416"/>
        <v>0</v>
      </c>
      <c r="AK535">
        <v>31214.31</v>
      </c>
      <c r="AL535">
        <v>12721</v>
      </c>
      <c r="AM535">
        <v>0</v>
      </c>
      <c r="AN535">
        <v>0</v>
      </c>
      <c r="AO535">
        <v>18493.310000000001</v>
      </c>
      <c r="AP535">
        <v>0</v>
      </c>
      <c r="AQ535">
        <v>79.349999999999994</v>
      </c>
      <c r="AR535">
        <v>0</v>
      </c>
      <c r="AS535">
        <v>0</v>
      </c>
      <c r="AT535">
        <v>70</v>
      </c>
      <c r="AU535">
        <v>10</v>
      </c>
      <c r="AV535">
        <v>1</v>
      </c>
      <c r="AW535">
        <v>1</v>
      </c>
      <c r="AZ535">
        <v>1</v>
      </c>
      <c r="BA535">
        <v>1</v>
      </c>
      <c r="BB535">
        <v>1</v>
      </c>
      <c r="BC535">
        <v>1</v>
      </c>
      <c r="BD535" t="s">
        <v>3</v>
      </c>
      <c r="BE535" t="s">
        <v>3</v>
      </c>
      <c r="BF535" t="s">
        <v>3</v>
      </c>
      <c r="BG535" t="s">
        <v>3</v>
      </c>
      <c r="BH535">
        <v>0</v>
      </c>
      <c r="BI535">
        <v>4</v>
      </c>
      <c r="BJ535" t="s">
        <v>463</v>
      </c>
      <c r="BM535">
        <v>0</v>
      </c>
      <c r="BN535">
        <v>0</v>
      </c>
      <c r="BO535" t="s">
        <v>3</v>
      </c>
      <c r="BP535">
        <v>0</v>
      </c>
      <c r="BQ535">
        <v>1</v>
      </c>
      <c r="BR535">
        <v>0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 t="s">
        <v>3</v>
      </c>
      <c r="BZ535">
        <v>70</v>
      </c>
      <c r="CA535">
        <v>10</v>
      </c>
      <c r="CE535">
        <v>0</v>
      </c>
      <c r="CF535">
        <v>0</v>
      </c>
      <c r="CG535">
        <v>0</v>
      </c>
      <c r="CM535">
        <v>0</v>
      </c>
      <c r="CN535" t="s">
        <v>3</v>
      </c>
      <c r="CO535">
        <v>0</v>
      </c>
      <c r="CP535">
        <f t="shared" si="417"/>
        <v>936.43</v>
      </c>
      <c r="CQ535">
        <f t="shared" si="418"/>
        <v>12721</v>
      </c>
      <c r="CR535">
        <f t="shared" si="385"/>
        <v>0</v>
      </c>
      <c r="CS535">
        <f t="shared" si="419"/>
        <v>0</v>
      </c>
      <c r="CT535">
        <f t="shared" si="420"/>
        <v>18493.310000000001</v>
      </c>
      <c r="CU535">
        <f t="shared" si="421"/>
        <v>0</v>
      </c>
      <c r="CV535">
        <f t="shared" si="422"/>
        <v>79.349999999999994</v>
      </c>
      <c r="CW535">
        <f t="shared" si="423"/>
        <v>0</v>
      </c>
      <c r="CX535">
        <f t="shared" si="424"/>
        <v>0</v>
      </c>
      <c r="CY535">
        <f t="shared" si="425"/>
        <v>388.36</v>
      </c>
      <c r="CZ535">
        <f t="shared" si="426"/>
        <v>55.48</v>
      </c>
      <c r="DC535" t="s">
        <v>3</v>
      </c>
      <c r="DD535" t="s">
        <v>3</v>
      </c>
      <c r="DE535" t="s">
        <v>3</v>
      </c>
      <c r="DF535" t="s">
        <v>3</v>
      </c>
      <c r="DG535" t="s">
        <v>3</v>
      </c>
      <c r="DH535" t="s">
        <v>3</v>
      </c>
      <c r="DI535" t="s">
        <v>3</v>
      </c>
      <c r="DJ535" t="s">
        <v>3</v>
      </c>
      <c r="DK535" t="s">
        <v>3</v>
      </c>
      <c r="DL535" t="s">
        <v>3</v>
      </c>
      <c r="DM535" t="s">
        <v>3</v>
      </c>
      <c r="DN535">
        <v>0</v>
      </c>
      <c r="DO535">
        <v>0</v>
      </c>
      <c r="DP535">
        <v>1</v>
      </c>
      <c r="DQ535">
        <v>1</v>
      </c>
      <c r="DU535">
        <v>1010</v>
      </c>
      <c r="DV535" t="s">
        <v>222</v>
      </c>
      <c r="DW535" t="s">
        <v>222</v>
      </c>
      <c r="DX535">
        <v>100</v>
      </c>
      <c r="EE535">
        <v>67874524</v>
      </c>
      <c r="EF535">
        <v>1</v>
      </c>
      <c r="EG535" t="s">
        <v>20</v>
      </c>
      <c r="EH535">
        <v>0</v>
      </c>
      <c r="EI535" t="s">
        <v>3</v>
      </c>
      <c r="EJ535">
        <v>4</v>
      </c>
      <c r="EK535">
        <v>0</v>
      </c>
      <c r="EL535" t="s">
        <v>21</v>
      </c>
      <c r="EM535" t="s">
        <v>22</v>
      </c>
      <c r="EO535" t="s">
        <v>3</v>
      </c>
      <c r="EQ535">
        <v>132096</v>
      </c>
      <c r="ER535">
        <v>31214.31</v>
      </c>
      <c r="ES535">
        <v>12721</v>
      </c>
      <c r="ET535">
        <v>0</v>
      </c>
      <c r="EU535">
        <v>0</v>
      </c>
      <c r="EV535">
        <v>18493.310000000001</v>
      </c>
      <c r="EW535">
        <v>79.349999999999994</v>
      </c>
      <c r="EX535">
        <v>0</v>
      </c>
      <c r="EY535">
        <v>0</v>
      </c>
      <c r="FQ535">
        <v>0</v>
      </c>
      <c r="FR535">
        <f t="shared" si="427"/>
        <v>0</v>
      </c>
      <c r="FS535">
        <v>0</v>
      </c>
      <c r="FX535">
        <v>70</v>
      </c>
      <c r="FY535">
        <v>10</v>
      </c>
      <c r="GA535" t="s">
        <v>3</v>
      </c>
      <c r="GD535">
        <v>0</v>
      </c>
      <c r="GF535">
        <v>-413662657</v>
      </c>
      <c r="GG535">
        <v>2</v>
      </c>
      <c r="GH535">
        <v>1</v>
      </c>
      <c r="GI535">
        <v>-2</v>
      </c>
      <c r="GJ535">
        <v>0</v>
      </c>
      <c r="GK535">
        <f>ROUND(R535*(R12)/100,2)</f>
        <v>0</v>
      </c>
      <c r="GL535">
        <f t="shared" si="428"/>
        <v>0</v>
      </c>
      <c r="GM535">
        <f t="shared" si="429"/>
        <v>1380.27</v>
      </c>
      <c r="GN535">
        <f t="shared" si="430"/>
        <v>0</v>
      </c>
      <c r="GO535">
        <f t="shared" si="431"/>
        <v>0</v>
      </c>
      <c r="GP535">
        <f t="shared" si="432"/>
        <v>1380.27</v>
      </c>
      <c r="GR535">
        <v>0</v>
      </c>
      <c r="GS535">
        <v>3</v>
      </c>
      <c r="GT535">
        <v>0</v>
      </c>
      <c r="GU535" t="s">
        <v>3</v>
      </c>
      <c r="GV535">
        <f t="shared" si="433"/>
        <v>0</v>
      </c>
      <c r="GW535">
        <v>1</v>
      </c>
      <c r="GX535">
        <f t="shared" si="434"/>
        <v>0</v>
      </c>
      <c r="HA535">
        <v>0</v>
      </c>
      <c r="HB535">
        <v>0</v>
      </c>
      <c r="HC535">
        <f t="shared" si="435"/>
        <v>0</v>
      </c>
      <c r="IK535">
        <v>0</v>
      </c>
    </row>
    <row r="536" spans="1:245" x14ac:dyDescent="0.2">
      <c r="A536">
        <v>18</v>
      </c>
      <c r="B536">
        <v>1</v>
      </c>
      <c r="E536" t="s">
        <v>3</v>
      </c>
      <c r="F536" t="s">
        <v>140</v>
      </c>
      <c r="G536" t="s">
        <v>464</v>
      </c>
      <c r="H536" t="s">
        <v>232</v>
      </c>
      <c r="I536">
        <f>I535*J536</f>
        <v>3</v>
      </c>
      <c r="J536">
        <v>100</v>
      </c>
      <c r="O536">
        <f t="shared" si="403"/>
        <v>7573.5</v>
      </c>
      <c r="P536">
        <f t="shared" si="404"/>
        <v>7573.5</v>
      </c>
      <c r="Q536">
        <f t="shared" si="405"/>
        <v>0</v>
      </c>
      <c r="R536">
        <f t="shared" si="406"/>
        <v>0</v>
      </c>
      <c r="S536">
        <f t="shared" si="407"/>
        <v>0</v>
      </c>
      <c r="T536">
        <f t="shared" si="408"/>
        <v>0</v>
      </c>
      <c r="U536">
        <f t="shared" si="409"/>
        <v>0</v>
      </c>
      <c r="V536">
        <f t="shared" si="410"/>
        <v>0</v>
      </c>
      <c r="W536">
        <f t="shared" si="411"/>
        <v>0</v>
      </c>
      <c r="X536">
        <f t="shared" si="412"/>
        <v>0</v>
      </c>
      <c r="Y536">
        <f t="shared" si="413"/>
        <v>0</v>
      </c>
      <c r="AA536">
        <v>-1</v>
      </c>
      <c r="AB536">
        <f t="shared" si="414"/>
        <v>2524.5</v>
      </c>
      <c r="AC536">
        <f t="shared" si="375"/>
        <v>2524.5</v>
      </c>
      <c r="AD536">
        <f t="shared" si="376"/>
        <v>0</v>
      </c>
      <c r="AE536">
        <f t="shared" si="377"/>
        <v>0</v>
      </c>
      <c r="AF536">
        <f t="shared" si="378"/>
        <v>0</v>
      </c>
      <c r="AG536">
        <f t="shared" si="415"/>
        <v>0</v>
      </c>
      <c r="AH536">
        <f t="shared" si="380"/>
        <v>0</v>
      </c>
      <c r="AI536">
        <f t="shared" si="381"/>
        <v>0</v>
      </c>
      <c r="AJ536">
        <f t="shared" si="416"/>
        <v>0</v>
      </c>
      <c r="AK536">
        <v>2524.5</v>
      </c>
      <c r="AL536">
        <v>2524.5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70</v>
      </c>
      <c r="AU536">
        <v>10</v>
      </c>
      <c r="AV536">
        <v>1</v>
      </c>
      <c r="AW536">
        <v>1</v>
      </c>
      <c r="AZ536">
        <v>1</v>
      </c>
      <c r="BA536">
        <v>1</v>
      </c>
      <c r="BB536">
        <v>1</v>
      </c>
      <c r="BC536">
        <v>1</v>
      </c>
      <c r="BD536" t="s">
        <v>3</v>
      </c>
      <c r="BE536" t="s">
        <v>3</v>
      </c>
      <c r="BF536" t="s">
        <v>3</v>
      </c>
      <c r="BG536" t="s">
        <v>3</v>
      </c>
      <c r="BH536">
        <v>3</v>
      </c>
      <c r="BI536">
        <v>4</v>
      </c>
      <c r="BJ536" t="s">
        <v>3</v>
      </c>
      <c r="BM536">
        <v>0</v>
      </c>
      <c r="BN536">
        <v>0</v>
      </c>
      <c r="BO536" t="s">
        <v>3</v>
      </c>
      <c r="BP536">
        <v>0</v>
      </c>
      <c r="BQ536">
        <v>1</v>
      </c>
      <c r="BR536">
        <v>0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 t="s">
        <v>3</v>
      </c>
      <c r="BZ536">
        <v>70</v>
      </c>
      <c r="CA536">
        <v>10</v>
      </c>
      <c r="CE536">
        <v>0</v>
      </c>
      <c r="CF536">
        <v>0</v>
      </c>
      <c r="CG536">
        <v>0</v>
      </c>
      <c r="CM536">
        <v>0</v>
      </c>
      <c r="CN536" t="s">
        <v>3</v>
      </c>
      <c r="CO536">
        <v>0</v>
      </c>
      <c r="CP536">
        <f t="shared" si="417"/>
        <v>7573.5</v>
      </c>
      <c r="CQ536">
        <f t="shared" si="418"/>
        <v>2524.5</v>
      </c>
      <c r="CR536">
        <f t="shared" si="385"/>
        <v>0</v>
      </c>
      <c r="CS536">
        <f t="shared" si="419"/>
        <v>0</v>
      </c>
      <c r="CT536">
        <f t="shared" si="420"/>
        <v>0</v>
      </c>
      <c r="CU536">
        <f t="shared" si="421"/>
        <v>0</v>
      </c>
      <c r="CV536">
        <f t="shared" si="422"/>
        <v>0</v>
      </c>
      <c r="CW536">
        <f t="shared" si="423"/>
        <v>0</v>
      </c>
      <c r="CX536">
        <f t="shared" si="424"/>
        <v>0</v>
      </c>
      <c r="CY536">
        <f t="shared" si="425"/>
        <v>0</v>
      </c>
      <c r="CZ536">
        <f t="shared" si="426"/>
        <v>0</v>
      </c>
      <c r="DC536" t="s">
        <v>3</v>
      </c>
      <c r="DD536" t="s">
        <v>3</v>
      </c>
      <c r="DE536" t="s">
        <v>3</v>
      </c>
      <c r="DF536" t="s">
        <v>3</v>
      </c>
      <c r="DG536" t="s">
        <v>3</v>
      </c>
      <c r="DH536" t="s">
        <v>3</v>
      </c>
      <c r="DI536" t="s">
        <v>3</v>
      </c>
      <c r="DJ536" t="s">
        <v>3</v>
      </c>
      <c r="DK536" t="s">
        <v>3</v>
      </c>
      <c r="DL536" t="s">
        <v>3</v>
      </c>
      <c r="DM536" t="s">
        <v>3</v>
      </c>
      <c r="DN536">
        <v>0</v>
      </c>
      <c r="DO536">
        <v>0</v>
      </c>
      <c r="DP536">
        <v>1</v>
      </c>
      <c r="DQ536">
        <v>1</v>
      </c>
      <c r="DU536">
        <v>1010</v>
      </c>
      <c r="DV536" t="s">
        <v>232</v>
      </c>
      <c r="DW536" t="s">
        <v>232</v>
      </c>
      <c r="DX536">
        <v>1</v>
      </c>
      <c r="EE536">
        <v>67874524</v>
      </c>
      <c r="EF536">
        <v>1</v>
      </c>
      <c r="EG536" t="s">
        <v>20</v>
      </c>
      <c r="EH536">
        <v>0</v>
      </c>
      <c r="EI536" t="s">
        <v>3</v>
      </c>
      <c r="EJ536">
        <v>4</v>
      </c>
      <c r="EK536">
        <v>0</v>
      </c>
      <c r="EL536" t="s">
        <v>21</v>
      </c>
      <c r="EM536" t="s">
        <v>22</v>
      </c>
      <c r="EO536" t="s">
        <v>3</v>
      </c>
      <c r="EQ536">
        <v>1024</v>
      </c>
      <c r="ER536">
        <v>2524.5</v>
      </c>
      <c r="ES536">
        <v>2524.5</v>
      </c>
      <c r="ET536">
        <v>0</v>
      </c>
      <c r="EU536">
        <v>0</v>
      </c>
      <c r="EV536">
        <v>0</v>
      </c>
      <c r="EW536">
        <v>0</v>
      </c>
      <c r="EX536">
        <v>0</v>
      </c>
      <c r="FQ536">
        <v>0</v>
      </c>
      <c r="FR536">
        <f t="shared" si="427"/>
        <v>0</v>
      </c>
      <c r="FS536">
        <v>0</v>
      </c>
      <c r="FX536">
        <v>70</v>
      </c>
      <c r="FY536">
        <v>10</v>
      </c>
      <c r="GA536" t="s">
        <v>3</v>
      </c>
      <c r="GD536">
        <v>0</v>
      </c>
      <c r="GF536">
        <v>-2082478269</v>
      </c>
      <c r="GG536">
        <v>2</v>
      </c>
      <c r="GH536">
        <v>0</v>
      </c>
      <c r="GI536">
        <v>-2</v>
      </c>
      <c r="GJ536">
        <v>0</v>
      </c>
      <c r="GK536">
        <f>ROUND(R536*(R12)/100,2)</f>
        <v>0</v>
      </c>
      <c r="GL536">
        <f t="shared" si="428"/>
        <v>0</v>
      </c>
      <c r="GM536">
        <f t="shared" si="429"/>
        <v>7573.5</v>
      </c>
      <c r="GN536">
        <f t="shared" si="430"/>
        <v>0</v>
      </c>
      <c r="GO536">
        <f t="shared" si="431"/>
        <v>0</v>
      </c>
      <c r="GP536">
        <f t="shared" si="432"/>
        <v>7573.5</v>
      </c>
      <c r="GR536">
        <v>0</v>
      </c>
      <c r="GS536">
        <v>0</v>
      </c>
      <c r="GT536">
        <v>0</v>
      </c>
      <c r="GU536" t="s">
        <v>3</v>
      </c>
      <c r="GV536">
        <f t="shared" si="433"/>
        <v>0</v>
      </c>
      <c r="GW536">
        <v>1</v>
      </c>
      <c r="GX536">
        <f t="shared" si="434"/>
        <v>0</v>
      </c>
      <c r="HA536">
        <v>0</v>
      </c>
      <c r="HB536">
        <v>0</v>
      </c>
      <c r="HC536">
        <f t="shared" si="435"/>
        <v>0</v>
      </c>
      <c r="IK536">
        <v>0</v>
      </c>
    </row>
    <row r="537" spans="1:245" x14ac:dyDescent="0.2">
      <c r="A537">
        <v>17</v>
      </c>
      <c r="B537">
        <v>1</v>
      </c>
      <c r="D537">
        <f>ROW(EtalonRes!A451)</f>
        <v>451</v>
      </c>
      <c r="E537" t="s">
        <v>3</v>
      </c>
      <c r="F537" t="s">
        <v>465</v>
      </c>
      <c r="G537" t="s">
        <v>466</v>
      </c>
      <c r="H537" t="s">
        <v>35</v>
      </c>
      <c r="I537">
        <f>ROUND(1.7*5*0.004*7.85,9)</f>
        <v>0.26690000000000003</v>
      </c>
      <c r="J537">
        <v>0</v>
      </c>
      <c r="O537">
        <f t="shared" si="403"/>
        <v>26643.52</v>
      </c>
      <c r="P537">
        <f t="shared" si="404"/>
        <v>11921.41</v>
      </c>
      <c r="Q537">
        <f t="shared" si="405"/>
        <v>2005.75</v>
      </c>
      <c r="R537">
        <f t="shared" si="406"/>
        <v>849.18</v>
      </c>
      <c r="S537">
        <f t="shared" si="407"/>
        <v>12716.36</v>
      </c>
      <c r="T537">
        <f t="shared" si="408"/>
        <v>0</v>
      </c>
      <c r="U537">
        <f t="shared" si="409"/>
        <v>49.416535000000003</v>
      </c>
      <c r="V537">
        <f t="shared" si="410"/>
        <v>0</v>
      </c>
      <c r="W537">
        <f t="shared" si="411"/>
        <v>0</v>
      </c>
      <c r="X537">
        <f t="shared" si="412"/>
        <v>8901.4500000000007</v>
      </c>
      <c r="Y537">
        <f t="shared" si="413"/>
        <v>1271.6400000000001</v>
      </c>
      <c r="AA537">
        <v>-1</v>
      </c>
      <c r="AB537">
        <f t="shared" si="414"/>
        <v>99825.84</v>
      </c>
      <c r="AC537">
        <f t="shared" si="375"/>
        <v>44666.2</v>
      </c>
      <c r="AD537">
        <f t="shared" si="376"/>
        <v>7514.99</v>
      </c>
      <c r="AE537">
        <f t="shared" si="377"/>
        <v>3181.64</v>
      </c>
      <c r="AF537">
        <f t="shared" si="378"/>
        <v>47644.65</v>
      </c>
      <c r="AG537">
        <f t="shared" si="415"/>
        <v>0</v>
      </c>
      <c r="AH537">
        <f t="shared" si="380"/>
        <v>185.15</v>
      </c>
      <c r="AI537">
        <f t="shared" si="381"/>
        <v>0</v>
      </c>
      <c r="AJ537">
        <f t="shared" si="416"/>
        <v>0</v>
      </c>
      <c r="AK537">
        <v>99825.84</v>
      </c>
      <c r="AL537">
        <v>44666.2</v>
      </c>
      <c r="AM537">
        <v>7514.99</v>
      </c>
      <c r="AN537">
        <v>3181.64</v>
      </c>
      <c r="AO537">
        <v>47644.65</v>
      </c>
      <c r="AP537">
        <v>0</v>
      </c>
      <c r="AQ537">
        <v>185.15</v>
      </c>
      <c r="AR537">
        <v>0</v>
      </c>
      <c r="AS537">
        <v>0</v>
      </c>
      <c r="AT537">
        <v>70</v>
      </c>
      <c r="AU537">
        <v>10</v>
      </c>
      <c r="AV537">
        <v>1</v>
      </c>
      <c r="AW537">
        <v>1</v>
      </c>
      <c r="AZ537">
        <v>1</v>
      </c>
      <c r="BA537">
        <v>1</v>
      </c>
      <c r="BB537">
        <v>1</v>
      </c>
      <c r="BC537">
        <v>1</v>
      </c>
      <c r="BD537" t="s">
        <v>3</v>
      </c>
      <c r="BE537" t="s">
        <v>3</v>
      </c>
      <c r="BF537" t="s">
        <v>3</v>
      </c>
      <c r="BG537" t="s">
        <v>3</v>
      </c>
      <c r="BH537">
        <v>0</v>
      </c>
      <c r="BI537">
        <v>4</v>
      </c>
      <c r="BJ537" t="s">
        <v>467</v>
      </c>
      <c r="BM537">
        <v>0</v>
      </c>
      <c r="BN537">
        <v>0</v>
      </c>
      <c r="BO537" t="s">
        <v>3</v>
      </c>
      <c r="BP537">
        <v>0</v>
      </c>
      <c r="BQ537">
        <v>1</v>
      </c>
      <c r="BR537">
        <v>0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 t="s">
        <v>3</v>
      </c>
      <c r="BZ537">
        <v>70</v>
      </c>
      <c r="CA537">
        <v>10</v>
      </c>
      <c r="CE537">
        <v>0</v>
      </c>
      <c r="CF537">
        <v>0</v>
      </c>
      <c r="CG537">
        <v>0</v>
      </c>
      <c r="CM537">
        <v>0</v>
      </c>
      <c r="CN537" t="s">
        <v>3</v>
      </c>
      <c r="CO537">
        <v>0</v>
      </c>
      <c r="CP537">
        <f t="shared" si="417"/>
        <v>26643.52</v>
      </c>
      <c r="CQ537">
        <f t="shared" si="418"/>
        <v>44666.2</v>
      </c>
      <c r="CR537">
        <f t="shared" si="385"/>
        <v>7514.99</v>
      </c>
      <c r="CS537">
        <f t="shared" si="419"/>
        <v>3181.64</v>
      </c>
      <c r="CT537">
        <f t="shared" si="420"/>
        <v>47644.65</v>
      </c>
      <c r="CU537">
        <f t="shared" si="421"/>
        <v>0</v>
      </c>
      <c r="CV537">
        <f t="shared" si="422"/>
        <v>185.15</v>
      </c>
      <c r="CW537">
        <f t="shared" si="423"/>
        <v>0</v>
      </c>
      <c r="CX537">
        <f t="shared" si="424"/>
        <v>0</v>
      </c>
      <c r="CY537">
        <f t="shared" si="425"/>
        <v>8901.4520000000011</v>
      </c>
      <c r="CZ537">
        <f t="shared" si="426"/>
        <v>1271.636</v>
      </c>
      <c r="DC537" t="s">
        <v>3</v>
      </c>
      <c r="DD537" t="s">
        <v>3</v>
      </c>
      <c r="DE537" t="s">
        <v>3</v>
      </c>
      <c r="DF537" t="s">
        <v>3</v>
      </c>
      <c r="DG537" t="s">
        <v>3</v>
      </c>
      <c r="DH537" t="s">
        <v>3</v>
      </c>
      <c r="DI537" t="s">
        <v>3</v>
      </c>
      <c r="DJ537" t="s">
        <v>3</v>
      </c>
      <c r="DK537" t="s">
        <v>3</v>
      </c>
      <c r="DL537" t="s">
        <v>3</v>
      </c>
      <c r="DM537" t="s">
        <v>3</v>
      </c>
      <c r="DN537">
        <v>0</v>
      </c>
      <c r="DO537">
        <v>0</v>
      </c>
      <c r="DP537">
        <v>1</v>
      </c>
      <c r="DQ537">
        <v>1</v>
      </c>
      <c r="DU537">
        <v>1009</v>
      </c>
      <c r="DV537" t="s">
        <v>35</v>
      </c>
      <c r="DW537" t="s">
        <v>35</v>
      </c>
      <c r="DX537">
        <v>1000</v>
      </c>
      <c r="EE537">
        <v>67874524</v>
      </c>
      <c r="EF537">
        <v>1</v>
      </c>
      <c r="EG537" t="s">
        <v>20</v>
      </c>
      <c r="EH537">
        <v>0</v>
      </c>
      <c r="EI537" t="s">
        <v>3</v>
      </c>
      <c r="EJ537">
        <v>4</v>
      </c>
      <c r="EK537">
        <v>0</v>
      </c>
      <c r="EL537" t="s">
        <v>21</v>
      </c>
      <c r="EM537" t="s">
        <v>22</v>
      </c>
      <c r="EO537" t="s">
        <v>3</v>
      </c>
      <c r="EQ537">
        <v>132096</v>
      </c>
      <c r="ER537">
        <v>99825.84</v>
      </c>
      <c r="ES537">
        <v>44666.2</v>
      </c>
      <c r="ET537">
        <v>7514.99</v>
      </c>
      <c r="EU537">
        <v>3181.64</v>
      </c>
      <c r="EV537">
        <v>47644.65</v>
      </c>
      <c r="EW537">
        <v>185.15</v>
      </c>
      <c r="EX537">
        <v>0</v>
      </c>
      <c r="EY537">
        <v>0</v>
      </c>
      <c r="FQ537">
        <v>0</v>
      </c>
      <c r="FR537">
        <f t="shared" si="427"/>
        <v>0</v>
      </c>
      <c r="FS537">
        <v>0</v>
      </c>
      <c r="FX537">
        <v>70</v>
      </c>
      <c r="FY537">
        <v>10</v>
      </c>
      <c r="GA537" t="s">
        <v>3</v>
      </c>
      <c r="GD537">
        <v>0</v>
      </c>
      <c r="GF537">
        <v>923316497</v>
      </c>
      <c r="GG537">
        <v>2</v>
      </c>
      <c r="GH537">
        <v>1</v>
      </c>
      <c r="GI537">
        <v>-2</v>
      </c>
      <c r="GJ537">
        <v>0</v>
      </c>
      <c r="GK537">
        <f>ROUND(R537*(R12)/100,2)</f>
        <v>917.11</v>
      </c>
      <c r="GL537">
        <f t="shared" si="428"/>
        <v>0</v>
      </c>
      <c r="GM537">
        <f t="shared" si="429"/>
        <v>37733.72</v>
      </c>
      <c r="GN537">
        <f t="shared" si="430"/>
        <v>0</v>
      </c>
      <c r="GO537">
        <f t="shared" si="431"/>
        <v>0</v>
      </c>
      <c r="GP537">
        <f t="shared" si="432"/>
        <v>37733.72</v>
      </c>
      <c r="GR537">
        <v>0</v>
      </c>
      <c r="GS537">
        <v>3</v>
      </c>
      <c r="GT537">
        <v>0</v>
      </c>
      <c r="GU537" t="s">
        <v>3</v>
      </c>
      <c r="GV537">
        <f t="shared" si="433"/>
        <v>0</v>
      </c>
      <c r="GW537">
        <v>1</v>
      </c>
      <c r="GX537">
        <f t="shared" si="434"/>
        <v>0</v>
      </c>
      <c r="HA537">
        <v>0</v>
      </c>
      <c r="HB537">
        <v>0</v>
      </c>
      <c r="HC537">
        <f t="shared" si="435"/>
        <v>0</v>
      </c>
      <c r="IK537">
        <v>0</v>
      </c>
    </row>
    <row r="538" spans="1:245" x14ac:dyDescent="0.2">
      <c r="A538">
        <v>17</v>
      </c>
      <c r="B538">
        <v>1</v>
      </c>
      <c r="D538">
        <f>ROW(EtalonRes!A456)</f>
        <v>456</v>
      </c>
      <c r="E538" t="s">
        <v>3</v>
      </c>
      <c r="F538" t="s">
        <v>112</v>
      </c>
      <c r="G538" t="s">
        <v>213</v>
      </c>
      <c r="H538" t="s">
        <v>35</v>
      </c>
      <c r="I538">
        <f>ROUND(I537,9)</f>
        <v>0.26690000000000003</v>
      </c>
      <c r="J538">
        <v>0</v>
      </c>
      <c r="O538">
        <f t="shared" si="403"/>
        <v>30936.97</v>
      </c>
      <c r="P538">
        <f t="shared" si="404"/>
        <v>21534.93</v>
      </c>
      <c r="Q538">
        <f t="shared" si="405"/>
        <v>239.94</v>
      </c>
      <c r="R538">
        <f t="shared" si="406"/>
        <v>10.45</v>
      </c>
      <c r="S538">
        <f t="shared" si="407"/>
        <v>9162.1</v>
      </c>
      <c r="T538">
        <f t="shared" si="408"/>
        <v>0</v>
      </c>
      <c r="U538">
        <f t="shared" si="409"/>
        <v>35.604460000000003</v>
      </c>
      <c r="V538">
        <f t="shared" si="410"/>
        <v>0</v>
      </c>
      <c r="W538">
        <f t="shared" si="411"/>
        <v>0</v>
      </c>
      <c r="X538">
        <f t="shared" si="412"/>
        <v>6413.47</v>
      </c>
      <c r="Y538">
        <f t="shared" si="413"/>
        <v>916.21</v>
      </c>
      <c r="AA538">
        <v>-1</v>
      </c>
      <c r="AB538">
        <f t="shared" si="414"/>
        <v>115912.21</v>
      </c>
      <c r="AC538">
        <f t="shared" si="375"/>
        <v>80685.39</v>
      </c>
      <c r="AD538">
        <f t="shared" si="376"/>
        <v>899</v>
      </c>
      <c r="AE538">
        <f t="shared" si="377"/>
        <v>39.15</v>
      </c>
      <c r="AF538">
        <f t="shared" si="378"/>
        <v>34327.82</v>
      </c>
      <c r="AG538">
        <f t="shared" si="415"/>
        <v>0</v>
      </c>
      <c r="AH538">
        <f t="shared" si="380"/>
        <v>133.4</v>
      </c>
      <c r="AI538">
        <f t="shared" si="381"/>
        <v>0</v>
      </c>
      <c r="AJ538">
        <f t="shared" si="416"/>
        <v>0</v>
      </c>
      <c r="AK538">
        <v>115912.21</v>
      </c>
      <c r="AL538">
        <v>80685.39</v>
      </c>
      <c r="AM538">
        <v>899</v>
      </c>
      <c r="AN538">
        <v>39.15</v>
      </c>
      <c r="AO538">
        <v>34327.82</v>
      </c>
      <c r="AP538">
        <v>0</v>
      </c>
      <c r="AQ538">
        <v>133.4</v>
      </c>
      <c r="AR538">
        <v>0</v>
      </c>
      <c r="AS538">
        <v>0</v>
      </c>
      <c r="AT538">
        <v>70</v>
      </c>
      <c r="AU538">
        <v>10</v>
      </c>
      <c r="AV538">
        <v>1</v>
      </c>
      <c r="AW538">
        <v>1</v>
      </c>
      <c r="AZ538">
        <v>1</v>
      </c>
      <c r="BA538">
        <v>1</v>
      </c>
      <c r="BB538">
        <v>1</v>
      </c>
      <c r="BC538">
        <v>1</v>
      </c>
      <c r="BD538" t="s">
        <v>3</v>
      </c>
      <c r="BE538" t="s">
        <v>3</v>
      </c>
      <c r="BF538" t="s">
        <v>3</v>
      </c>
      <c r="BG538" t="s">
        <v>3</v>
      </c>
      <c r="BH538">
        <v>0</v>
      </c>
      <c r="BI538">
        <v>4</v>
      </c>
      <c r="BJ538" t="s">
        <v>114</v>
      </c>
      <c r="BM538">
        <v>0</v>
      </c>
      <c r="BN538">
        <v>0</v>
      </c>
      <c r="BO538" t="s">
        <v>3</v>
      </c>
      <c r="BP538">
        <v>0</v>
      </c>
      <c r="BQ538">
        <v>1</v>
      </c>
      <c r="BR538">
        <v>0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 t="s">
        <v>3</v>
      </c>
      <c r="BZ538">
        <v>70</v>
      </c>
      <c r="CA538">
        <v>10</v>
      </c>
      <c r="CE538">
        <v>0</v>
      </c>
      <c r="CF538">
        <v>0</v>
      </c>
      <c r="CG538">
        <v>0</v>
      </c>
      <c r="CM538">
        <v>0</v>
      </c>
      <c r="CN538" t="s">
        <v>3</v>
      </c>
      <c r="CO538">
        <v>0</v>
      </c>
      <c r="CP538">
        <f t="shared" si="417"/>
        <v>30936.97</v>
      </c>
      <c r="CQ538">
        <f t="shared" si="418"/>
        <v>80685.39</v>
      </c>
      <c r="CR538">
        <f t="shared" si="385"/>
        <v>899</v>
      </c>
      <c r="CS538">
        <f t="shared" si="419"/>
        <v>39.15</v>
      </c>
      <c r="CT538">
        <f t="shared" si="420"/>
        <v>34327.82</v>
      </c>
      <c r="CU538">
        <f t="shared" si="421"/>
        <v>0</v>
      </c>
      <c r="CV538">
        <f t="shared" si="422"/>
        <v>133.4</v>
      </c>
      <c r="CW538">
        <f t="shared" si="423"/>
        <v>0</v>
      </c>
      <c r="CX538">
        <f t="shared" si="424"/>
        <v>0</v>
      </c>
      <c r="CY538">
        <f t="shared" si="425"/>
        <v>6413.47</v>
      </c>
      <c r="CZ538">
        <f t="shared" si="426"/>
        <v>916.21</v>
      </c>
      <c r="DC538" t="s">
        <v>3</v>
      </c>
      <c r="DD538" t="s">
        <v>3</v>
      </c>
      <c r="DE538" t="s">
        <v>3</v>
      </c>
      <c r="DF538" t="s">
        <v>3</v>
      </c>
      <c r="DG538" t="s">
        <v>3</v>
      </c>
      <c r="DH538" t="s">
        <v>3</v>
      </c>
      <c r="DI538" t="s">
        <v>3</v>
      </c>
      <c r="DJ538" t="s">
        <v>3</v>
      </c>
      <c r="DK538" t="s">
        <v>3</v>
      </c>
      <c r="DL538" t="s">
        <v>3</v>
      </c>
      <c r="DM538" t="s">
        <v>3</v>
      </c>
      <c r="DN538">
        <v>0</v>
      </c>
      <c r="DO538">
        <v>0</v>
      </c>
      <c r="DP538">
        <v>1</v>
      </c>
      <c r="DQ538">
        <v>1</v>
      </c>
      <c r="DU538">
        <v>1009</v>
      </c>
      <c r="DV538" t="s">
        <v>35</v>
      </c>
      <c r="DW538" t="s">
        <v>35</v>
      </c>
      <c r="DX538">
        <v>1000</v>
      </c>
      <c r="EE538">
        <v>67874524</v>
      </c>
      <c r="EF538">
        <v>1</v>
      </c>
      <c r="EG538" t="s">
        <v>20</v>
      </c>
      <c r="EH538">
        <v>0</v>
      </c>
      <c r="EI538" t="s">
        <v>3</v>
      </c>
      <c r="EJ538">
        <v>4</v>
      </c>
      <c r="EK538">
        <v>0</v>
      </c>
      <c r="EL538" t="s">
        <v>21</v>
      </c>
      <c r="EM538" t="s">
        <v>22</v>
      </c>
      <c r="EO538" t="s">
        <v>3</v>
      </c>
      <c r="EQ538">
        <v>132096</v>
      </c>
      <c r="ER538">
        <v>115912.21</v>
      </c>
      <c r="ES538">
        <v>80685.39</v>
      </c>
      <c r="ET538">
        <v>899</v>
      </c>
      <c r="EU538">
        <v>39.15</v>
      </c>
      <c r="EV538">
        <v>34327.82</v>
      </c>
      <c r="EW538">
        <v>133.4</v>
      </c>
      <c r="EX538">
        <v>0</v>
      </c>
      <c r="EY538">
        <v>0</v>
      </c>
      <c r="FQ538">
        <v>0</v>
      </c>
      <c r="FR538">
        <f t="shared" si="427"/>
        <v>0</v>
      </c>
      <c r="FS538">
        <v>0</v>
      </c>
      <c r="FX538">
        <v>70</v>
      </c>
      <c r="FY538">
        <v>10</v>
      </c>
      <c r="GA538" t="s">
        <v>3</v>
      </c>
      <c r="GD538">
        <v>0</v>
      </c>
      <c r="GF538">
        <v>-858145030</v>
      </c>
      <c r="GG538">
        <v>2</v>
      </c>
      <c r="GH538">
        <v>1</v>
      </c>
      <c r="GI538">
        <v>-2</v>
      </c>
      <c r="GJ538">
        <v>0</v>
      </c>
      <c r="GK538">
        <f>ROUND(R538*(R12)/100,2)</f>
        <v>11.29</v>
      </c>
      <c r="GL538">
        <f t="shared" si="428"/>
        <v>0</v>
      </c>
      <c r="GM538">
        <f t="shared" si="429"/>
        <v>38277.94</v>
      </c>
      <c r="GN538">
        <f t="shared" si="430"/>
        <v>0</v>
      </c>
      <c r="GO538">
        <f t="shared" si="431"/>
        <v>0</v>
      </c>
      <c r="GP538">
        <f t="shared" si="432"/>
        <v>38277.94</v>
      </c>
      <c r="GR538">
        <v>0</v>
      </c>
      <c r="GS538">
        <v>3</v>
      </c>
      <c r="GT538">
        <v>0</v>
      </c>
      <c r="GU538" t="s">
        <v>3</v>
      </c>
      <c r="GV538">
        <f t="shared" si="433"/>
        <v>0</v>
      </c>
      <c r="GW538">
        <v>1</v>
      </c>
      <c r="GX538">
        <f t="shared" si="434"/>
        <v>0</v>
      </c>
      <c r="HA538">
        <v>0</v>
      </c>
      <c r="HB538">
        <v>0</v>
      </c>
      <c r="HC538">
        <f t="shared" si="435"/>
        <v>0</v>
      </c>
      <c r="IK538">
        <v>0</v>
      </c>
    </row>
    <row r="539" spans="1:245" x14ac:dyDescent="0.2">
      <c r="A539">
        <v>17</v>
      </c>
      <c r="B539">
        <v>1</v>
      </c>
      <c r="D539">
        <f>ROW(EtalonRes!A462)</f>
        <v>462</v>
      </c>
      <c r="E539" t="s">
        <v>3</v>
      </c>
      <c r="F539" t="s">
        <v>468</v>
      </c>
      <c r="G539" t="s">
        <v>469</v>
      </c>
      <c r="H539" t="s">
        <v>28</v>
      </c>
      <c r="I539">
        <f>ROUND(1.7*5*2/100,9)</f>
        <v>0.17</v>
      </c>
      <c r="J539">
        <v>0</v>
      </c>
      <c r="O539">
        <f t="shared" si="403"/>
        <v>480.85</v>
      </c>
      <c r="P539">
        <f t="shared" si="404"/>
        <v>173.76</v>
      </c>
      <c r="Q539">
        <f t="shared" si="405"/>
        <v>24.53</v>
      </c>
      <c r="R539">
        <f t="shared" si="406"/>
        <v>8.5</v>
      </c>
      <c r="S539">
        <f t="shared" si="407"/>
        <v>282.56</v>
      </c>
      <c r="T539">
        <f t="shared" si="408"/>
        <v>0</v>
      </c>
      <c r="U539">
        <f t="shared" si="409"/>
        <v>1.0387000000000002</v>
      </c>
      <c r="V539">
        <f t="shared" si="410"/>
        <v>0</v>
      </c>
      <c r="W539">
        <f t="shared" si="411"/>
        <v>0</v>
      </c>
      <c r="X539">
        <f t="shared" si="412"/>
        <v>197.79</v>
      </c>
      <c r="Y539">
        <f t="shared" si="413"/>
        <v>28.26</v>
      </c>
      <c r="AA539">
        <v>-1</v>
      </c>
      <c r="AB539">
        <f t="shared" si="414"/>
        <v>2828.49</v>
      </c>
      <c r="AC539">
        <f t="shared" si="375"/>
        <v>1022.11</v>
      </c>
      <c r="AD539">
        <f t="shared" si="376"/>
        <v>144.28</v>
      </c>
      <c r="AE539">
        <f t="shared" si="377"/>
        <v>50</v>
      </c>
      <c r="AF539">
        <f t="shared" si="378"/>
        <v>1662.1</v>
      </c>
      <c r="AG539">
        <f t="shared" si="415"/>
        <v>0</v>
      </c>
      <c r="AH539">
        <f t="shared" si="380"/>
        <v>6.11</v>
      </c>
      <c r="AI539">
        <f t="shared" si="381"/>
        <v>0</v>
      </c>
      <c r="AJ539">
        <f t="shared" si="416"/>
        <v>0</v>
      </c>
      <c r="AK539">
        <v>2828.49</v>
      </c>
      <c r="AL539">
        <v>1022.11</v>
      </c>
      <c r="AM539">
        <v>144.28</v>
      </c>
      <c r="AN539">
        <v>50</v>
      </c>
      <c r="AO539">
        <v>1662.1</v>
      </c>
      <c r="AP539">
        <v>0</v>
      </c>
      <c r="AQ539">
        <v>6.11</v>
      </c>
      <c r="AR539">
        <v>0</v>
      </c>
      <c r="AS539">
        <v>0</v>
      </c>
      <c r="AT539">
        <v>70</v>
      </c>
      <c r="AU539">
        <v>10</v>
      </c>
      <c r="AV539">
        <v>1</v>
      </c>
      <c r="AW539">
        <v>1</v>
      </c>
      <c r="AZ539">
        <v>1</v>
      </c>
      <c r="BA539">
        <v>1</v>
      </c>
      <c r="BB539">
        <v>1</v>
      </c>
      <c r="BC539">
        <v>1</v>
      </c>
      <c r="BD539" t="s">
        <v>3</v>
      </c>
      <c r="BE539" t="s">
        <v>3</v>
      </c>
      <c r="BF539" t="s">
        <v>3</v>
      </c>
      <c r="BG539" t="s">
        <v>3</v>
      </c>
      <c r="BH539">
        <v>0</v>
      </c>
      <c r="BI539">
        <v>4</v>
      </c>
      <c r="BJ539" t="s">
        <v>470</v>
      </c>
      <c r="BM539">
        <v>0</v>
      </c>
      <c r="BN539">
        <v>0</v>
      </c>
      <c r="BO539" t="s">
        <v>3</v>
      </c>
      <c r="BP539">
        <v>0</v>
      </c>
      <c r="BQ539">
        <v>1</v>
      </c>
      <c r="BR539">
        <v>0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 t="s">
        <v>3</v>
      </c>
      <c r="BZ539">
        <v>70</v>
      </c>
      <c r="CA539">
        <v>10</v>
      </c>
      <c r="CE539">
        <v>0</v>
      </c>
      <c r="CF539">
        <v>0</v>
      </c>
      <c r="CG539">
        <v>0</v>
      </c>
      <c r="CM539">
        <v>0</v>
      </c>
      <c r="CN539" t="s">
        <v>3</v>
      </c>
      <c r="CO539">
        <v>0</v>
      </c>
      <c r="CP539">
        <f t="shared" si="417"/>
        <v>480.85</v>
      </c>
      <c r="CQ539">
        <f t="shared" si="418"/>
        <v>1022.11</v>
      </c>
      <c r="CR539">
        <f t="shared" si="385"/>
        <v>144.28</v>
      </c>
      <c r="CS539">
        <f t="shared" si="419"/>
        <v>50</v>
      </c>
      <c r="CT539">
        <f t="shared" si="420"/>
        <v>1662.1</v>
      </c>
      <c r="CU539">
        <f t="shared" si="421"/>
        <v>0</v>
      </c>
      <c r="CV539">
        <f t="shared" si="422"/>
        <v>6.11</v>
      </c>
      <c r="CW539">
        <f t="shared" si="423"/>
        <v>0</v>
      </c>
      <c r="CX539">
        <f t="shared" si="424"/>
        <v>0</v>
      </c>
      <c r="CY539">
        <f t="shared" si="425"/>
        <v>197.792</v>
      </c>
      <c r="CZ539">
        <f t="shared" si="426"/>
        <v>28.256</v>
      </c>
      <c r="DC539" t="s">
        <v>3</v>
      </c>
      <c r="DD539" t="s">
        <v>3</v>
      </c>
      <c r="DE539" t="s">
        <v>3</v>
      </c>
      <c r="DF539" t="s">
        <v>3</v>
      </c>
      <c r="DG539" t="s">
        <v>3</v>
      </c>
      <c r="DH539" t="s">
        <v>3</v>
      </c>
      <c r="DI539" t="s">
        <v>3</v>
      </c>
      <c r="DJ539" t="s">
        <v>3</v>
      </c>
      <c r="DK539" t="s">
        <v>3</v>
      </c>
      <c r="DL539" t="s">
        <v>3</v>
      </c>
      <c r="DM539" t="s">
        <v>3</v>
      </c>
      <c r="DN539">
        <v>0</v>
      </c>
      <c r="DO539">
        <v>0</v>
      </c>
      <c r="DP539">
        <v>1</v>
      </c>
      <c r="DQ539">
        <v>1</v>
      </c>
      <c r="DU539">
        <v>1005</v>
      </c>
      <c r="DV539" t="s">
        <v>28</v>
      </c>
      <c r="DW539" t="s">
        <v>28</v>
      </c>
      <c r="DX539">
        <v>100</v>
      </c>
      <c r="EE539">
        <v>67874524</v>
      </c>
      <c r="EF539">
        <v>1</v>
      </c>
      <c r="EG539" t="s">
        <v>20</v>
      </c>
      <c r="EH539">
        <v>0</v>
      </c>
      <c r="EI539" t="s">
        <v>3</v>
      </c>
      <c r="EJ539">
        <v>4</v>
      </c>
      <c r="EK539">
        <v>0</v>
      </c>
      <c r="EL539" t="s">
        <v>21</v>
      </c>
      <c r="EM539" t="s">
        <v>22</v>
      </c>
      <c r="EO539" t="s">
        <v>3</v>
      </c>
      <c r="EQ539">
        <v>132096</v>
      </c>
      <c r="ER539">
        <v>2828.49</v>
      </c>
      <c r="ES539">
        <v>1022.11</v>
      </c>
      <c r="ET539">
        <v>144.28</v>
      </c>
      <c r="EU539">
        <v>50</v>
      </c>
      <c r="EV539">
        <v>1662.1</v>
      </c>
      <c r="EW539">
        <v>6.11</v>
      </c>
      <c r="EX539">
        <v>0</v>
      </c>
      <c r="EY539">
        <v>0</v>
      </c>
      <c r="FQ539">
        <v>0</v>
      </c>
      <c r="FR539">
        <f t="shared" si="427"/>
        <v>0</v>
      </c>
      <c r="FS539">
        <v>0</v>
      </c>
      <c r="FX539">
        <v>70</v>
      </c>
      <c r="FY539">
        <v>10</v>
      </c>
      <c r="GA539" t="s">
        <v>3</v>
      </c>
      <c r="GD539">
        <v>0</v>
      </c>
      <c r="GF539">
        <v>-337143685</v>
      </c>
      <c r="GG539">
        <v>2</v>
      </c>
      <c r="GH539">
        <v>1</v>
      </c>
      <c r="GI539">
        <v>-2</v>
      </c>
      <c r="GJ539">
        <v>0</v>
      </c>
      <c r="GK539">
        <f>ROUND(R539*(R12)/100,2)</f>
        <v>9.18</v>
      </c>
      <c r="GL539">
        <f t="shared" si="428"/>
        <v>0</v>
      </c>
      <c r="GM539">
        <f t="shared" si="429"/>
        <v>716.08</v>
      </c>
      <c r="GN539">
        <f t="shared" si="430"/>
        <v>0</v>
      </c>
      <c r="GO539">
        <f t="shared" si="431"/>
        <v>0</v>
      </c>
      <c r="GP539">
        <f t="shared" si="432"/>
        <v>716.08</v>
      </c>
      <c r="GR539">
        <v>0</v>
      </c>
      <c r="GS539">
        <v>3</v>
      </c>
      <c r="GT539">
        <v>0</v>
      </c>
      <c r="GU539" t="s">
        <v>3</v>
      </c>
      <c r="GV539">
        <f t="shared" si="433"/>
        <v>0</v>
      </c>
      <c r="GW539">
        <v>1</v>
      </c>
      <c r="GX539">
        <f t="shared" si="434"/>
        <v>0</v>
      </c>
      <c r="HA539">
        <v>0</v>
      </c>
      <c r="HB539">
        <v>0</v>
      </c>
      <c r="HC539">
        <f t="shared" si="435"/>
        <v>0</v>
      </c>
      <c r="IK539">
        <v>0</v>
      </c>
    </row>
    <row r="540" spans="1:245" x14ac:dyDescent="0.2">
      <c r="A540">
        <v>17</v>
      </c>
      <c r="B540">
        <v>1</v>
      </c>
      <c r="D540">
        <f>ROW(EtalonRes!A466)</f>
        <v>466</v>
      </c>
      <c r="E540" t="s">
        <v>3</v>
      </c>
      <c r="F540" t="s">
        <v>471</v>
      </c>
      <c r="G540" t="s">
        <v>472</v>
      </c>
      <c r="H540" t="s">
        <v>28</v>
      </c>
      <c r="I540">
        <f>ROUND(I539,9)</f>
        <v>0.17</v>
      </c>
      <c r="J540">
        <v>0</v>
      </c>
      <c r="O540">
        <f t="shared" si="403"/>
        <v>543.19000000000005</v>
      </c>
      <c r="P540">
        <f t="shared" si="404"/>
        <v>354.08</v>
      </c>
      <c r="Q540">
        <f t="shared" si="405"/>
        <v>2.33</v>
      </c>
      <c r="R540">
        <f t="shared" si="406"/>
        <v>1.26</v>
      </c>
      <c r="S540">
        <f t="shared" si="407"/>
        <v>186.78</v>
      </c>
      <c r="T540">
        <f t="shared" si="408"/>
        <v>0</v>
      </c>
      <c r="U540">
        <f t="shared" si="409"/>
        <v>0.83300000000000007</v>
      </c>
      <c r="V540">
        <f t="shared" si="410"/>
        <v>0</v>
      </c>
      <c r="W540">
        <f t="shared" si="411"/>
        <v>0</v>
      </c>
      <c r="X540">
        <f t="shared" si="412"/>
        <v>130.75</v>
      </c>
      <c r="Y540">
        <f t="shared" si="413"/>
        <v>18.68</v>
      </c>
      <c r="AA540">
        <v>-1</v>
      </c>
      <c r="AB540">
        <f t="shared" si="414"/>
        <v>3195.22</v>
      </c>
      <c r="AC540">
        <f>ROUND(((ES540*2)),6)</f>
        <v>2082.8200000000002</v>
      </c>
      <c r="AD540">
        <f>ROUND(((((ET540*2))-((EU540*2)))+AE540),6)</f>
        <v>13.68</v>
      </c>
      <c r="AE540">
        <f>ROUND(((EU540*2)),6)</f>
        <v>7.42</v>
      </c>
      <c r="AF540">
        <f>ROUND(((EV540*2)),6)</f>
        <v>1098.72</v>
      </c>
      <c r="AG540">
        <f t="shared" si="415"/>
        <v>0</v>
      </c>
      <c r="AH540">
        <f>((EW540*2))</f>
        <v>4.9000000000000004</v>
      </c>
      <c r="AI540">
        <f>((EX540*2))</f>
        <v>0</v>
      </c>
      <c r="AJ540">
        <f t="shared" si="416"/>
        <v>0</v>
      </c>
      <c r="AK540">
        <v>1597.61</v>
      </c>
      <c r="AL540">
        <v>1041.4100000000001</v>
      </c>
      <c r="AM540">
        <v>6.84</v>
      </c>
      <c r="AN540">
        <v>3.71</v>
      </c>
      <c r="AO540">
        <v>549.36</v>
      </c>
      <c r="AP540">
        <v>0</v>
      </c>
      <c r="AQ540">
        <v>2.4500000000000002</v>
      </c>
      <c r="AR540">
        <v>0</v>
      </c>
      <c r="AS540">
        <v>0</v>
      </c>
      <c r="AT540">
        <v>70</v>
      </c>
      <c r="AU540">
        <v>10</v>
      </c>
      <c r="AV540">
        <v>1</v>
      </c>
      <c r="AW540">
        <v>1</v>
      </c>
      <c r="AZ540">
        <v>1</v>
      </c>
      <c r="BA540">
        <v>1</v>
      </c>
      <c r="BB540">
        <v>1</v>
      </c>
      <c r="BC540">
        <v>1</v>
      </c>
      <c r="BD540" t="s">
        <v>3</v>
      </c>
      <c r="BE540" t="s">
        <v>3</v>
      </c>
      <c r="BF540" t="s">
        <v>3</v>
      </c>
      <c r="BG540" t="s">
        <v>3</v>
      </c>
      <c r="BH540">
        <v>0</v>
      </c>
      <c r="BI540">
        <v>4</v>
      </c>
      <c r="BJ540" t="s">
        <v>473</v>
      </c>
      <c r="BM540">
        <v>0</v>
      </c>
      <c r="BN540">
        <v>0</v>
      </c>
      <c r="BO540" t="s">
        <v>3</v>
      </c>
      <c r="BP540">
        <v>0</v>
      </c>
      <c r="BQ540">
        <v>1</v>
      </c>
      <c r="BR540">
        <v>0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 t="s">
        <v>3</v>
      </c>
      <c r="BZ540">
        <v>70</v>
      </c>
      <c r="CA540">
        <v>10</v>
      </c>
      <c r="CE540">
        <v>0</v>
      </c>
      <c r="CF540">
        <v>0</v>
      </c>
      <c r="CG540">
        <v>0</v>
      </c>
      <c r="CM540">
        <v>0</v>
      </c>
      <c r="CN540" t="s">
        <v>3</v>
      </c>
      <c r="CO540">
        <v>0</v>
      </c>
      <c r="CP540">
        <f t="shared" si="417"/>
        <v>543.18999999999994</v>
      </c>
      <c r="CQ540">
        <f t="shared" si="418"/>
        <v>2082.8200000000002</v>
      </c>
      <c r="CR540">
        <f>(((((ET540*2))*BB540-((EU540*2))*BS540)+AE540*BS540)*AV540)</f>
        <v>13.68</v>
      </c>
      <c r="CS540">
        <f t="shared" si="419"/>
        <v>7.42</v>
      </c>
      <c r="CT540">
        <f t="shared" si="420"/>
        <v>1098.72</v>
      </c>
      <c r="CU540">
        <f t="shared" si="421"/>
        <v>0</v>
      </c>
      <c r="CV540">
        <f t="shared" si="422"/>
        <v>4.9000000000000004</v>
      </c>
      <c r="CW540">
        <f t="shared" si="423"/>
        <v>0</v>
      </c>
      <c r="CX540">
        <f t="shared" si="424"/>
        <v>0</v>
      </c>
      <c r="CY540">
        <f t="shared" si="425"/>
        <v>130.74600000000001</v>
      </c>
      <c r="CZ540">
        <f t="shared" si="426"/>
        <v>18.678000000000001</v>
      </c>
      <c r="DC540" t="s">
        <v>3</v>
      </c>
      <c r="DD540" t="s">
        <v>474</v>
      </c>
      <c r="DE540" t="s">
        <v>474</v>
      </c>
      <c r="DF540" t="s">
        <v>474</v>
      </c>
      <c r="DG540" t="s">
        <v>474</v>
      </c>
      <c r="DH540" t="s">
        <v>3</v>
      </c>
      <c r="DI540" t="s">
        <v>474</v>
      </c>
      <c r="DJ540" t="s">
        <v>474</v>
      </c>
      <c r="DK540" t="s">
        <v>3</v>
      </c>
      <c r="DL540" t="s">
        <v>3</v>
      </c>
      <c r="DM540" t="s">
        <v>3</v>
      </c>
      <c r="DN540">
        <v>0</v>
      </c>
      <c r="DO540">
        <v>0</v>
      </c>
      <c r="DP540">
        <v>1</v>
      </c>
      <c r="DQ540">
        <v>1</v>
      </c>
      <c r="DU540">
        <v>1005</v>
      </c>
      <c r="DV540" t="s">
        <v>28</v>
      </c>
      <c r="DW540" t="s">
        <v>28</v>
      </c>
      <c r="DX540">
        <v>100</v>
      </c>
      <c r="EE540">
        <v>67874524</v>
      </c>
      <c r="EF540">
        <v>1</v>
      </c>
      <c r="EG540" t="s">
        <v>20</v>
      </c>
      <c r="EH540">
        <v>0</v>
      </c>
      <c r="EI540" t="s">
        <v>3</v>
      </c>
      <c r="EJ540">
        <v>4</v>
      </c>
      <c r="EK540">
        <v>0</v>
      </c>
      <c r="EL540" t="s">
        <v>21</v>
      </c>
      <c r="EM540" t="s">
        <v>22</v>
      </c>
      <c r="EO540" t="s">
        <v>3</v>
      </c>
      <c r="EQ540">
        <v>132096</v>
      </c>
      <c r="ER540">
        <v>1597.61</v>
      </c>
      <c r="ES540">
        <v>1041.4100000000001</v>
      </c>
      <c r="ET540">
        <v>6.84</v>
      </c>
      <c r="EU540">
        <v>3.71</v>
      </c>
      <c r="EV540">
        <v>549.36</v>
      </c>
      <c r="EW540">
        <v>2.4500000000000002</v>
      </c>
      <c r="EX540">
        <v>0</v>
      </c>
      <c r="EY540">
        <v>0</v>
      </c>
      <c r="FQ540">
        <v>0</v>
      </c>
      <c r="FR540">
        <f t="shared" si="427"/>
        <v>0</v>
      </c>
      <c r="FS540">
        <v>0</v>
      </c>
      <c r="FX540">
        <v>70</v>
      </c>
      <c r="FY540">
        <v>10</v>
      </c>
      <c r="GA540" t="s">
        <v>3</v>
      </c>
      <c r="GD540">
        <v>0</v>
      </c>
      <c r="GF540">
        <v>585315667</v>
      </c>
      <c r="GG540">
        <v>2</v>
      </c>
      <c r="GH540">
        <v>1</v>
      </c>
      <c r="GI540">
        <v>-2</v>
      </c>
      <c r="GJ540">
        <v>0</v>
      </c>
      <c r="GK540">
        <f>ROUND(R540*(R12)/100,2)</f>
        <v>1.36</v>
      </c>
      <c r="GL540">
        <f t="shared" si="428"/>
        <v>0</v>
      </c>
      <c r="GM540">
        <f t="shared" si="429"/>
        <v>693.98</v>
      </c>
      <c r="GN540">
        <f t="shared" si="430"/>
        <v>0</v>
      </c>
      <c r="GO540">
        <f t="shared" si="431"/>
        <v>0</v>
      </c>
      <c r="GP540">
        <f t="shared" si="432"/>
        <v>693.98</v>
      </c>
      <c r="GR540">
        <v>0</v>
      </c>
      <c r="GS540">
        <v>3</v>
      </c>
      <c r="GT540">
        <v>0</v>
      </c>
      <c r="GU540" t="s">
        <v>3</v>
      </c>
      <c r="GV540">
        <f t="shared" si="433"/>
        <v>0</v>
      </c>
      <c r="GW540">
        <v>1</v>
      </c>
      <c r="GX540">
        <f t="shared" si="434"/>
        <v>0</v>
      </c>
      <c r="HA540">
        <v>0</v>
      </c>
      <c r="HB540">
        <v>0</v>
      </c>
      <c r="HC540">
        <f t="shared" si="435"/>
        <v>0</v>
      </c>
      <c r="IK540">
        <v>0</v>
      </c>
    </row>
    <row r="541" spans="1:245" x14ac:dyDescent="0.2">
      <c r="A541">
        <v>17</v>
      </c>
      <c r="B541">
        <v>1</v>
      </c>
      <c r="D541">
        <f>ROW(EtalonRes!A470)</f>
        <v>470</v>
      </c>
      <c r="E541" t="s">
        <v>3</v>
      </c>
      <c r="F541" t="s">
        <v>475</v>
      </c>
      <c r="G541" t="s">
        <v>476</v>
      </c>
      <c r="H541" t="s">
        <v>222</v>
      </c>
      <c r="I541">
        <f>ROUND(100/100,9)</f>
        <v>1</v>
      </c>
      <c r="J541">
        <v>0</v>
      </c>
      <c r="O541">
        <f t="shared" si="403"/>
        <v>20349.34</v>
      </c>
      <c r="P541">
        <f t="shared" si="404"/>
        <v>5776.28</v>
      </c>
      <c r="Q541">
        <f t="shared" si="405"/>
        <v>0</v>
      </c>
      <c r="R541">
        <f t="shared" si="406"/>
        <v>0</v>
      </c>
      <c r="S541">
        <f t="shared" si="407"/>
        <v>14573.06</v>
      </c>
      <c r="T541">
        <f t="shared" si="408"/>
        <v>0</v>
      </c>
      <c r="U541">
        <f t="shared" si="409"/>
        <v>77.86</v>
      </c>
      <c r="V541">
        <f t="shared" si="410"/>
        <v>0</v>
      </c>
      <c r="W541">
        <f t="shared" si="411"/>
        <v>0</v>
      </c>
      <c r="X541">
        <f t="shared" si="412"/>
        <v>10201.14</v>
      </c>
      <c r="Y541">
        <f t="shared" si="413"/>
        <v>1457.31</v>
      </c>
      <c r="AA541">
        <v>-1</v>
      </c>
      <c r="AB541">
        <f t="shared" si="414"/>
        <v>20349.34</v>
      </c>
      <c r="AC541">
        <f>ROUND((ES541),6)</f>
        <v>5776.28</v>
      </c>
      <c r="AD541">
        <f>ROUND((((ET541)-(EU541))+AE541),6)</f>
        <v>0</v>
      </c>
      <c r="AE541">
        <f t="shared" ref="AE541:AF544" si="436">ROUND((EU541),6)</f>
        <v>0</v>
      </c>
      <c r="AF541">
        <f t="shared" si="436"/>
        <v>14573.06</v>
      </c>
      <c r="AG541">
        <f t="shared" si="415"/>
        <v>0</v>
      </c>
      <c r="AH541">
        <f t="shared" ref="AH541:AI544" si="437">(EW541)</f>
        <v>77.86</v>
      </c>
      <c r="AI541">
        <f t="shared" si="437"/>
        <v>0</v>
      </c>
      <c r="AJ541">
        <f t="shared" si="416"/>
        <v>0</v>
      </c>
      <c r="AK541">
        <v>20349.34</v>
      </c>
      <c r="AL541">
        <v>5776.28</v>
      </c>
      <c r="AM541">
        <v>0</v>
      </c>
      <c r="AN541">
        <v>0</v>
      </c>
      <c r="AO541">
        <v>14573.06</v>
      </c>
      <c r="AP541">
        <v>0</v>
      </c>
      <c r="AQ541">
        <v>77.86</v>
      </c>
      <c r="AR541">
        <v>0</v>
      </c>
      <c r="AS541">
        <v>0</v>
      </c>
      <c r="AT541">
        <v>70</v>
      </c>
      <c r="AU541">
        <v>10</v>
      </c>
      <c r="AV541">
        <v>1</v>
      </c>
      <c r="AW541">
        <v>1</v>
      </c>
      <c r="AZ541">
        <v>1</v>
      </c>
      <c r="BA541">
        <v>1</v>
      </c>
      <c r="BB541">
        <v>1</v>
      </c>
      <c r="BC541">
        <v>1</v>
      </c>
      <c r="BD541" t="s">
        <v>3</v>
      </c>
      <c r="BE541" t="s">
        <v>3</v>
      </c>
      <c r="BF541" t="s">
        <v>3</v>
      </c>
      <c r="BG541" t="s">
        <v>3</v>
      </c>
      <c r="BH541">
        <v>0</v>
      </c>
      <c r="BI541">
        <v>4</v>
      </c>
      <c r="BJ541" t="s">
        <v>477</v>
      </c>
      <c r="BM541">
        <v>0</v>
      </c>
      <c r="BN541">
        <v>0</v>
      </c>
      <c r="BO541" t="s">
        <v>3</v>
      </c>
      <c r="BP541">
        <v>0</v>
      </c>
      <c r="BQ541">
        <v>1</v>
      </c>
      <c r="BR541">
        <v>0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 t="s">
        <v>3</v>
      </c>
      <c r="BZ541">
        <v>70</v>
      </c>
      <c r="CA541">
        <v>10</v>
      </c>
      <c r="CE541">
        <v>0</v>
      </c>
      <c r="CF541">
        <v>0</v>
      </c>
      <c r="CG541">
        <v>0</v>
      </c>
      <c r="CM541">
        <v>0</v>
      </c>
      <c r="CN541" t="s">
        <v>3</v>
      </c>
      <c r="CO541">
        <v>0</v>
      </c>
      <c r="CP541">
        <f t="shared" si="417"/>
        <v>20349.34</v>
      </c>
      <c r="CQ541">
        <f t="shared" si="418"/>
        <v>5776.28</v>
      </c>
      <c r="CR541">
        <f>((((ET541)*BB541-(EU541)*BS541)+AE541*BS541)*AV541)</f>
        <v>0</v>
      </c>
      <c r="CS541">
        <f t="shared" si="419"/>
        <v>0</v>
      </c>
      <c r="CT541">
        <f t="shared" si="420"/>
        <v>14573.06</v>
      </c>
      <c r="CU541">
        <f t="shared" si="421"/>
        <v>0</v>
      </c>
      <c r="CV541">
        <f t="shared" si="422"/>
        <v>77.86</v>
      </c>
      <c r="CW541">
        <f t="shared" si="423"/>
        <v>0</v>
      </c>
      <c r="CX541">
        <f t="shared" si="424"/>
        <v>0</v>
      </c>
      <c r="CY541">
        <f t="shared" si="425"/>
        <v>10201.142</v>
      </c>
      <c r="CZ541">
        <f t="shared" si="426"/>
        <v>1457.306</v>
      </c>
      <c r="DC541" t="s">
        <v>3</v>
      </c>
      <c r="DD541" t="s">
        <v>3</v>
      </c>
      <c r="DE541" t="s">
        <v>3</v>
      </c>
      <c r="DF541" t="s">
        <v>3</v>
      </c>
      <c r="DG541" t="s">
        <v>3</v>
      </c>
      <c r="DH541" t="s">
        <v>3</v>
      </c>
      <c r="DI541" t="s">
        <v>3</v>
      </c>
      <c r="DJ541" t="s">
        <v>3</v>
      </c>
      <c r="DK541" t="s">
        <v>3</v>
      </c>
      <c r="DL541" t="s">
        <v>3</v>
      </c>
      <c r="DM541" t="s">
        <v>3</v>
      </c>
      <c r="DN541">
        <v>0</v>
      </c>
      <c r="DO541">
        <v>0</v>
      </c>
      <c r="DP541">
        <v>1</v>
      </c>
      <c r="DQ541">
        <v>1</v>
      </c>
      <c r="DU541">
        <v>1010</v>
      </c>
      <c r="DV541" t="s">
        <v>222</v>
      </c>
      <c r="DW541" t="s">
        <v>222</v>
      </c>
      <c r="DX541">
        <v>100</v>
      </c>
      <c r="EE541">
        <v>67874524</v>
      </c>
      <c r="EF541">
        <v>1</v>
      </c>
      <c r="EG541" t="s">
        <v>20</v>
      </c>
      <c r="EH541">
        <v>0</v>
      </c>
      <c r="EI541" t="s">
        <v>3</v>
      </c>
      <c r="EJ541">
        <v>4</v>
      </c>
      <c r="EK541">
        <v>0</v>
      </c>
      <c r="EL541" t="s">
        <v>21</v>
      </c>
      <c r="EM541" t="s">
        <v>22</v>
      </c>
      <c r="EO541" t="s">
        <v>3</v>
      </c>
      <c r="EQ541">
        <v>132096</v>
      </c>
      <c r="ER541">
        <v>20349.34</v>
      </c>
      <c r="ES541">
        <v>5776.28</v>
      </c>
      <c r="ET541">
        <v>0</v>
      </c>
      <c r="EU541">
        <v>0</v>
      </c>
      <c r="EV541">
        <v>14573.06</v>
      </c>
      <c r="EW541">
        <v>77.86</v>
      </c>
      <c r="EX541">
        <v>0</v>
      </c>
      <c r="EY541">
        <v>0</v>
      </c>
      <c r="FQ541">
        <v>0</v>
      </c>
      <c r="FR541">
        <f t="shared" si="427"/>
        <v>0</v>
      </c>
      <c r="FS541">
        <v>0</v>
      </c>
      <c r="FX541">
        <v>70</v>
      </c>
      <c r="FY541">
        <v>10</v>
      </c>
      <c r="GA541" t="s">
        <v>3</v>
      </c>
      <c r="GD541">
        <v>0</v>
      </c>
      <c r="GF541">
        <v>-317784655</v>
      </c>
      <c r="GG541">
        <v>2</v>
      </c>
      <c r="GH541">
        <v>1</v>
      </c>
      <c r="GI541">
        <v>-2</v>
      </c>
      <c r="GJ541">
        <v>0</v>
      </c>
      <c r="GK541">
        <f>ROUND(R541*(R12)/100,2)</f>
        <v>0</v>
      </c>
      <c r="GL541">
        <f t="shared" si="428"/>
        <v>0</v>
      </c>
      <c r="GM541">
        <f t="shared" si="429"/>
        <v>32007.79</v>
      </c>
      <c r="GN541">
        <f t="shared" si="430"/>
        <v>0</v>
      </c>
      <c r="GO541">
        <f t="shared" si="431"/>
        <v>0</v>
      </c>
      <c r="GP541">
        <f t="shared" si="432"/>
        <v>32007.79</v>
      </c>
      <c r="GR541">
        <v>0</v>
      </c>
      <c r="GS541">
        <v>3</v>
      </c>
      <c r="GT541">
        <v>0</v>
      </c>
      <c r="GU541" t="s">
        <v>3</v>
      </c>
      <c r="GV541">
        <f t="shared" si="433"/>
        <v>0</v>
      </c>
      <c r="GW541">
        <v>1</v>
      </c>
      <c r="GX541">
        <f t="shared" si="434"/>
        <v>0</v>
      </c>
      <c r="HA541">
        <v>0</v>
      </c>
      <c r="HB541">
        <v>0</v>
      </c>
      <c r="HC541">
        <f t="shared" si="435"/>
        <v>0</v>
      </c>
      <c r="IK541">
        <v>0</v>
      </c>
    </row>
    <row r="542" spans="1:245" x14ac:dyDescent="0.2">
      <c r="A542">
        <v>18</v>
      </c>
      <c r="B542">
        <v>1</v>
      </c>
      <c r="E542" t="s">
        <v>3</v>
      </c>
      <c r="F542" t="s">
        <v>478</v>
      </c>
      <c r="G542" t="s">
        <v>479</v>
      </c>
      <c r="H542" t="s">
        <v>455</v>
      </c>
      <c r="I542">
        <f>I541*J542</f>
        <v>-400</v>
      </c>
      <c r="J542">
        <v>-400</v>
      </c>
      <c r="O542">
        <f t="shared" si="403"/>
        <v>-3616</v>
      </c>
      <c r="P542">
        <f t="shared" si="404"/>
        <v>-3616</v>
      </c>
      <c r="Q542">
        <f t="shared" si="405"/>
        <v>0</v>
      </c>
      <c r="R542">
        <f t="shared" si="406"/>
        <v>0</v>
      </c>
      <c r="S542">
        <f t="shared" si="407"/>
        <v>0</v>
      </c>
      <c r="T542">
        <f t="shared" si="408"/>
        <v>0</v>
      </c>
      <c r="U542">
        <f t="shared" si="409"/>
        <v>0</v>
      </c>
      <c r="V542">
        <f t="shared" si="410"/>
        <v>0</v>
      </c>
      <c r="W542">
        <f t="shared" si="411"/>
        <v>0</v>
      </c>
      <c r="X542">
        <f t="shared" si="412"/>
        <v>0</v>
      </c>
      <c r="Y542">
        <f t="shared" si="413"/>
        <v>0</v>
      </c>
      <c r="AA542">
        <v>-1</v>
      </c>
      <c r="AB542">
        <f t="shared" si="414"/>
        <v>9.0399999999999991</v>
      </c>
      <c r="AC542">
        <f>ROUND((ES542),6)</f>
        <v>9.0399999999999991</v>
      </c>
      <c r="AD542">
        <f>ROUND((((ET542)-(EU542))+AE542),6)</f>
        <v>0</v>
      </c>
      <c r="AE542">
        <f t="shared" si="436"/>
        <v>0</v>
      </c>
      <c r="AF542">
        <f t="shared" si="436"/>
        <v>0</v>
      </c>
      <c r="AG542">
        <f t="shared" si="415"/>
        <v>0</v>
      </c>
      <c r="AH542">
        <f t="shared" si="437"/>
        <v>0</v>
      </c>
      <c r="AI542">
        <f t="shared" si="437"/>
        <v>0</v>
      </c>
      <c r="AJ542">
        <f t="shared" si="416"/>
        <v>0</v>
      </c>
      <c r="AK542">
        <v>9.0399999999999991</v>
      </c>
      <c r="AL542">
        <v>9.0399999999999991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70</v>
      </c>
      <c r="AU542">
        <v>10</v>
      </c>
      <c r="AV542">
        <v>1</v>
      </c>
      <c r="AW542">
        <v>1</v>
      </c>
      <c r="AZ542">
        <v>1</v>
      </c>
      <c r="BA542">
        <v>1</v>
      </c>
      <c r="BB542">
        <v>1</v>
      </c>
      <c r="BC542">
        <v>1</v>
      </c>
      <c r="BD542" t="s">
        <v>3</v>
      </c>
      <c r="BE542" t="s">
        <v>3</v>
      </c>
      <c r="BF542" t="s">
        <v>3</v>
      </c>
      <c r="BG542" t="s">
        <v>3</v>
      </c>
      <c r="BH542">
        <v>3</v>
      </c>
      <c r="BI542">
        <v>4</v>
      </c>
      <c r="BJ542" t="s">
        <v>480</v>
      </c>
      <c r="BM542">
        <v>0</v>
      </c>
      <c r="BN542">
        <v>0</v>
      </c>
      <c r="BO542" t="s">
        <v>3</v>
      </c>
      <c r="BP542">
        <v>0</v>
      </c>
      <c r="BQ542">
        <v>1</v>
      </c>
      <c r="BR542">
        <v>0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 t="s">
        <v>3</v>
      </c>
      <c r="BZ542">
        <v>70</v>
      </c>
      <c r="CA542">
        <v>10</v>
      </c>
      <c r="CE542">
        <v>0</v>
      </c>
      <c r="CF542">
        <v>0</v>
      </c>
      <c r="CG542">
        <v>0</v>
      </c>
      <c r="CM542">
        <v>0</v>
      </c>
      <c r="CN542" t="s">
        <v>3</v>
      </c>
      <c r="CO542">
        <v>0</v>
      </c>
      <c r="CP542">
        <f t="shared" si="417"/>
        <v>-3616</v>
      </c>
      <c r="CQ542">
        <f t="shared" si="418"/>
        <v>9.0399999999999991</v>
      </c>
      <c r="CR542">
        <f>((((ET542)*BB542-(EU542)*BS542)+AE542*BS542)*AV542)</f>
        <v>0</v>
      </c>
      <c r="CS542">
        <f t="shared" si="419"/>
        <v>0</v>
      </c>
      <c r="CT542">
        <f t="shared" si="420"/>
        <v>0</v>
      </c>
      <c r="CU542">
        <f t="shared" si="421"/>
        <v>0</v>
      </c>
      <c r="CV542">
        <f t="shared" si="422"/>
        <v>0</v>
      </c>
      <c r="CW542">
        <f t="shared" si="423"/>
        <v>0</v>
      </c>
      <c r="CX542">
        <f t="shared" si="424"/>
        <v>0</v>
      </c>
      <c r="CY542">
        <f t="shared" si="425"/>
        <v>0</v>
      </c>
      <c r="CZ542">
        <f t="shared" si="426"/>
        <v>0</v>
      </c>
      <c r="DC542" t="s">
        <v>3</v>
      </c>
      <c r="DD542" t="s">
        <v>3</v>
      </c>
      <c r="DE542" t="s">
        <v>3</v>
      </c>
      <c r="DF542" t="s">
        <v>3</v>
      </c>
      <c r="DG542" t="s">
        <v>3</v>
      </c>
      <c r="DH542" t="s">
        <v>3</v>
      </c>
      <c r="DI542" t="s">
        <v>3</v>
      </c>
      <c r="DJ542" t="s">
        <v>3</v>
      </c>
      <c r="DK542" t="s">
        <v>3</v>
      </c>
      <c r="DL542" t="s">
        <v>3</v>
      </c>
      <c r="DM542" t="s">
        <v>3</v>
      </c>
      <c r="DN542">
        <v>0</v>
      </c>
      <c r="DO542">
        <v>0</v>
      </c>
      <c r="DP542">
        <v>1</v>
      </c>
      <c r="DQ542">
        <v>1</v>
      </c>
      <c r="DU542">
        <v>1003</v>
      </c>
      <c r="DV542" t="s">
        <v>455</v>
      </c>
      <c r="DW542" t="s">
        <v>455</v>
      </c>
      <c r="DX542">
        <v>1</v>
      </c>
      <c r="EE542">
        <v>67874524</v>
      </c>
      <c r="EF542">
        <v>1</v>
      </c>
      <c r="EG542" t="s">
        <v>20</v>
      </c>
      <c r="EH542">
        <v>0</v>
      </c>
      <c r="EI542" t="s">
        <v>3</v>
      </c>
      <c r="EJ542">
        <v>4</v>
      </c>
      <c r="EK542">
        <v>0</v>
      </c>
      <c r="EL542" t="s">
        <v>21</v>
      </c>
      <c r="EM542" t="s">
        <v>22</v>
      </c>
      <c r="EO542" t="s">
        <v>3</v>
      </c>
      <c r="EQ542">
        <v>1024</v>
      </c>
      <c r="ER542">
        <v>9.0399999999999991</v>
      </c>
      <c r="ES542">
        <v>9.0399999999999991</v>
      </c>
      <c r="ET542">
        <v>0</v>
      </c>
      <c r="EU542">
        <v>0</v>
      </c>
      <c r="EV542">
        <v>0</v>
      </c>
      <c r="EW542">
        <v>0</v>
      </c>
      <c r="EX542">
        <v>0</v>
      </c>
      <c r="FQ542">
        <v>0</v>
      </c>
      <c r="FR542">
        <f t="shared" si="427"/>
        <v>0</v>
      </c>
      <c r="FS542">
        <v>0</v>
      </c>
      <c r="FX542">
        <v>70</v>
      </c>
      <c r="FY542">
        <v>10</v>
      </c>
      <c r="GA542" t="s">
        <v>3</v>
      </c>
      <c r="GD542">
        <v>0</v>
      </c>
      <c r="GF542">
        <v>-1893441571</v>
      </c>
      <c r="GG542">
        <v>2</v>
      </c>
      <c r="GH542">
        <v>1</v>
      </c>
      <c r="GI542">
        <v>-2</v>
      </c>
      <c r="GJ542">
        <v>0</v>
      </c>
      <c r="GK542">
        <f>ROUND(R542*(R12)/100,2)</f>
        <v>0</v>
      </c>
      <c r="GL542">
        <f t="shared" si="428"/>
        <v>0</v>
      </c>
      <c r="GM542">
        <f t="shared" si="429"/>
        <v>-3616</v>
      </c>
      <c r="GN542">
        <f t="shared" si="430"/>
        <v>0</v>
      </c>
      <c r="GO542">
        <f t="shared" si="431"/>
        <v>0</v>
      </c>
      <c r="GP542">
        <f t="shared" si="432"/>
        <v>-3616</v>
      </c>
      <c r="GR542">
        <v>0</v>
      </c>
      <c r="GS542">
        <v>3</v>
      </c>
      <c r="GT542">
        <v>0</v>
      </c>
      <c r="GU542" t="s">
        <v>3</v>
      </c>
      <c r="GV542">
        <f t="shared" si="433"/>
        <v>0</v>
      </c>
      <c r="GW542">
        <v>1</v>
      </c>
      <c r="GX542">
        <f t="shared" si="434"/>
        <v>0</v>
      </c>
      <c r="HA542">
        <v>0</v>
      </c>
      <c r="HB542">
        <v>0</v>
      </c>
      <c r="HC542">
        <f t="shared" si="435"/>
        <v>0</v>
      </c>
      <c r="IK542">
        <v>0</v>
      </c>
    </row>
    <row r="543" spans="1:245" x14ac:dyDescent="0.2">
      <c r="A543">
        <v>18</v>
      </c>
      <c r="B543">
        <v>1</v>
      </c>
      <c r="E543" t="s">
        <v>3</v>
      </c>
      <c r="F543" t="s">
        <v>481</v>
      </c>
      <c r="G543" t="s">
        <v>482</v>
      </c>
      <c r="H543" t="s">
        <v>236</v>
      </c>
      <c r="I543">
        <f>I541*J543</f>
        <v>11.3</v>
      </c>
      <c r="J543">
        <v>11.3</v>
      </c>
      <c r="O543">
        <f t="shared" si="403"/>
        <v>47856.97</v>
      </c>
      <c r="P543">
        <f t="shared" si="404"/>
        <v>47856.97</v>
      </c>
      <c r="Q543">
        <f t="shared" si="405"/>
        <v>0</v>
      </c>
      <c r="R543">
        <f t="shared" si="406"/>
        <v>0</v>
      </c>
      <c r="S543">
        <f t="shared" si="407"/>
        <v>0</v>
      </c>
      <c r="T543">
        <f t="shared" si="408"/>
        <v>0</v>
      </c>
      <c r="U543">
        <f t="shared" si="409"/>
        <v>0</v>
      </c>
      <c r="V543">
        <f t="shared" si="410"/>
        <v>0</v>
      </c>
      <c r="W543">
        <f t="shared" si="411"/>
        <v>0</v>
      </c>
      <c r="X543">
        <f t="shared" si="412"/>
        <v>0</v>
      </c>
      <c r="Y543">
        <f t="shared" si="413"/>
        <v>0</v>
      </c>
      <c r="AA543">
        <v>-1</v>
      </c>
      <c r="AB543">
        <f t="shared" si="414"/>
        <v>4235.13</v>
      </c>
      <c r="AC543">
        <f>ROUND((ES543),6)</f>
        <v>4235.13</v>
      </c>
      <c r="AD543">
        <f>ROUND((((ET543)-(EU543))+AE543),6)</f>
        <v>0</v>
      </c>
      <c r="AE543">
        <f t="shared" si="436"/>
        <v>0</v>
      </c>
      <c r="AF543">
        <f t="shared" si="436"/>
        <v>0</v>
      </c>
      <c r="AG543">
        <f t="shared" si="415"/>
        <v>0</v>
      </c>
      <c r="AH543">
        <f t="shared" si="437"/>
        <v>0</v>
      </c>
      <c r="AI543">
        <f t="shared" si="437"/>
        <v>0</v>
      </c>
      <c r="AJ543">
        <f t="shared" si="416"/>
        <v>0</v>
      </c>
      <c r="AK543">
        <v>4235.13</v>
      </c>
      <c r="AL543">
        <v>4235.13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70</v>
      </c>
      <c r="AU543">
        <v>10</v>
      </c>
      <c r="AV543">
        <v>1</v>
      </c>
      <c r="AW543">
        <v>1</v>
      </c>
      <c r="AZ543">
        <v>1</v>
      </c>
      <c r="BA543">
        <v>1</v>
      </c>
      <c r="BB543">
        <v>1</v>
      </c>
      <c r="BC543">
        <v>1</v>
      </c>
      <c r="BD543" t="s">
        <v>3</v>
      </c>
      <c r="BE543" t="s">
        <v>3</v>
      </c>
      <c r="BF543" t="s">
        <v>3</v>
      </c>
      <c r="BG543" t="s">
        <v>3</v>
      </c>
      <c r="BH543">
        <v>3</v>
      </c>
      <c r="BI543">
        <v>4</v>
      </c>
      <c r="BJ543" t="s">
        <v>483</v>
      </c>
      <c r="BM543">
        <v>0</v>
      </c>
      <c r="BN543">
        <v>0</v>
      </c>
      <c r="BO543" t="s">
        <v>3</v>
      </c>
      <c r="BP543">
        <v>0</v>
      </c>
      <c r="BQ543">
        <v>1</v>
      </c>
      <c r="BR543">
        <v>0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 t="s">
        <v>3</v>
      </c>
      <c r="BZ543">
        <v>70</v>
      </c>
      <c r="CA543">
        <v>10</v>
      </c>
      <c r="CE543">
        <v>0</v>
      </c>
      <c r="CF543">
        <v>0</v>
      </c>
      <c r="CG543">
        <v>0</v>
      </c>
      <c r="CM543">
        <v>0</v>
      </c>
      <c r="CN543" t="s">
        <v>3</v>
      </c>
      <c r="CO543">
        <v>0</v>
      </c>
      <c r="CP543">
        <f t="shared" si="417"/>
        <v>47856.97</v>
      </c>
      <c r="CQ543">
        <f t="shared" si="418"/>
        <v>4235.13</v>
      </c>
      <c r="CR543">
        <f>((((ET543)*BB543-(EU543)*BS543)+AE543*BS543)*AV543)</f>
        <v>0</v>
      </c>
      <c r="CS543">
        <f t="shared" si="419"/>
        <v>0</v>
      </c>
      <c r="CT543">
        <f t="shared" si="420"/>
        <v>0</v>
      </c>
      <c r="CU543">
        <f t="shared" si="421"/>
        <v>0</v>
      </c>
      <c r="CV543">
        <f t="shared" si="422"/>
        <v>0</v>
      </c>
      <c r="CW543">
        <f t="shared" si="423"/>
        <v>0</v>
      </c>
      <c r="CX543">
        <f t="shared" si="424"/>
        <v>0</v>
      </c>
      <c r="CY543">
        <f t="shared" si="425"/>
        <v>0</v>
      </c>
      <c r="CZ543">
        <f t="shared" si="426"/>
        <v>0</v>
      </c>
      <c r="DC543" t="s">
        <v>3</v>
      </c>
      <c r="DD543" t="s">
        <v>3</v>
      </c>
      <c r="DE543" t="s">
        <v>3</v>
      </c>
      <c r="DF543" t="s">
        <v>3</v>
      </c>
      <c r="DG543" t="s">
        <v>3</v>
      </c>
      <c r="DH543" t="s">
        <v>3</v>
      </c>
      <c r="DI543" t="s">
        <v>3</v>
      </c>
      <c r="DJ543" t="s">
        <v>3</v>
      </c>
      <c r="DK543" t="s">
        <v>3</v>
      </c>
      <c r="DL543" t="s">
        <v>3</v>
      </c>
      <c r="DM543" t="s">
        <v>3</v>
      </c>
      <c r="DN543">
        <v>0</v>
      </c>
      <c r="DO543">
        <v>0</v>
      </c>
      <c r="DP543">
        <v>1</v>
      </c>
      <c r="DQ543">
        <v>1</v>
      </c>
      <c r="DU543">
        <v>1007</v>
      </c>
      <c r="DV543" t="s">
        <v>236</v>
      </c>
      <c r="DW543" t="s">
        <v>236</v>
      </c>
      <c r="DX543">
        <v>1</v>
      </c>
      <c r="EE543">
        <v>67874524</v>
      </c>
      <c r="EF543">
        <v>1</v>
      </c>
      <c r="EG543" t="s">
        <v>20</v>
      </c>
      <c r="EH543">
        <v>0</v>
      </c>
      <c r="EI543" t="s">
        <v>3</v>
      </c>
      <c r="EJ543">
        <v>4</v>
      </c>
      <c r="EK543">
        <v>0</v>
      </c>
      <c r="EL543" t="s">
        <v>21</v>
      </c>
      <c r="EM543" t="s">
        <v>22</v>
      </c>
      <c r="EO543" t="s">
        <v>3</v>
      </c>
      <c r="EQ543">
        <v>1024</v>
      </c>
      <c r="ER543">
        <v>4235.13</v>
      </c>
      <c r="ES543">
        <v>4235.13</v>
      </c>
      <c r="ET543">
        <v>0</v>
      </c>
      <c r="EU543">
        <v>0</v>
      </c>
      <c r="EV543">
        <v>0</v>
      </c>
      <c r="EW543">
        <v>0</v>
      </c>
      <c r="EX543">
        <v>0</v>
      </c>
      <c r="FQ543">
        <v>0</v>
      </c>
      <c r="FR543">
        <f t="shared" si="427"/>
        <v>0</v>
      </c>
      <c r="FS543">
        <v>0</v>
      </c>
      <c r="FX543">
        <v>70</v>
      </c>
      <c r="FY543">
        <v>10</v>
      </c>
      <c r="GA543" t="s">
        <v>3</v>
      </c>
      <c r="GD543">
        <v>0</v>
      </c>
      <c r="GF543">
        <v>93880271</v>
      </c>
      <c r="GG543">
        <v>2</v>
      </c>
      <c r="GH543">
        <v>1</v>
      </c>
      <c r="GI543">
        <v>-2</v>
      </c>
      <c r="GJ543">
        <v>0</v>
      </c>
      <c r="GK543">
        <f>ROUND(R543*(R12)/100,2)</f>
        <v>0</v>
      </c>
      <c r="GL543">
        <f t="shared" si="428"/>
        <v>0</v>
      </c>
      <c r="GM543">
        <f t="shared" si="429"/>
        <v>47856.97</v>
      </c>
      <c r="GN543">
        <f t="shared" si="430"/>
        <v>0</v>
      </c>
      <c r="GO543">
        <f t="shared" si="431"/>
        <v>0</v>
      </c>
      <c r="GP543">
        <f t="shared" si="432"/>
        <v>47856.97</v>
      </c>
      <c r="GR543">
        <v>0</v>
      </c>
      <c r="GS543">
        <v>3</v>
      </c>
      <c r="GT543">
        <v>0</v>
      </c>
      <c r="GU543" t="s">
        <v>3</v>
      </c>
      <c r="GV543">
        <f t="shared" si="433"/>
        <v>0</v>
      </c>
      <c r="GW543">
        <v>1</v>
      </c>
      <c r="GX543">
        <f t="shared" si="434"/>
        <v>0</v>
      </c>
      <c r="HA543">
        <v>0</v>
      </c>
      <c r="HB543">
        <v>0</v>
      </c>
      <c r="HC543">
        <f t="shared" si="435"/>
        <v>0</v>
      </c>
      <c r="IK543">
        <v>0</v>
      </c>
    </row>
    <row r="544" spans="1:245" x14ac:dyDescent="0.2">
      <c r="A544">
        <v>17</v>
      </c>
      <c r="B544">
        <v>1</v>
      </c>
      <c r="D544">
        <f>ROW(EtalonRes!A472)</f>
        <v>472</v>
      </c>
      <c r="E544" t="s">
        <v>3</v>
      </c>
      <c r="F544" t="s">
        <v>484</v>
      </c>
      <c r="G544" t="s">
        <v>485</v>
      </c>
      <c r="H544" t="s">
        <v>28</v>
      </c>
      <c r="I544">
        <f>ROUND(100.23/100,9)</f>
        <v>1.0023</v>
      </c>
      <c r="J544">
        <v>0</v>
      </c>
      <c r="O544">
        <f t="shared" si="403"/>
        <v>7316.5</v>
      </c>
      <c r="P544">
        <f t="shared" si="404"/>
        <v>0</v>
      </c>
      <c r="Q544">
        <f t="shared" si="405"/>
        <v>188.15</v>
      </c>
      <c r="R544">
        <f t="shared" si="406"/>
        <v>0.3</v>
      </c>
      <c r="S544">
        <f t="shared" si="407"/>
        <v>7128.35</v>
      </c>
      <c r="T544">
        <f t="shared" si="408"/>
        <v>0</v>
      </c>
      <c r="U544">
        <f t="shared" si="409"/>
        <v>35.260914</v>
      </c>
      <c r="V544">
        <f t="shared" si="410"/>
        <v>0</v>
      </c>
      <c r="W544">
        <f t="shared" si="411"/>
        <v>0</v>
      </c>
      <c r="X544">
        <f t="shared" si="412"/>
        <v>4989.8500000000004</v>
      </c>
      <c r="Y544">
        <f t="shared" si="413"/>
        <v>712.84</v>
      </c>
      <c r="AA544">
        <v>-1</v>
      </c>
      <c r="AB544">
        <f t="shared" si="414"/>
        <v>7299.71</v>
      </c>
      <c r="AC544">
        <f>ROUND((ES544),6)</f>
        <v>0</v>
      </c>
      <c r="AD544">
        <f>ROUND((((ET544)-(EU544))+AE544),6)</f>
        <v>187.72</v>
      </c>
      <c r="AE544">
        <f t="shared" si="436"/>
        <v>0.3</v>
      </c>
      <c r="AF544">
        <f t="shared" si="436"/>
        <v>7111.99</v>
      </c>
      <c r="AG544">
        <f t="shared" si="415"/>
        <v>0</v>
      </c>
      <c r="AH544">
        <f t="shared" si="437"/>
        <v>35.18</v>
      </c>
      <c r="AI544">
        <f t="shared" si="437"/>
        <v>0</v>
      </c>
      <c r="AJ544">
        <f t="shared" si="416"/>
        <v>0</v>
      </c>
      <c r="AK544">
        <v>7299.71</v>
      </c>
      <c r="AL544">
        <v>0</v>
      </c>
      <c r="AM544">
        <v>187.72</v>
      </c>
      <c r="AN544">
        <v>0.3</v>
      </c>
      <c r="AO544">
        <v>7111.99</v>
      </c>
      <c r="AP544">
        <v>0</v>
      </c>
      <c r="AQ544">
        <v>35.18</v>
      </c>
      <c r="AR544">
        <v>0</v>
      </c>
      <c r="AS544">
        <v>0</v>
      </c>
      <c r="AT544">
        <v>70</v>
      </c>
      <c r="AU544">
        <v>10</v>
      </c>
      <c r="AV544">
        <v>1</v>
      </c>
      <c r="AW544">
        <v>1</v>
      </c>
      <c r="AZ544">
        <v>1</v>
      </c>
      <c r="BA544">
        <v>1</v>
      </c>
      <c r="BB544">
        <v>1</v>
      </c>
      <c r="BC544">
        <v>1</v>
      </c>
      <c r="BD544" t="s">
        <v>3</v>
      </c>
      <c r="BE544" t="s">
        <v>3</v>
      </c>
      <c r="BF544" t="s">
        <v>3</v>
      </c>
      <c r="BG544" t="s">
        <v>3</v>
      </c>
      <c r="BH544">
        <v>0</v>
      </c>
      <c r="BI544">
        <v>4</v>
      </c>
      <c r="BJ544" t="s">
        <v>486</v>
      </c>
      <c r="BM544">
        <v>0</v>
      </c>
      <c r="BN544">
        <v>0</v>
      </c>
      <c r="BO544" t="s">
        <v>3</v>
      </c>
      <c r="BP544">
        <v>0</v>
      </c>
      <c r="BQ544">
        <v>1</v>
      </c>
      <c r="BR544">
        <v>0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 t="s">
        <v>3</v>
      </c>
      <c r="BZ544">
        <v>70</v>
      </c>
      <c r="CA544">
        <v>10</v>
      </c>
      <c r="CE544">
        <v>0</v>
      </c>
      <c r="CF544">
        <v>0</v>
      </c>
      <c r="CG544">
        <v>0</v>
      </c>
      <c r="CM544">
        <v>0</v>
      </c>
      <c r="CN544" t="s">
        <v>3</v>
      </c>
      <c r="CO544">
        <v>0</v>
      </c>
      <c r="CP544">
        <f t="shared" si="417"/>
        <v>7316.5</v>
      </c>
      <c r="CQ544">
        <f t="shared" si="418"/>
        <v>0</v>
      </c>
      <c r="CR544">
        <f>((((ET544)*BB544-(EU544)*BS544)+AE544*BS544)*AV544)</f>
        <v>187.72</v>
      </c>
      <c r="CS544">
        <f t="shared" si="419"/>
        <v>0.3</v>
      </c>
      <c r="CT544">
        <f t="shared" si="420"/>
        <v>7111.99</v>
      </c>
      <c r="CU544">
        <f t="shared" si="421"/>
        <v>0</v>
      </c>
      <c r="CV544">
        <f t="shared" si="422"/>
        <v>35.18</v>
      </c>
      <c r="CW544">
        <f t="shared" si="423"/>
        <v>0</v>
      </c>
      <c r="CX544">
        <f t="shared" si="424"/>
        <v>0</v>
      </c>
      <c r="CY544">
        <f t="shared" si="425"/>
        <v>4989.8450000000003</v>
      </c>
      <c r="CZ544">
        <f t="shared" si="426"/>
        <v>712.83500000000004</v>
      </c>
      <c r="DC544" t="s">
        <v>3</v>
      </c>
      <c r="DD544" t="s">
        <v>3</v>
      </c>
      <c r="DE544" t="s">
        <v>3</v>
      </c>
      <c r="DF544" t="s">
        <v>3</v>
      </c>
      <c r="DG544" t="s">
        <v>3</v>
      </c>
      <c r="DH544" t="s">
        <v>3</v>
      </c>
      <c r="DI544" t="s">
        <v>3</v>
      </c>
      <c r="DJ544" t="s">
        <v>3</v>
      </c>
      <c r="DK544" t="s">
        <v>3</v>
      </c>
      <c r="DL544" t="s">
        <v>3</v>
      </c>
      <c r="DM544" t="s">
        <v>3</v>
      </c>
      <c r="DN544">
        <v>0</v>
      </c>
      <c r="DO544">
        <v>0</v>
      </c>
      <c r="DP544">
        <v>1</v>
      </c>
      <c r="DQ544">
        <v>1</v>
      </c>
      <c r="DU544">
        <v>1005</v>
      </c>
      <c r="DV544" t="s">
        <v>28</v>
      </c>
      <c r="DW544" t="s">
        <v>28</v>
      </c>
      <c r="DX544">
        <v>100</v>
      </c>
      <c r="EE544">
        <v>67874524</v>
      </c>
      <c r="EF544">
        <v>1</v>
      </c>
      <c r="EG544" t="s">
        <v>20</v>
      </c>
      <c r="EH544">
        <v>0</v>
      </c>
      <c r="EI544" t="s">
        <v>3</v>
      </c>
      <c r="EJ544">
        <v>4</v>
      </c>
      <c r="EK544">
        <v>0</v>
      </c>
      <c r="EL544" t="s">
        <v>21</v>
      </c>
      <c r="EM544" t="s">
        <v>22</v>
      </c>
      <c r="EO544" t="s">
        <v>3</v>
      </c>
      <c r="EQ544">
        <v>132096</v>
      </c>
      <c r="ER544">
        <v>7299.71</v>
      </c>
      <c r="ES544">
        <v>0</v>
      </c>
      <c r="ET544">
        <v>187.72</v>
      </c>
      <c r="EU544">
        <v>0.3</v>
      </c>
      <c r="EV544">
        <v>7111.99</v>
      </c>
      <c r="EW544">
        <v>35.18</v>
      </c>
      <c r="EX544">
        <v>0</v>
      </c>
      <c r="EY544">
        <v>0</v>
      </c>
      <c r="FQ544">
        <v>0</v>
      </c>
      <c r="FR544">
        <f t="shared" si="427"/>
        <v>0</v>
      </c>
      <c r="FS544">
        <v>0</v>
      </c>
      <c r="FX544">
        <v>70</v>
      </c>
      <c r="FY544">
        <v>10</v>
      </c>
      <c r="GA544" t="s">
        <v>3</v>
      </c>
      <c r="GD544">
        <v>0</v>
      </c>
      <c r="GF544">
        <v>1301913509</v>
      </c>
      <c r="GG544">
        <v>2</v>
      </c>
      <c r="GH544">
        <v>1</v>
      </c>
      <c r="GI544">
        <v>-2</v>
      </c>
      <c r="GJ544">
        <v>0</v>
      </c>
      <c r="GK544">
        <f>ROUND(R544*(R12)/100,2)</f>
        <v>0.32</v>
      </c>
      <c r="GL544">
        <f t="shared" si="428"/>
        <v>0</v>
      </c>
      <c r="GM544">
        <f t="shared" si="429"/>
        <v>13019.51</v>
      </c>
      <c r="GN544">
        <f t="shared" si="430"/>
        <v>0</v>
      </c>
      <c r="GO544">
        <f t="shared" si="431"/>
        <v>0</v>
      </c>
      <c r="GP544">
        <f t="shared" si="432"/>
        <v>13019.51</v>
      </c>
      <c r="GR544">
        <v>0</v>
      </c>
      <c r="GS544">
        <v>3</v>
      </c>
      <c r="GT544">
        <v>0</v>
      </c>
      <c r="GU544" t="s">
        <v>3</v>
      </c>
      <c r="GV544">
        <f t="shared" si="433"/>
        <v>0</v>
      </c>
      <c r="GW544">
        <v>1</v>
      </c>
      <c r="GX544">
        <f t="shared" si="434"/>
        <v>0</v>
      </c>
      <c r="HA544">
        <v>0</v>
      </c>
      <c r="HB544">
        <v>0</v>
      </c>
      <c r="HC544">
        <f t="shared" si="435"/>
        <v>0</v>
      </c>
      <c r="IK544">
        <v>0</v>
      </c>
    </row>
    <row r="545" spans="1:245" x14ac:dyDescent="0.2">
      <c r="A545">
        <v>17</v>
      </c>
      <c r="B545">
        <v>1</v>
      </c>
      <c r="D545">
        <f>ROW(EtalonRes!A478)</f>
        <v>478</v>
      </c>
      <c r="E545" t="s">
        <v>3</v>
      </c>
      <c r="F545" t="s">
        <v>468</v>
      </c>
      <c r="G545" t="s">
        <v>469</v>
      </c>
      <c r="H545" t="s">
        <v>28</v>
      </c>
      <c r="I545">
        <v>0</v>
      </c>
      <c r="J545">
        <v>0</v>
      </c>
      <c r="O545">
        <f t="shared" si="403"/>
        <v>0</v>
      </c>
      <c r="P545">
        <f t="shared" si="404"/>
        <v>0</v>
      </c>
      <c r="Q545">
        <f t="shared" si="405"/>
        <v>0</v>
      </c>
      <c r="R545">
        <f t="shared" si="406"/>
        <v>0</v>
      </c>
      <c r="S545">
        <f t="shared" si="407"/>
        <v>0</v>
      </c>
      <c r="T545">
        <f t="shared" si="408"/>
        <v>0</v>
      </c>
      <c r="U545">
        <f t="shared" si="409"/>
        <v>0</v>
      </c>
      <c r="V545">
        <f t="shared" si="410"/>
        <v>0</v>
      </c>
      <c r="W545">
        <f t="shared" si="411"/>
        <v>0</v>
      </c>
      <c r="X545">
        <f t="shared" si="412"/>
        <v>0</v>
      </c>
      <c r="Y545">
        <f t="shared" si="413"/>
        <v>0</v>
      </c>
      <c r="AA545">
        <v>-1</v>
      </c>
      <c r="AB545">
        <f t="shared" si="414"/>
        <v>1414.2449999999999</v>
      </c>
      <c r="AC545">
        <f>ROUND(((ES545*0.5)),6)</f>
        <v>511.05500000000001</v>
      </c>
      <c r="AD545">
        <f>ROUND(((((ET545*0.5))-((EU545*0.5)))+AE545),6)</f>
        <v>72.14</v>
      </c>
      <c r="AE545">
        <f>ROUND(((EU545*0.5)),6)</f>
        <v>25</v>
      </c>
      <c r="AF545">
        <f>ROUND(((EV545*0.5)),6)</f>
        <v>831.05</v>
      </c>
      <c r="AG545">
        <f t="shared" si="415"/>
        <v>0</v>
      </c>
      <c r="AH545">
        <f>((EW545*0.5))</f>
        <v>3.0550000000000002</v>
      </c>
      <c r="AI545">
        <f>((EX545*0.5))</f>
        <v>0</v>
      </c>
      <c r="AJ545">
        <f t="shared" si="416"/>
        <v>0</v>
      </c>
      <c r="AK545">
        <v>2828.49</v>
      </c>
      <c r="AL545">
        <v>1022.11</v>
      </c>
      <c r="AM545">
        <v>144.28</v>
      </c>
      <c r="AN545">
        <v>50</v>
      </c>
      <c r="AO545">
        <v>1662.1</v>
      </c>
      <c r="AP545">
        <v>0</v>
      </c>
      <c r="AQ545">
        <v>6.11</v>
      </c>
      <c r="AR545">
        <v>0</v>
      </c>
      <c r="AS545">
        <v>0</v>
      </c>
      <c r="AT545">
        <v>70</v>
      </c>
      <c r="AU545">
        <v>10</v>
      </c>
      <c r="AV545">
        <v>1</v>
      </c>
      <c r="AW545">
        <v>1</v>
      </c>
      <c r="AZ545">
        <v>1</v>
      </c>
      <c r="BA545">
        <v>1</v>
      </c>
      <c r="BB545">
        <v>1</v>
      </c>
      <c r="BC545">
        <v>1</v>
      </c>
      <c r="BD545" t="s">
        <v>3</v>
      </c>
      <c r="BE545" t="s">
        <v>3</v>
      </c>
      <c r="BF545" t="s">
        <v>3</v>
      </c>
      <c r="BG545" t="s">
        <v>3</v>
      </c>
      <c r="BH545">
        <v>0</v>
      </c>
      <c r="BI545">
        <v>4</v>
      </c>
      <c r="BJ545" t="s">
        <v>470</v>
      </c>
      <c r="BM545">
        <v>0</v>
      </c>
      <c r="BN545">
        <v>0</v>
      </c>
      <c r="BO545" t="s">
        <v>3</v>
      </c>
      <c r="BP545">
        <v>0</v>
      </c>
      <c r="BQ545">
        <v>1</v>
      </c>
      <c r="BR545">
        <v>0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 t="s">
        <v>3</v>
      </c>
      <c r="BZ545">
        <v>70</v>
      </c>
      <c r="CA545">
        <v>10</v>
      </c>
      <c r="CE545">
        <v>0</v>
      </c>
      <c r="CF545">
        <v>0</v>
      </c>
      <c r="CG545">
        <v>0</v>
      </c>
      <c r="CM545">
        <v>0</v>
      </c>
      <c r="CN545" t="s">
        <v>3</v>
      </c>
      <c r="CO545">
        <v>0</v>
      </c>
      <c r="CP545">
        <f t="shared" si="417"/>
        <v>0</v>
      </c>
      <c r="CQ545">
        <f t="shared" si="418"/>
        <v>511.05500000000001</v>
      </c>
      <c r="CR545">
        <f>(((((ET545*0.5))*BB545-((EU545*0.5))*BS545)+AE545*BS545)*AV545)</f>
        <v>72.14</v>
      </c>
      <c r="CS545">
        <f t="shared" si="419"/>
        <v>25</v>
      </c>
      <c r="CT545">
        <f t="shared" si="420"/>
        <v>831.05</v>
      </c>
      <c r="CU545">
        <f t="shared" si="421"/>
        <v>0</v>
      </c>
      <c r="CV545">
        <f t="shared" si="422"/>
        <v>3.0550000000000002</v>
      </c>
      <c r="CW545">
        <f t="shared" si="423"/>
        <v>0</v>
      </c>
      <c r="CX545">
        <f t="shared" si="424"/>
        <v>0</v>
      </c>
      <c r="CY545">
        <f t="shared" si="425"/>
        <v>0</v>
      </c>
      <c r="CZ545">
        <f t="shared" si="426"/>
        <v>0</v>
      </c>
      <c r="DC545" t="s">
        <v>3</v>
      </c>
      <c r="DD545" t="s">
        <v>487</v>
      </c>
      <c r="DE545" t="s">
        <v>487</v>
      </c>
      <c r="DF545" t="s">
        <v>487</v>
      </c>
      <c r="DG545" t="s">
        <v>487</v>
      </c>
      <c r="DH545" t="s">
        <v>3</v>
      </c>
      <c r="DI545" t="s">
        <v>487</v>
      </c>
      <c r="DJ545" t="s">
        <v>487</v>
      </c>
      <c r="DK545" t="s">
        <v>3</v>
      </c>
      <c r="DL545" t="s">
        <v>3</v>
      </c>
      <c r="DM545" t="s">
        <v>3</v>
      </c>
      <c r="DN545">
        <v>0</v>
      </c>
      <c r="DO545">
        <v>0</v>
      </c>
      <c r="DP545">
        <v>1</v>
      </c>
      <c r="DQ545">
        <v>1</v>
      </c>
      <c r="DU545">
        <v>1005</v>
      </c>
      <c r="DV545" t="s">
        <v>28</v>
      </c>
      <c r="DW545" t="s">
        <v>28</v>
      </c>
      <c r="DX545">
        <v>100</v>
      </c>
      <c r="EE545">
        <v>67874524</v>
      </c>
      <c r="EF545">
        <v>1</v>
      </c>
      <c r="EG545" t="s">
        <v>20</v>
      </c>
      <c r="EH545">
        <v>0</v>
      </c>
      <c r="EI545" t="s">
        <v>3</v>
      </c>
      <c r="EJ545">
        <v>4</v>
      </c>
      <c r="EK545">
        <v>0</v>
      </c>
      <c r="EL545" t="s">
        <v>21</v>
      </c>
      <c r="EM545" t="s">
        <v>22</v>
      </c>
      <c r="EO545" t="s">
        <v>3</v>
      </c>
      <c r="EQ545">
        <v>132096</v>
      </c>
      <c r="ER545">
        <v>2828.49</v>
      </c>
      <c r="ES545">
        <v>1022.11</v>
      </c>
      <c r="ET545">
        <v>144.28</v>
      </c>
      <c r="EU545">
        <v>50</v>
      </c>
      <c r="EV545">
        <v>1662.1</v>
      </c>
      <c r="EW545">
        <v>6.11</v>
      </c>
      <c r="EX545">
        <v>0</v>
      </c>
      <c r="EY545">
        <v>0</v>
      </c>
      <c r="FQ545">
        <v>0</v>
      </c>
      <c r="FR545">
        <f t="shared" si="427"/>
        <v>0</v>
      </c>
      <c r="FS545">
        <v>0</v>
      </c>
      <c r="FX545">
        <v>70</v>
      </c>
      <c r="FY545">
        <v>10</v>
      </c>
      <c r="GA545" t="s">
        <v>3</v>
      </c>
      <c r="GD545">
        <v>0</v>
      </c>
      <c r="GF545">
        <v>-337143685</v>
      </c>
      <c r="GG545">
        <v>2</v>
      </c>
      <c r="GH545">
        <v>1</v>
      </c>
      <c r="GI545">
        <v>-2</v>
      </c>
      <c r="GJ545">
        <v>0</v>
      </c>
      <c r="GK545">
        <f>ROUND(R545*(R12)/100,2)</f>
        <v>0</v>
      </c>
      <c r="GL545">
        <f t="shared" si="428"/>
        <v>0</v>
      </c>
      <c r="GM545">
        <f t="shared" si="429"/>
        <v>0</v>
      </c>
      <c r="GN545">
        <f t="shared" si="430"/>
        <v>0</v>
      </c>
      <c r="GO545">
        <f t="shared" si="431"/>
        <v>0</v>
      </c>
      <c r="GP545">
        <f t="shared" si="432"/>
        <v>0</v>
      </c>
      <c r="GR545">
        <v>0</v>
      </c>
      <c r="GS545">
        <v>3</v>
      </c>
      <c r="GT545">
        <v>0</v>
      </c>
      <c r="GU545" t="s">
        <v>3</v>
      </c>
      <c r="GV545">
        <f t="shared" si="433"/>
        <v>0</v>
      </c>
      <c r="GW545">
        <v>1</v>
      </c>
      <c r="GX545">
        <f t="shared" si="434"/>
        <v>0</v>
      </c>
      <c r="HA545">
        <v>0</v>
      </c>
      <c r="HB545">
        <v>0</v>
      </c>
      <c r="HC545">
        <f t="shared" si="435"/>
        <v>0</v>
      </c>
      <c r="IK545">
        <v>0</v>
      </c>
    </row>
    <row r="546" spans="1:245" x14ac:dyDescent="0.2">
      <c r="A546">
        <v>17</v>
      </c>
      <c r="B546">
        <v>1</v>
      </c>
      <c r="D546">
        <f>ROW(EtalonRes!A482)</f>
        <v>482</v>
      </c>
      <c r="E546" t="s">
        <v>3</v>
      </c>
      <c r="F546" t="s">
        <v>471</v>
      </c>
      <c r="G546" t="s">
        <v>488</v>
      </c>
      <c r="H546" t="s">
        <v>28</v>
      </c>
      <c r="I546">
        <f>ROUND(I545,9)</f>
        <v>0</v>
      </c>
      <c r="J546">
        <v>0</v>
      </c>
      <c r="O546">
        <f t="shared" si="403"/>
        <v>0</v>
      </c>
      <c r="P546">
        <f t="shared" si="404"/>
        <v>0</v>
      </c>
      <c r="Q546">
        <f t="shared" si="405"/>
        <v>0</v>
      </c>
      <c r="R546">
        <f t="shared" si="406"/>
        <v>0</v>
      </c>
      <c r="S546">
        <f t="shared" si="407"/>
        <v>0</v>
      </c>
      <c r="T546">
        <f t="shared" si="408"/>
        <v>0</v>
      </c>
      <c r="U546">
        <f t="shared" si="409"/>
        <v>0</v>
      </c>
      <c r="V546">
        <f t="shared" si="410"/>
        <v>0</v>
      </c>
      <c r="W546">
        <f t="shared" si="411"/>
        <v>0</v>
      </c>
      <c r="X546">
        <f t="shared" si="412"/>
        <v>0</v>
      </c>
      <c r="Y546">
        <f t="shared" si="413"/>
        <v>0</v>
      </c>
      <c r="AA546">
        <v>-1</v>
      </c>
      <c r="AB546">
        <f t="shared" si="414"/>
        <v>1597.61</v>
      </c>
      <c r="AC546">
        <f>ROUND((((ES546*2)*0.5)),6)</f>
        <v>1041.4100000000001</v>
      </c>
      <c r="AD546">
        <f>ROUND((((((ET546*2)*0.5))-(((EU546*2)*0.5)))+AE546),6)</f>
        <v>6.84</v>
      </c>
      <c r="AE546">
        <f>ROUND((((EU546*2)*0.5)),6)</f>
        <v>3.71</v>
      </c>
      <c r="AF546">
        <f>ROUND((((EV546*2)*0.5)),6)</f>
        <v>549.36</v>
      </c>
      <c r="AG546">
        <f t="shared" si="415"/>
        <v>0</v>
      </c>
      <c r="AH546">
        <f>(((EW546*2)*0.5))</f>
        <v>2.4500000000000002</v>
      </c>
      <c r="AI546">
        <f>(((EX546*2)*0.5))</f>
        <v>0</v>
      </c>
      <c r="AJ546">
        <f t="shared" si="416"/>
        <v>0</v>
      </c>
      <c r="AK546">
        <v>1597.61</v>
      </c>
      <c r="AL546">
        <v>1041.4100000000001</v>
      </c>
      <c r="AM546">
        <v>6.84</v>
      </c>
      <c r="AN546">
        <v>3.71</v>
      </c>
      <c r="AO546">
        <v>549.36</v>
      </c>
      <c r="AP546">
        <v>0</v>
      </c>
      <c r="AQ546">
        <v>2.4500000000000002</v>
      </c>
      <c r="AR546">
        <v>0</v>
      </c>
      <c r="AS546">
        <v>0</v>
      </c>
      <c r="AT546">
        <v>70</v>
      </c>
      <c r="AU546">
        <v>10</v>
      </c>
      <c r="AV546">
        <v>1</v>
      </c>
      <c r="AW546">
        <v>1</v>
      </c>
      <c r="AZ546">
        <v>1</v>
      </c>
      <c r="BA546">
        <v>1</v>
      </c>
      <c r="BB546">
        <v>1</v>
      </c>
      <c r="BC546">
        <v>1</v>
      </c>
      <c r="BD546" t="s">
        <v>3</v>
      </c>
      <c r="BE546" t="s">
        <v>3</v>
      </c>
      <c r="BF546" t="s">
        <v>3</v>
      </c>
      <c r="BG546" t="s">
        <v>3</v>
      </c>
      <c r="BH546">
        <v>0</v>
      </c>
      <c r="BI546">
        <v>4</v>
      </c>
      <c r="BJ546" t="s">
        <v>473</v>
      </c>
      <c r="BM546">
        <v>0</v>
      </c>
      <c r="BN546">
        <v>0</v>
      </c>
      <c r="BO546" t="s">
        <v>3</v>
      </c>
      <c r="BP546">
        <v>0</v>
      </c>
      <c r="BQ546">
        <v>1</v>
      </c>
      <c r="BR546">
        <v>0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 t="s">
        <v>3</v>
      </c>
      <c r="BZ546">
        <v>70</v>
      </c>
      <c r="CA546">
        <v>10</v>
      </c>
      <c r="CE546">
        <v>0</v>
      </c>
      <c r="CF546">
        <v>0</v>
      </c>
      <c r="CG546">
        <v>0</v>
      </c>
      <c r="CM546">
        <v>0</v>
      </c>
      <c r="CN546" t="s">
        <v>3</v>
      </c>
      <c r="CO546">
        <v>0</v>
      </c>
      <c r="CP546">
        <f t="shared" si="417"/>
        <v>0</v>
      </c>
      <c r="CQ546">
        <f t="shared" si="418"/>
        <v>1041.4100000000001</v>
      </c>
      <c r="CR546">
        <f>((((((ET546*2)*0.5))*BB546-(((EU546*2)*0.5))*BS546)+AE546*BS546)*AV546)</f>
        <v>6.84</v>
      </c>
      <c r="CS546">
        <f t="shared" si="419"/>
        <v>3.71</v>
      </c>
      <c r="CT546">
        <f t="shared" si="420"/>
        <v>549.36</v>
      </c>
      <c r="CU546">
        <f t="shared" si="421"/>
        <v>0</v>
      </c>
      <c r="CV546">
        <f t="shared" si="422"/>
        <v>2.4500000000000002</v>
      </c>
      <c r="CW546">
        <f t="shared" si="423"/>
        <v>0</v>
      </c>
      <c r="CX546">
        <f t="shared" si="424"/>
        <v>0</v>
      </c>
      <c r="CY546">
        <f t="shared" si="425"/>
        <v>0</v>
      </c>
      <c r="CZ546">
        <f t="shared" si="426"/>
        <v>0</v>
      </c>
      <c r="DC546" t="s">
        <v>3</v>
      </c>
      <c r="DD546" t="s">
        <v>489</v>
      </c>
      <c r="DE546" t="s">
        <v>489</v>
      </c>
      <c r="DF546" t="s">
        <v>489</v>
      </c>
      <c r="DG546" t="s">
        <v>489</v>
      </c>
      <c r="DH546" t="s">
        <v>3</v>
      </c>
      <c r="DI546" t="s">
        <v>489</v>
      </c>
      <c r="DJ546" t="s">
        <v>489</v>
      </c>
      <c r="DK546" t="s">
        <v>3</v>
      </c>
      <c r="DL546" t="s">
        <v>3</v>
      </c>
      <c r="DM546" t="s">
        <v>3</v>
      </c>
      <c r="DN546">
        <v>0</v>
      </c>
      <c r="DO546">
        <v>0</v>
      </c>
      <c r="DP546">
        <v>1</v>
      </c>
      <c r="DQ546">
        <v>1</v>
      </c>
      <c r="DU546">
        <v>1005</v>
      </c>
      <c r="DV546" t="s">
        <v>28</v>
      </c>
      <c r="DW546" t="s">
        <v>28</v>
      </c>
      <c r="DX546">
        <v>100</v>
      </c>
      <c r="EE546">
        <v>67874524</v>
      </c>
      <c r="EF546">
        <v>1</v>
      </c>
      <c r="EG546" t="s">
        <v>20</v>
      </c>
      <c r="EH546">
        <v>0</v>
      </c>
      <c r="EI546" t="s">
        <v>3</v>
      </c>
      <c r="EJ546">
        <v>4</v>
      </c>
      <c r="EK546">
        <v>0</v>
      </c>
      <c r="EL546" t="s">
        <v>21</v>
      </c>
      <c r="EM546" t="s">
        <v>22</v>
      </c>
      <c r="EO546" t="s">
        <v>3</v>
      </c>
      <c r="EQ546">
        <v>132096</v>
      </c>
      <c r="ER546">
        <v>1597.61</v>
      </c>
      <c r="ES546">
        <v>1041.4100000000001</v>
      </c>
      <c r="ET546">
        <v>6.84</v>
      </c>
      <c r="EU546">
        <v>3.71</v>
      </c>
      <c r="EV546">
        <v>549.36</v>
      </c>
      <c r="EW546">
        <v>2.4500000000000002</v>
      </c>
      <c r="EX546">
        <v>0</v>
      </c>
      <c r="EY546">
        <v>0</v>
      </c>
      <c r="FQ546">
        <v>0</v>
      </c>
      <c r="FR546">
        <f t="shared" si="427"/>
        <v>0</v>
      </c>
      <c r="FS546">
        <v>0</v>
      </c>
      <c r="FX546">
        <v>70</v>
      </c>
      <c r="FY546">
        <v>10</v>
      </c>
      <c r="GA546" t="s">
        <v>3</v>
      </c>
      <c r="GD546">
        <v>0</v>
      </c>
      <c r="GF546">
        <v>1574871893</v>
      </c>
      <c r="GG546">
        <v>2</v>
      </c>
      <c r="GH546">
        <v>1</v>
      </c>
      <c r="GI546">
        <v>-2</v>
      </c>
      <c r="GJ546">
        <v>0</v>
      </c>
      <c r="GK546">
        <f>ROUND(R546*(R12)/100,2)</f>
        <v>0</v>
      </c>
      <c r="GL546">
        <f t="shared" si="428"/>
        <v>0</v>
      </c>
      <c r="GM546">
        <f t="shared" si="429"/>
        <v>0</v>
      </c>
      <c r="GN546">
        <f t="shared" si="430"/>
        <v>0</v>
      </c>
      <c r="GO546">
        <f t="shared" si="431"/>
        <v>0</v>
      </c>
      <c r="GP546">
        <f t="shared" si="432"/>
        <v>0</v>
      </c>
      <c r="GR546">
        <v>0</v>
      </c>
      <c r="GS546">
        <v>3</v>
      </c>
      <c r="GT546">
        <v>0</v>
      </c>
      <c r="GU546" t="s">
        <v>3</v>
      </c>
      <c r="GV546">
        <f t="shared" si="433"/>
        <v>0</v>
      </c>
      <c r="GW546">
        <v>1</v>
      </c>
      <c r="GX546">
        <f t="shared" si="434"/>
        <v>0</v>
      </c>
      <c r="HA546">
        <v>0</v>
      </c>
      <c r="HB546">
        <v>0</v>
      </c>
      <c r="HC546">
        <f t="shared" si="435"/>
        <v>0</v>
      </c>
      <c r="IK546">
        <v>0</v>
      </c>
    </row>
    <row r="547" spans="1:245" x14ac:dyDescent="0.2">
      <c r="A547">
        <v>17</v>
      </c>
      <c r="B547">
        <v>1</v>
      </c>
      <c r="D547">
        <f>ROW(EtalonRes!A488)</f>
        <v>488</v>
      </c>
      <c r="E547" t="s">
        <v>3</v>
      </c>
      <c r="F547" t="s">
        <v>468</v>
      </c>
      <c r="G547" t="s">
        <v>469</v>
      </c>
      <c r="H547" t="s">
        <v>28</v>
      </c>
      <c r="I547">
        <f>ROUND(69/100,9)</f>
        <v>0.69</v>
      </c>
      <c r="J547">
        <v>0</v>
      </c>
      <c r="O547">
        <f t="shared" si="403"/>
        <v>1951.66</v>
      </c>
      <c r="P547">
        <f t="shared" si="404"/>
        <v>705.26</v>
      </c>
      <c r="Q547">
        <f t="shared" si="405"/>
        <v>99.55</v>
      </c>
      <c r="R547">
        <f t="shared" si="406"/>
        <v>34.5</v>
      </c>
      <c r="S547">
        <f t="shared" si="407"/>
        <v>1146.8499999999999</v>
      </c>
      <c r="T547">
        <f t="shared" si="408"/>
        <v>0</v>
      </c>
      <c r="U547">
        <f t="shared" si="409"/>
        <v>4.2158999999999995</v>
      </c>
      <c r="V547">
        <f t="shared" si="410"/>
        <v>0</v>
      </c>
      <c r="W547">
        <f t="shared" si="411"/>
        <v>0</v>
      </c>
      <c r="X547">
        <f t="shared" si="412"/>
        <v>802.8</v>
      </c>
      <c r="Y547">
        <f t="shared" si="413"/>
        <v>114.69</v>
      </c>
      <c r="AA547">
        <v>-1</v>
      </c>
      <c r="AB547">
        <f t="shared" si="414"/>
        <v>2828.49</v>
      </c>
      <c r="AC547">
        <f>ROUND((ES547),6)</f>
        <v>1022.11</v>
      </c>
      <c r="AD547">
        <f>ROUND((((ET547)-(EU547))+AE547),6)</f>
        <v>144.28</v>
      </c>
      <c r="AE547">
        <f>ROUND((EU547),6)</f>
        <v>50</v>
      </c>
      <c r="AF547">
        <f>ROUND((EV547),6)</f>
        <v>1662.1</v>
      </c>
      <c r="AG547">
        <f t="shared" si="415"/>
        <v>0</v>
      </c>
      <c r="AH547">
        <f>(EW547)</f>
        <v>6.11</v>
      </c>
      <c r="AI547">
        <f>(EX547)</f>
        <v>0</v>
      </c>
      <c r="AJ547">
        <f t="shared" si="416"/>
        <v>0</v>
      </c>
      <c r="AK547">
        <v>2828.49</v>
      </c>
      <c r="AL547">
        <v>1022.11</v>
      </c>
      <c r="AM547">
        <v>144.28</v>
      </c>
      <c r="AN547">
        <v>50</v>
      </c>
      <c r="AO547">
        <v>1662.1</v>
      </c>
      <c r="AP547">
        <v>0</v>
      </c>
      <c r="AQ547">
        <v>6.11</v>
      </c>
      <c r="AR547">
        <v>0</v>
      </c>
      <c r="AS547">
        <v>0</v>
      </c>
      <c r="AT547">
        <v>70</v>
      </c>
      <c r="AU547">
        <v>10</v>
      </c>
      <c r="AV547">
        <v>1</v>
      </c>
      <c r="AW547">
        <v>1</v>
      </c>
      <c r="AZ547">
        <v>1</v>
      </c>
      <c r="BA547">
        <v>1</v>
      </c>
      <c r="BB547">
        <v>1</v>
      </c>
      <c r="BC547">
        <v>1</v>
      </c>
      <c r="BD547" t="s">
        <v>3</v>
      </c>
      <c r="BE547" t="s">
        <v>3</v>
      </c>
      <c r="BF547" t="s">
        <v>3</v>
      </c>
      <c r="BG547" t="s">
        <v>3</v>
      </c>
      <c r="BH547">
        <v>0</v>
      </c>
      <c r="BI547">
        <v>4</v>
      </c>
      <c r="BJ547" t="s">
        <v>470</v>
      </c>
      <c r="BM547">
        <v>0</v>
      </c>
      <c r="BN547">
        <v>0</v>
      </c>
      <c r="BO547" t="s">
        <v>3</v>
      </c>
      <c r="BP547">
        <v>0</v>
      </c>
      <c r="BQ547">
        <v>1</v>
      </c>
      <c r="BR547">
        <v>0</v>
      </c>
      <c r="BS547">
        <v>1</v>
      </c>
      <c r="BT547">
        <v>1</v>
      </c>
      <c r="BU547">
        <v>1</v>
      </c>
      <c r="BV547">
        <v>1</v>
      </c>
      <c r="BW547">
        <v>1</v>
      </c>
      <c r="BX547">
        <v>1</v>
      </c>
      <c r="BY547" t="s">
        <v>3</v>
      </c>
      <c r="BZ547">
        <v>70</v>
      </c>
      <c r="CA547">
        <v>10</v>
      </c>
      <c r="CE547">
        <v>0</v>
      </c>
      <c r="CF547">
        <v>0</v>
      </c>
      <c r="CG547">
        <v>0</v>
      </c>
      <c r="CM547">
        <v>0</v>
      </c>
      <c r="CN547" t="s">
        <v>3</v>
      </c>
      <c r="CO547">
        <v>0</v>
      </c>
      <c r="CP547">
        <f t="shared" si="417"/>
        <v>1951.6599999999999</v>
      </c>
      <c r="CQ547">
        <f t="shared" si="418"/>
        <v>1022.11</v>
      </c>
      <c r="CR547">
        <f>((((ET547)*BB547-(EU547)*BS547)+AE547*BS547)*AV547)</f>
        <v>144.28</v>
      </c>
      <c r="CS547">
        <f t="shared" si="419"/>
        <v>50</v>
      </c>
      <c r="CT547">
        <f t="shared" si="420"/>
        <v>1662.1</v>
      </c>
      <c r="CU547">
        <f t="shared" si="421"/>
        <v>0</v>
      </c>
      <c r="CV547">
        <f t="shared" si="422"/>
        <v>6.11</v>
      </c>
      <c r="CW547">
        <f t="shared" si="423"/>
        <v>0</v>
      </c>
      <c r="CX547">
        <f t="shared" si="424"/>
        <v>0</v>
      </c>
      <c r="CY547">
        <f t="shared" si="425"/>
        <v>802.79499999999996</v>
      </c>
      <c r="CZ547">
        <f t="shared" si="426"/>
        <v>114.685</v>
      </c>
      <c r="DC547" t="s">
        <v>3</v>
      </c>
      <c r="DD547" t="s">
        <v>3</v>
      </c>
      <c r="DE547" t="s">
        <v>3</v>
      </c>
      <c r="DF547" t="s">
        <v>3</v>
      </c>
      <c r="DG547" t="s">
        <v>3</v>
      </c>
      <c r="DH547" t="s">
        <v>3</v>
      </c>
      <c r="DI547" t="s">
        <v>3</v>
      </c>
      <c r="DJ547" t="s">
        <v>3</v>
      </c>
      <c r="DK547" t="s">
        <v>3</v>
      </c>
      <c r="DL547" t="s">
        <v>3</v>
      </c>
      <c r="DM547" t="s">
        <v>3</v>
      </c>
      <c r="DN547">
        <v>0</v>
      </c>
      <c r="DO547">
        <v>0</v>
      </c>
      <c r="DP547">
        <v>1</v>
      </c>
      <c r="DQ547">
        <v>1</v>
      </c>
      <c r="DU547">
        <v>1005</v>
      </c>
      <c r="DV547" t="s">
        <v>28</v>
      </c>
      <c r="DW547" t="s">
        <v>28</v>
      </c>
      <c r="DX547">
        <v>100</v>
      </c>
      <c r="EE547">
        <v>67874524</v>
      </c>
      <c r="EF547">
        <v>1</v>
      </c>
      <c r="EG547" t="s">
        <v>20</v>
      </c>
      <c r="EH547">
        <v>0</v>
      </c>
      <c r="EI547" t="s">
        <v>3</v>
      </c>
      <c r="EJ547">
        <v>4</v>
      </c>
      <c r="EK547">
        <v>0</v>
      </c>
      <c r="EL547" t="s">
        <v>21</v>
      </c>
      <c r="EM547" t="s">
        <v>22</v>
      </c>
      <c r="EO547" t="s">
        <v>3</v>
      </c>
      <c r="EQ547">
        <v>132096</v>
      </c>
      <c r="ER547">
        <v>2828.49</v>
      </c>
      <c r="ES547">
        <v>1022.11</v>
      </c>
      <c r="ET547">
        <v>144.28</v>
      </c>
      <c r="EU547">
        <v>50</v>
      </c>
      <c r="EV547">
        <v>1662.1</v>
      </c>
      <c r="EW547">
        <v>6.11</v>
      </c>
      <c r="EX547">
        <v>0</v>
      </c>
      <c r="EY547">
        <v>0</v>
      </c>
      <c r="FQ547">
        <v>0</v>
      </c>
      <c r="FR547">
        <f t="shared" si="427"/>
        <v>0</v>
      </c>
      <c r="FS547">
        <v>0</v>
      </c>
      <c r="FX547">
        <v>70</v>
      </c>
      <c r="FY547">
        <v>10</v>
      </c>
      <c r="GA547" t="s">
        <v>3</v>
      </c>
      <c r="GD547">
        <v>0</v>
      </c>
      <c r="GF547">
        <v>-337143685</v>
      </c>
      <c r="GG547">
        <v>2</v>
      </c>
      <c r="GH547">
        <v>1</v>
      </c>
      <c r="GI547">
        <v>-2</v>
      </c>
      <c r="GJ547">
        <v>0</v>
      </c>
      <c r="GK547">
        <f>ROUND(R547*(R12)/100,2)</f>
        <v>37.26</v>
      </c>
      <c r="GL547">
        <f t="shared" si="428"/>
        <v>0</v>
      </c>
      <c r="GM547">
        <f t="shared" si="429"/>
        <v>2906.41</v>
      </c>
      <c r="GN547">
        <f t="shared" si="430"/>
        <v>0</v>
      </c>
      <c r="GO547">
        <f t="shared" si="431"/>
        <v>0</v>
      </c>
      <c r="GP547">
        <f t="shared" si="432"/>
        <v>2906.41</v>
      </c>
      <c r="GR547">
        <v>0</v>
      </c>
      <c r="GS547">
        <v>3</v>
      </c>
      <c r="GT547">
        <v>0</v>
      </c>
      <c r="GU547" t="s">
        <v>3</v>
      </c>
      <c r="GV547">
        <f t="shared" si="433"/>
        <v>0</v>
      </c>
      <c r="GW547">
        <v>1</v>
      </c>
      <c r="GX547">
        <f t="shared" si="434"/>
        <v>0</v>
      </c>
      <c r="HA547">
        <v>0</v>
      </c>
      <c r="HB547">
        <v>0</v>
      </c>
      <c r="HC547">
        <f t="shared" si="435"/>
        <v>0</v>
      </c>
      <c r="IK547">
        <v>0</v>
      </c>
    </row>
    <row r="548" spans="1:245" x14ac:dyDescent="0.2">
      <c r="A548">
        <v>17</v>
      </c>
      <c r="B548">
        <v>1</v>
      </c>
      <c r="D548">
        <f>ROW(EtalonRes!A492)</f>
        <v>492</v>
      </c>
      <c r="E548" t="s">
        <v>3</v>
      </c>
      <c r="F548" t="s">
        <v>471</v>
      </c>
      <c r="G548" t="s">
        <v>488</v>
      </c>
      <c r="H548" t="s">
        <v>28</v>
      </c>
      <c r="I548">
        <f>ROUND(I547,9)</f>
        <v>0.69</v>
      </c>
      <c r="J548">
        <v>0</v>
      </c>
      <c r="O548">
        <f t="shared" si="403"/>
        <v>2204.71</v>
      </c>
      <c r="P548">
        <f t="shared" si="404"/>
        <v>1437.15</v>
      </c>
      <c r="Q548">
        <f t="shared" si="405"/>
        <v>9.44</v>
      </c>
      <c r="R548">
        <f t="shared" si="406"/>
        <v>5.12</v>
      </c>
      <c r="S548">
        <f t="shared" si="407"/>
        <v>758.12</v>
      </c>
      <c r="T548">
        <f t="shared" si="408"/>
        <v>0</v>
      </c>
      <c r="U548">
        <f t="shared" si="409"/>
        <v>3.3809999999999998</v>
      </c>
      <c r="V548">
        <f t="shared" si="410"/>
        <v>0</v>
      </c>
      <c r="W548">
        <f t="shared" si="411"/>
        <v>0</v>
      </c>
      <c r="X548">
        <f t="shared" si="412"/>
        <v>530.67999999999995</v>
      </c>
      <c r="Y548">
        <f t="shared" si="413"/>
        <v>75.81</v>
      </c>
      <c r="AA548">
        <v>-1</v>
      </c>
      <c r="AB548">
        <f t="shared" si="414"/>
        <v>3195.22</v>
      </c>
      <c r="AC548">
        <f>ROUND(((ES548*2)),6)</f>
        <v>2082.8200000000002</v>
      </c>
      <c r="AD548">
        <f>ROUND(((((ET548*2))-((EU548*2)))+AE548),6)</f>
        <v>13.68</v>
      </c>
      <c r="AE548">
        <f>ROUND(((EU548*2)),6)</f>
        <v>7.42</v>
      </c>
      <c r="AF548">
        <f>ROUND(((EV548*2)),6)</f>
        <v>1098.72</v>
      </c>
      <c r="AG548">
        <f t="shared" si="415"/>
        <v>0</v>
      </c>
      <c r="AH548">
        <f>((EW548*2))</f>
        <v>4.9000000000000004</v>
      </c>
      <c r="AI548">
        <f>((EX548*2))</f>
        <v>0</v>
      </c>
      <c r="AJ548">
        <f t="shared" si="416"/>
        <v>0</v>
      </c>
      <c r="AK548">
        <v>1597.61</v>
      </c>
      <c r="AL548">
        <v>1041.4100000000001</v>
      </c>
      <c r="AM548">
        <v>6.84</v>
      </c>
      <c r="AN548">
        <v>3.71</v>
      </c>
      <c r="AO548">
        <v>549.36</v>
      </c>
      <c r="AP548">
        <v>0</v>
      </c>
      <c r="AQ548">
        <v>2.4500000000000002</v>
      </c>
      <c r="AR548">
        <v>0</v>
      </c>
      <c r="AS548">
        <v>0</v>
      </c>
      <c r="AT548">
        <v>70</v>
      </c>
      <c r="AU548">
        <v>10</v>
      </c>
      <c r="AV548">
        <v>1</v>
      </c>
      <c r="AW548">
        <v>1</v>
      </c>
      <c r="AZ548">
        <v>1</v>
      </c>
      <c r="BA548">
        <v>1</v>
      </c>
      <c r="BB548">
        <v>1</v>
      </c>
      <c r="BC548">
        <v>1</v>
      </c>
      <c r="BD548" t="s">
        <v>3</v>
      </c>
      <c r="BE548" t="s">
        <v>3</v>
      </c>
      <c r="BF548" t="s">
        <v>3</v>
      </c>
      <c r="BG548" t="s">
        <v>3</v>
      </c>
      <c r="BH548">
        <v>0</v>
      </c>
      <c r="BI548">
        <v>4</v>
      </c>
      <c r="BJ548" t="s">
        <v>473</v>
      </c>
      <c r="BM548">
        <v>0</v>
      </c>
      <c r="BN548">
        <v>0</v>
      </c>
      <c r="BO548" t="s">
        <v>3</v>
      </c>
      <c r="BP548">
        <v>0</v>
      </c>
      <c r="BQ548">
        <v>1</v>
      </c>
      <c r="BR548">
        <v>0</v>
      </c>
      <c r="BS548">
        <v>1</v>
      </c>
      <c r="BT548">
        <v>1</v>
      </c>
      <c r="BU548">
        <v>1</v>
      </c>
      <c r="BV548">
        <v>1</v>
      </c>
      <c r="BW548">
        <v>1</v>
      </c>
      <c r="BX548">
        <v>1</v>
      </c>
      <c r="BY548" t="s">
        <v>3</v>
      </c>
      <c r="BZ548">
        <v>70</v>
      </c>
      <c r="CA548">
        <v>10</v>
      </c>
      <c r="CE548">
        <v>0</v>
      </c>
      <c r="CF548">
        <v>0</v>
      </c>
      <c r="CG548">
        <v>0</v>
      </c>
      <c r="CM548">
        <v>0</v>
      </c>
      <c r="CN548" t="s">
        <v>3</v>
      </c>
      <c r="CO548">
        <v>0</v>
      </c>
      <c r="CP548">
        <f t="shared" si="417"/>
        <v>2204.71</v>
      </c>
      <c r="CQ548">
        <f t="shared" si="418"/>
        <v>2082.8200000000002</v>
      </c>
      <c r="CR548">
        <f>(((((ET548*2))*BB548-((EU548*2))*BS548)+AE548*BS548)*AV548)</f>
        <v>13.68</v>
      </c>
      <c r="CS548">
        <f t="shared" si="419"/>
        <v>7.42</v>
      </c>
      <c r="CT548">
        <f t="shared" si="420"/>
        <v>1098.72</v>
      </c>
      <c r="CU548">
        <f t="shared" si="421"/>
        <v>0</v>
      </c>
      <c r="CV548">
        <f t="shared" si="422"/>
        <v>4.9000000000000004</v>
      </c>
      <c r="CW548">
        <f t="shared" si="423"/>
        <v>0</v>
      </c>
      <c r="CX548">
        <f t="shared" si="424"/>
        <v>0</v>
      </c>
      <c r="CY548">
        <f t="shared" si="425"/>
        <v>530.68399999999997</v>
      </c>
      <c r="CZ548">
        <f t="shared" si="426"/>
        <v>75.811999999999998</v>
      </c>
      <c r="DC548" t="s">
        <v>3</v>
      </c>
      <c r="DD548" t="s">
        <v>474</v>
      </c>
      <c r="DE548" t="s">
        <v>474</v>
      </c>
      <c r="DF548" t="s">
        <v>474</v>
      </c>
      <c r="DG548" t="s">
        <v>474</v>
      </c>
      <c r="DH548" t="s">
        <v>3</v>
      </c>
      <c r="DI548" t="s">
        <v>474</v>
      </c>
      <c r="DJ548" t="s">
        <v>474</v>
      </c>
      <c r="DK548" t="s">
        <v>3</v>
      </c>
      <c r="DL548" t="s">
        <v>3</v>
      </c>
      <c r="DM548" t="s">
        <v>3</v>
      </c>
      <c r="DN548">
        <v>0</v>
      </c>
      <c r="DO548">
        <v>0</v>
      </c>
      <c r="DP548">
        <v>1</v>
      </c>
      <c r="DQ548">
        <v>1</v>
      </c>
      <c r="DU548">
        <v>1005</v>
      </c>
      <c r="DV548" t="s">
        <v>28</v>
      </c>
      <c r="DW548" t="s">
        <v>28</v>
      </c>
      <c r="DX548">
        <v>100</v>
      </c>
      <c r="EE548">
        <v>67874524</v>
      </c>
      <c r="EF548">
        <v>1</v>
      </c>
      <c r="EG548" t="s">
        <v>20</v>
      </c>
      <c r="EH548">
        <v>0</v>
      </c>
      <c r="EI548" t="s">
        <v>3</v>
      </c>
      <c r="EJ548">
        <v>4</v>
      </c>
      <c r="EK548">
        <v>0</v>
      </c>
      <c r="EL548" t="s">
        <v>21</v>
      </c>
      <c r="EM548" t="s">
        <v>22</v>
      </c>
      <c r="EO548" t="s">
        <v>3</v>
      </c>
      <c r="EQ548">
        <v>132096</v>
      </c>
      <c r="ER548">
        <v>1597.61</v>
      </c>
      <c r="ES548">
        <v>1041.4100000000001</v>
      </c>
      <c r="ET548">
        <v>6.84</v>
      </c>
      <c r="EU548">
        <v>3.71</v>
      </c>
      <c r="EV548">
        <v>549.36</v>
      </c>
      <c r="EW548">
        <v>2.4500000000000002</v>
      </c>
      <c r="EX548">
        <v>0</v>
      </c>
      <c r="EY548">
        <v>0</v>
      </c>
      <c r="FQ548">
        <v>0</v>
      </c>
      <c r="FR548">
        <f t="shared" si="427"/>
        <v>0</v>
      </c>
      <c r="FS548">
        <v>0</v>
      </c>
      <c r="FX548">
        <v>70</v>
      </c>
      <c r="FY548">
        <v>10</v>
      </c>
      <c r="GA548" t="s">
        <v>3</v>
      </c>
      <c r="GD548">
        <v>0</v>
      </c>
      <c r="GF548">
        <v>1574871893</v>
      </c>
      <c r="GG548">
        <v>2</v>
      </c>
      <c r="GH548">
        <v>1</v>
      </c>
      <c r="GI548">
        <v>-2</v>
      </c>
      <c r="GJ548">
        <v>0</v>
      </c>
      <c r="GK548">
        <f>ROUND(R548*(R12)/100,2)</f>
        <v>5.53</v>
      </c>
      <c r="GL548">
        <f t="shared" si="428"/>
        <v>0</v>
      </c>
      <c r="GM548">
        <f t="shared" si="429"/>
        <v>2816.73</v>
      </c>
      <c r="GN548">
        <f t="shared" si="430"/>
        <v>0</v>
      </c>
      <c r="GO548">
        <f t="shared" si="431"/>
        <v>0</v>
      </c>
      <c r="GP548">
        <f t="shared" si="432"/>
        <v>2816.73</v>
      </c>
      <c r="GR548">
        <v>0</v>
      </c>
      <c r="GS548">
        <v>3</v>
      </c>
      <c r="GT548">
        <v>0</v>
      </c>
      <c r="GU548" t="s">
        <v>3</v>
      </c>
      <c r="GV548">
        <f t="shared" si="433"/>
        <v>0</v>
      </c>
      <c r="GW548">
        <v>1</v>
      </c>
      <c r="GX548">
        <f t="shared" si="434"/>
        <v>0</v>
      </c>
      <c r="HA548">
        <v>0</v>
      </c>
      <c r="HB548">
        <v>0</v>
      </c>
      <c r="HC548">
        <f t="shared" si="435"/>
        <v>0</v>
      </c>
      <c r="IK548">
        <v>0</v>
      </c>
    </row>
    <row r="549" spans="1:245" x14ac:dyDescent="0.2">
      <c r="A549">
        <v>17</v>
      </c>
      <c r="B549">
        <v>1</v>
      </c>
      <c r="D549">
        <f>ROW(EtalonRes!A495)</f>
        <v>495</v>
      </c>
      <c r="E549" t="s">
        <v>3</v>
      </c>
      <c r="F549" t="s">
        <v>461</v>
      </c>
      <c r="G549" t="s">
        <v>490</v>
      </c>
      <c r="H549" t="s">
        <v>222</v>
      </c>
      <c r="I549">
        <f>ROUND(13/100,9)</f>
        <v>0.13</v>
      </c>
      <c r="J549">
        <v>0</v>
      </c>
      <c r="O549">
        <f t="shared" si="403"/>
        <v>4057.86</v>
      </c>
      <c r="P549">
        <f t="shared" si="404"/>
        <v>1653.73</v>
      </c>
      <c r="Q549">
        <f t="shared" si="405"/>
        <v>0</v>
      </c>
      <c r="R549">
        <f t="shared" si="406"/>
        <v>0</v>
      </c>
      <c r="S549">
        <f t="shared" si="407"/>
        <v>2404.13</v>
      </c>
      <c r="T549">
        <f t="shared" si="408"/>
        <v>0</v>
      </c>
      <c r="U549">
        <f t="shared" si="409"/>
        <v>10.3155</v>
      </c>
      <c r="V549">
        <f t="shared" si="410"/>
        <v>0</v>
      </c>
      <c r="W549">
        <f t="shared" si="411"/>
        <v>0</v>
      </c>
      <c r="X549">
        <f t="shared" si="412"/>
        <v>1682.89</v>
      </c>
      <c r="Y549">
        <f t="shared" si="413"/>
        <v>240.41</v>
      </c>
      <c r="AA549">
        <v>-1</v>
      </c>
      <c r="AB549">
        <f t="shared" si="414"/>
        <v>31214.31</v>
      </c>
      <c r="AC549">
        <f t="shared" ref="AC549:AC564" si="438">ROUND((ES549),6)</f>
        <v>12721</v>
      </c>
      <c r="AD549">
        <f t="shared" ref="AD549:AD564" si="439">ROUND((((ET549)-(EU549))+AE549),6)</f>
        <v>0</v>
      </c>
      <c r="AE549">
        <f t="shared" ref="AE549:AE564" si="440">ROUND((EU549),6)</f>
        <v>0</v>
      </c>
      <c r="AF549">
        <f t="shared" ref="AF549:AF564" si="441">ROUND((EV549),6)</f>
        <v>18493.310000000001</v>
      </c>
      <c r="AG549">
        <f t="shared" si="415"/>
        <v>0</v>
      </c>
      <c r="AH549">
        <f t="shared" ref="AH549:AH564" si="442">(EW549)</f>
        <v>79.349999999999994</v>
      </c>
      <c r="AI549">
        <f t="shared" ref="AI549:AI564" si="443">(EX549)</f>
        <v>0</v>
      </c>
      <c r="AJ549">
        <f t="shared" si="416"/>
        <v>0</v>
      </c>
      <c r="AK549">
        <v>31214.31</v>
      </c>
      <c r="AL549">
        <v>12721</v>
      </c>
      <c r="AM549">
        <v>0</v>
      </c>
      <c r="AN549">
        <v>0</v>
      </c>
      <c r="AO549">
        <v>18493.310000000001</v>
      </c>
      <c r="AP549">
        <v>0</v>
      </c>
      <c r="AQ549">
        <v>79.349999999999994</v>
      </c>
      <c r="AR549">
        <v>0</v>
      </c>
      <c r="AS549">
        <v>0</v>
      </c>
      <c r="AT549">
        <v>70</v>
      </c>
      <c r="AU549">
        <v>10</v>
      </c>
      <c r="AV549">
        <v>1</v>
      </c>
      <c r="AW549">
        <v>1</v>
      </c>
      <c r="AZ549">
        <v>1</v>
      </c>
      <c r="BA549">
        <v>1</v>
      </c>
      <c r="BB549">
        <v>1</v>
      </c>
      <c r="BC549">
        <v>1</v>
      </c>
      <c r="BD549" t="s">
        <v>3</v>
      </c>
      <c r="BE549" t="s">
        <v>3</v>
      </c>
      <c r="BF549" t="s">
        <v>3</v>
      </c>
      <c r="BG549" t="s">
        <v>3</v>
      </c>
      <c r="BH549">
        <v>0</v>
      </c>
      <c r="BI549">
        <v>4</v>
      </c>
      <c r="BJ549" t="s">
        <v>463</v>
      </c>
      <c r="BM549">
        <v>0</v>
      </c>
      <c r="BN549">
        <v>0</v>
      </c>
      <c r="BO549" t="s">
        <v>3</v>
      </c>
      <c r="BP549">
        <v>0</v>
      </c>
      <c r="BQ549">
        <v>1</v>
      </c>
      <c r="BR549">
        <v>0</v>
      </c>
      <c r="BS549">
        <v>1</v>
      </c>
      <c r="BT549">
        <v>1</v>
      </c>
      <c r="BU549">
        <v>1</v>
      </c>
      <c r="BV549">
        <v>1</v>
      </c>
      <c r="BW549">
        <v>1</v>
      </c>
      <c r="BX549">
        <v>1</v>
      </c>
      <c r="BY549" t="s">
        <v>3</v>
      </c>
      <c r="BZ549">
        <v>70</v>
      </c>
      <c r="CA549">
        <v>10</v>
      </c>
      <c r="CE549">
        <v>0</v>
      </c>
      <c r="CF549">
        <v>0</v>
      </c>
      <c r="CG549">
        <v>0</v>
      </c>
      <c r="CM549">
        <v>0</v>
      </c>
      <c r="CN549" t="s">
        <v>3</v>
      </c>
      <c r="CO549">
        <v>0</v>
      </c>
      <c r="CP549">
        <f t="shared" si="417"/>
        <v>4057.86</v>
      </c>
      <c r="CQ549">
        <f t="shared" si="418"/>
        <v>12721</v>
      </c>
      <c r="CR549">
        <f t="shared" ref="CR549:CR564" si="444">((((ET549)*BB549-(EU549)*BS549)+AE549*BS549)*AV549)</f>
        <v>0</v>
      </c>
      <c r="CS549">
        <f t="shared" si="419"/>
        <v>0</v>
      </c>
      <c r="CT549">
        <f t="shared" si="420"/>
        <v>18493.310000000001</v>
      </c>
      <c r="CU549">
        <f t="shared" si="421"/>
        <v>0</v>
      </c>
      <c r="CV549">
        <f t="shared" si="422"/>
        <v>79.349999999999994</v>
      </c>
      <c r="CW549">
        <f t="shared" si="423"/>
        <v>0</v>
      </c>
      <c r="CX549">
        <f t="shared" si="424"/>
        <v>0</v>
      </c>
      <c r="CY549">
        <f t="shared" si="425"/>
        <v>1682.8910000000001</v>
      </c>
      <c r="CZ549">
        <f t="shared" si="426"/>
        <v>240.41300000000004</v>
      </c>
      <c r="DC549" t="s">
        <v>3</v>
      </c>
      <c r="DD549" t="s">
        <v>3</v>
      </c>
      <c r="DE549" t="s">
        <v>3</v>
      </c>
      <c r="DF549" t="s">
        <v>3</v>
      </c>
      <c r="DG549" t="s">
        <v>3</v>
      </c>
      <c r="DH549" t="s">
        <v>3</v>
      </c>
      <c r="DI549" t="s">
        <v>3</v>
      </c>
      <c r="DJ549" t="s">
        <v>3</v>
      </c>
      <c r="DK549" t="s">
        <v>3</v>
      </c>
      <c r="DL549" t="s">
        <v>3</v>
      </c>
      <c r="DM549" t="s">
        <v>3</v>
      </c>
      <c r="DN549">
        <v>0</v>
      </c>
      <c r="DO549">
        <v>0</v>
      </c>
      <c r="DP549">
        <v>1</v>
      </c>
      <c r="DQ549">
        <v>1</v>
      </c>
      <c r="DU549">
        <v>1010</v>
      </c>
      <c r="DV549" t="s">
        <v>222</v>
      </c>
      <c r="DW549" t="s">
        <v>222</v>
      </c>
      <c r="DX549">
        <v>100</v>
      </c>
      <c r="EE549">
        <v>67874524</v>
      </c>
      <c r="EF549">
        <v>1</v>
      </c>
      <c r="EG549" t="s">
        <v>20</v>
      </c>
      <c r="EH549">
        <v>0</v>
      </c>
      <c r="EI549" t="s">
        <v>3</v>
      </c>
      <c r="EJ549">
        <v>4</v>
      </c>
      <c r="EK549">
        <v>0</v>
      </c>
      <c r="EL549" t="s">
        <v>21</v>
      </c>
      <c r="EM549" t="s">
        <v>22</v>
      </c>
      <c r="EO549" t="s">
        <v>3</v>
      </c>
      <c r="EQ549">
        <v>132096</v>
      </c>
      <c r="ER549">
        <v>31214.31</v>
      </c>
      <c r="ES549">
        <v>12721</v>
      </c>
      <c r="ET549">
        <v>0</v>
      </c>
      <c r="EU549">
        <v>0</v>
      </c>
      <c r="EV549">
        <v>18493.310000000001</v>
      </c>
      <c r="EW549">
        <v>79.349999999999994</v>
      </c>
      <c r="EX549">
        <v>0</v>
      </c>
      <c r="EY549">
        <v>0</v>
      </c>
      <c r="FQ549">
        <v>0</v>
      </c>
      <c r="FR549">
        <f t="shared" si="427"/>
        <v>0</v>
      </c>
      <c r="FS549">
        <v>0</v>
      </c>
      <c r="FX549">
        <v>70</v>
      </c>
      <c r="FY549">
        <v>10</v>
      </c>
      <c r="GA549" t="s">
        <v>3</v>
      </c>
      <c r="GD549">
        <v>0</v>
      </c>
      <c r="GF549">
        <v>1905416798</v>
      </c>
      <c r="GG549">
        <v>2</v>
      </c>
      <c r="GH549">
        <v>1</v>
      </c>
      <c r="GI549">
        <v>-2</v>
      </c>
      <c r="GJ549">
        <v>0</v>
      </c>
      <c r="GK549">
        <f>ROUND(R549*(R12)/100,2)</f>
        <v>0</v>
      </c>
      <c r="GL549">
        <f t="shared" si="428"/>
        <v>0</v>
      </c>
      <c r="GM549">
        <f t="shared" si="429"/>
        <v>5981.16</v>
      </c>
      <c r="GN549">
        <f t="shared" si="430"/>
        <v>0</v>
      </c>
      <c r="GO549">
        <f t="shared" si="431"/>
        <v>0</v>
      </c>
      <c r="GP549">
        <f t="shared" si="432"/>
        <v>5981.16</v>
      </c>
      <c r="GR549">
        <v>0</v>
      </c>
      <c r="GS549">
        <v>3</v>
      </c>
      <c r="GT549">
        <v>0</v>
      </c>
      <c r="GU549" t="s">
        <v>3</v>
      </c>
      <c r="GV549">
        <f t="shared" si="433"/>
        <v>0</v>
      </c>
      <c r="GW549">
        <v>1</v>
      </c>
      <c r="GX549">
        <f t="shared" si="434"/>
        <v>0</v>
      </c>
      <c r="HA549">
        <v>0</v>
      </c>
      <c r="HB549">
        <v>0</v>
      </c>
      <c r="HC549">
        <f t="shared" si="435"/>
        <v>0</v>
      </c>
      <c r="IK549">
        <v>0</v>
      </c>
    </row>
    <row r="550" spans="1:245" x14ac:dyDescent="0.2">
      <c r="A550">
        <v>18</v>
      </c>
      <c r="B550">
        <v>1</v>
      </c>
      <c r="E550" t="s">
        <v>3</v>
      </c>
      <c r="F550" t="s">
        <v>491</v>
      </c>
      <c r="G550" t="s">
        <v>492</v>
      </c>
      <c r="H550" t="s">
        <v>232</v>
      </c>
      <c r="I550">
        <f>I549*J550</f>
        <v>13</v>
      </c>
      <c r="J550">
        <v>100</v>
      </c>
      <c r="O550">
        <f t="shared" si="403"/>
        <v>75073.05</v>
      </c>
      <c r="P550">
        <f t="shared" si="404"/>
        <v>75073.05</v>
      </c>
      <c r="Q550">
        <f t="shared" si="405"/>
        <v>0</v>
      </c>
      <c r="R550">
        <f t="shared" si="406"/>
        <v>0</v>
      </c>
      <c r="S550">
        <f t="shared" si="407"/>
        <v>0</v>
      </c>
      <c r="T550">
        <f t="shared" si="408"/>
        <v>0</v>
      </c>
      <c r="U550">
        <f t="shared" si="409"/>
        <v>0</v>
      </c>
      <c r="V550">
        <f t="shared" si="410"/>
        <v>0</v>
      </c>
      <c r="W550">
        <f t="shared" si="411"/>
        <v>0</v>
      </c>
      <c r="X550">
        <f t="shared" si="412"/>
        <v>0</v>
      </c>
      <c r="Y550">
        <f t="shared" si="413"/>
        <v>0</v>
      </c>
      <c r="AA550">
        <v>-1</v>
      </c>
      <c r="AB550">
        <f t="shared" si="414"/>
        <v>5774.85</v>
      </c>
      <c r="AC550">
        <f t="shared" si="438"/>
        <v>5774.85</v>
      </c>
      <c r="AD550">
        <f t="shared" si="439"/>
        <v>0</v>
      </c>
      <c r="AE550">
        <f t="shared" si="440"/>
        <v>0</v>
      </c>
      <c r="AF550">
        <f t="shared" si="441"/>
        <v>0</v>
      </c>
      <c r="AG550">
        <f t="shared" si="415"/>
        <v>0</v>
      </c>
      <c r="AH550">
        <f t="shared" si="442"/>
        <v>0</v>
      </c>
      <c r="AI550">
        <f t="shared" si="443"/>
        <v>0</v>
      </c>
      <c r="AJ550">
        <f t="shared" si="416"/>
        <v>0</v>
      </c>
      <c r="AK550">
        <v>5774.85</v>
      </c>
      <c r="AL550">
        <v>5774.85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70</v>
      </c>
      <c r="AU550">
        <v>10</v>
      </c>
      <c r="AV550">
        <v>1</v>
      </c>
      <c r="AW550">
        <v>1</v>
      </c>
      <c r="AZ550">
        <v>1</v>
      </c>
      <c r="BA550">
        <v>1</v>
      </c>
      <c r="BB550">
        <v>1</v>
      </c>
      <c r="BC550">
        <v>1</v>
      </c>
      <c r="BD550" t="s">
        <v>3</v>
      </c>
      <c r="BE550" t="s">
        <v>3</v>
      </c>
      <c r="BF550" t="s">
        <v>3</v>
      </c>
      <c r="BG550" t="s">
        <v>3</v>
      </c>
      <c r="BH550">
        <v>3</v>
      </c>
      <c r="BI550">
        <v>4</v>
      </c>
      <c r="BJ550" t="s">
        <v>493</v>
      </c>
      <c r="BM550">
        <v>0</v>
      </c>
      <c r="BN550">
        <v>0</v>
      </c>
      <c r="BO550" t="s">
        <v>3</v>
      </c>
      <c r="BP550">
        <v>0</v>
      </c>
      <c r="BQ550">
        <v>1</v>
      </c>
      <c r="BR550">
        <v>0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 t="s">
        <v>3</v>
      </c>
      <c r="BZ550">
        <v>70</v>
      </c>
      <c r="CA550">
        <v>10</v>
      </c>
      <c r="CE550">
        <v>0</v>
      </c>
      <c r="CF550">
        <v>0</v>
      </c>
      <c r="CG550">
        <v>0</v>
      </c>
      <c r="CM550">
        <v>0</v>
      </c>
      <c r="CN550" t="s">
        <v>3</v>
      </c>
      <c r="CO550">
        <v>0</v>
      </c>
      <c r="CP550">
        <f t="shared" si="417"/>
        <v>75073.05</v>
      </c>
      <c r="CQ550">
        <f t="shared" si="418"/>
        <v>5774.85</v>
      </c>
      <c r="CR550">
        <f t="shared" si="444"/>
        <v>0</v>
      </c>
      <c r="CS550">
        <f t="shared" si="419"/>
        <v>0</v>
      </c>
      <c r="CT550">
        <f t="shared" si="420"/>
        <v>0</v>
      </c>
      <c r="CU550">
        <f t="shared" si="421"/>
        <v>0</v>
      </c>
      <c r="CV550">
        <f t="shared" si="422"/>
        <v>0</v>
      </c>
      <c r="CW550">
        <f t="shared" si="423"/>
        <v>0</v>
      </c>
      <c r="CX550">
        <f t="shared" si="424"/>
        <v>0</v>
      </c>
      <c r="CY550">
        <f t="shared" si="425"/>
        <v>0</v>
      </c>
      <c r="CZ550">
        <f t="shared" si="426"/>
        <v>0</v>
      </c>
      <c r="DC550" t="s">
        <v>3</v>
      </c>
      <c r="DD550" t="s">
        <v>3</v>
      </c>
      <c r="DE550" t="s">
        <v>3</v>
      </c>
      <c r="DF550" t="s">
        <v>3</v>
      </c>
      <c r="DG550" t="s">
        <v>3</v>
      </c>
      <c r="DH550" t="s">
        <v>3</v>
      </c>
      <c r="DI550" t="s">
        <v>3</v>
      </c>
      <c r="DJ550" t="s">
        <v>3</v>
      </c>
      <c r="DK550" t="s">
        <v>3</v>
      </c>
      <c r="DL550" t="s">
        <v>3</v>
      </c>
      <c r="DM550" t="s">
        <v>3</v>
      </c>
      <c r="DN550">
        <v>0</v>
      </c>
      <c r="DO550">
        <v>0</v>
      </c>
      <c r="DP550">
        <v>1</v>
      </c>
      <c r="DQ550">
        <v>1</v>
      </c>
      <c r="DU550">
        <v>1010</v>
      </c>
      <c r="DV550" t="s">
        <v>232</v>
      </c>
      <c r="DW550" t="s">
        <v>232</v>
      </c>
      <c r="DX550">
        <v>1</v>
      </c>
      <c r="EE550">
        <v>67874524</v>
      </c>
      <c r="EF550">
        <v>1</v>
      </c>
      <c r="EG550" t="s">
        <v>20</v>
      </c>
      <c r="EH550">
        <v>0</v>
      </c>
      <c r="EI550" t="s">
        <v>3</v>
      </c>
      <c r="EJ550">
        <v>4</v>
      </c>
      <c r="EK550">
        <v>0</v>
      </c>
      <c r="EL550" t="s">
        <v>21</v>
      </c>
      <c r="EM550" t="s">
        <v>22</v>
      </c>
      <c r="EO550" t="s">
        <v>3</v>
      </c>
      <c r="EQ550">
        <v>1024</v>
      </c>
      <c r="ER550">
        <v>5774.85</v>
      </c>
      <c r="ES550">
        <v>5774.85</v>
      </c>
      <c r="ET550">
        <v>0</v>
      </c>
      <c r="EU550">
        <v>0</v>
      </c>
      <c r="EV550">
        <v>0</v>
      </c>
      <c r="EW550">
        <v>0</v>
      </c>
      <c r="EX550">
        <v>0</v>
      </c>
      <c r="FQ550">
        <v>0</v>
      </c>
      <c r="FR550">
        <f t="shared" si="427"/>
        <v>0</v>
      </c>
      <c r="FS550">
        <v>0</v>
      </c>
      <c r="FX550">
        <v>70</v>
      </c>
      <c r="FY550">
        <v>10</v>
      </c>
      <c r="GA550" t="s">
        <v>3</v>
      </c>
      <c r="GD550">
        <v>0</v>
      </c>
      <c r="GF550">
        <v>212316299</v>
      </c>
      <c r="GG550">
        <v>2</v>
      </c>
      <c r="GH550">
        <v>1</v>
      </c>
      <c r="GI550">
        <v>-2</v>
      </c>
      <c r="GJ550">
        <v>0</v>
      </c>
      <c r="GK550">
        <f>ROUND(R550*(R12)/100,2)</f>
        <v>0</v>
      </c>
      <c r="GL550">
        <f t="shared" si="428"/>
        <v>0</v>
      </c>
      <c r="GM550">
        <f t="shared" si="429"/>
        <v>75073.05</v>
      </c>
      <c r="GN550">
        <f t="shared" si="430"/>
        <v>0</v>
      </c>
      <c r="GO550">
        <f t="shared" si="431"/>
        <v>0</v>
      </c>
      <c r="GP550">
        <f t="shared" si="432"/>
        <v>75073.05</v>
      </c>
      <c r="GR550">
        <v>0</v>
      </c>
      <c r="GS550">
        <v>3</v>
      </c>
      <c r="GT550">
        <v>0</v>
      </c>
      <c r="GU550" t="s">
        <v>3</v>
      </c>
      <c r="GV550">
        <f t="shared" si="433"/>
        <v>0</v>
      </c>
      <c r="GW550">
        <v>1</v>
      </c>
      <c r="GX550">
        <f t="shared" si="434"/>
        <v>0</v>
      </c>
      <c r="HA550">
        <v>0</v>
      </c>
      <c r="HB550">
        <v>0</v>
      </c>
      <c r="HC550">
        <f t="shared" si="435"/>
        <v>0</v>
      </c>
      <c r="IK550">
        <v>0</v>
      </c>
    </row>
    <row r="551" spans="1:245" x14ac:dyDescent="0.2">
      <c r="A551">
        <v>18</v>
      </c>
      <c r="B551">
        <v>1</v>
      </c>
      <c r="E551" t="s">
        <v>3</v>
      </c>
      <c r="F551" t="s">
        <v>494</v>
      </c>
      <c r="G551" t="s">
        <v>495</v>
      </c>
      <c r="H551" t="s">
        <v>232</v>
      </c>
      <c r="I551">
        <f>I549*J551</f>
        <v>13</v>
      </c>
      <c r="J551">
        <v>100</v>
      </c>
      <c r="O551">
        <f t="shared" si="403"/>
        <v>37005.019999999997</v>
      </c>
      <c r="P551">
        <f t="shared" si="404"/>
        <v>37005.019999999997</v>
      </c>
      <c r="Q551">
        <f t="shared" si="405"/>
        <v>0</v>
      </c>
      <c r="R551">
        <f t="shared" si="406"/>
        <v>0</v>
      </c>
      <c r="S551">
        <f t="shared" si="407"/>
        <v>0</v>
      </c>
      <c r="T551">
        <f t="shared" si="408"/>
        <v>0</v>
      </c>
      <c r="U551">
        <f t="shared" si="409"/>
        <v>0</v>
      </c>
      <c r="V551">
        <f t="shared" si="410"/>
        <v>0</v>
      </c>
      <c r="W551">
        <f t="shared" si="411"/>
        <v>0</v>
      </c>
      <c r="X551">
        <f t="shared" si="412"/>
        <v>0</v>
      </c>
      <c r="Y551">
        <f t="shared" si="413"/>
        <v>0</v>
      </c>
      <c r="AA551">
        <v>-1</v>
      </c>
      <c r="AB551">
        <f t="shared" si="414"/>
        <v>2846.54</v>
      </c>
      <c r="AC551">
        <f t="shared" si="438"/>
        <v>2846.54</v>
      </c>
      <c r="AD551">
        <f t="shared" si="439"/>
        <v>0</v>
      </c>
      <c r="AE551">
        <f t="shared" si="440"/>
        <v>0</v>
      </c>
      <c r="AF551">
        <f t="shared" si="441"/>
        <v>0</v>
      </c>
      <c r="AG551">
        <f t="shared" si="415"/>
        <v>0</v>
      </c>
      <c r="AH551">
        <f t="shared" si="442"/>
        <v>0</v>
      </c>
      <c r="AI551">
        <f t="shared" si="443"/>
        <v>0</v>
      </c>
      <c r="AJ551">
        <f t="shared" si="416"/>
        <v>0</v>
      </c>
      <c r="AK551">
        <v>2846.54</v>
      </c>
      <c r="AL551">
        <v>2846.54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70</v>
      </c>
      <c r="AU551">
        <v>10</v>
      </c>
      <c r="AV551">
        <v>1</v>
      </c>
      <c r="AW551">
        <v>1</v>
      </c>
      <c r="AZ551">
        <v>1</v>
      </c>
      <c r="BA551">
        <v>1</v>
      </c>
      <c r="BB551">
        <v>1</v>
      </c>
      <c r="BC551">
        <v>1</v>
      </c>
      <c r="BD551" t="s">
        <v>3</v>
      </c>
      <c r="BE551" t="s">
        <v>3</v>
      </c>
      <c r="BF551" t="s">
        <v>3</v>
      </c>
      <c r="BG551" t="s">
        <v>3</v>
      </c>
      <c r="BH551">
        <v>3</v>
      </c>
      <c r="BI551">
        <v>4</v>
      </c>
      <c r="BJ551" t="s">
        <v>496</v>
      </c>
      <c r="BM551">
        <v>0</v>
      </c>
      <c r="BN551">
        <v>0</v>
      </c>
      <c r="BO551" t="s">
        <v>3</v>
      </c>
      <c r="BP551">
        <v>0</v>
      </c>
      <c r="BQ551">
        <v>1</v>
      </c>
      <c r="BR551">
        <v>0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 t="s">
        <v>3</v>
      </c>
      <c r="BZ551">
        <v>70</v>
      </c>
      <c r="CA551">
        <v>10</v>
      </c>
      <c r="CE551">
        <v>0</v>
      </c>
      <c r="CF551">
        <v>0</v>
      </c>
      <c r="CG551">
        <v>0</v>
      </c>
      <c r="CM551">
        <v>0</v>
      </c>
      <c r="CN551" t="s">
        <v>3</v>
      </c>
      <c r="CO551">
        <v>0</v>
      </c>
      <c r="CP551">
        <f t="shared" si="417"/>
        <v>37005.019999999997</v>
      </c>
      <c r="CQ551">
        <f t="shared" si="418"/>
        <v>2846.54</v>
      </c>
      <c r="CR551">
        <f t="shared" si="444"/>
        <v>0</v>
      </c>
      <c r="CS551">
        <f t="shared" si="419"/>
        <v>0</v>
      </c>
      <c r="CT551">
        <f t="shared" si="420"/>
        <v>0</v>
      </c>
      <c r="CU551">
        <f t="shared" si="421"/>
        <v>0</v>
      </c>
      <c r="CV551">
        <f t="shared" si="422"/>
        <v>0</v>
      </c>
      <c r="CW551">
        <f t="shared" si="423"/>
        <v>0</v>
      </c>
      <c r="CX551">
        <f t="shared" si="424"/>
        <v>0</v>
      </c>
      <c r="CY551">
        <f t="shared" si="425"/>
        <v>0</v>
      </c>
      <c r="CZ551">
        <f t="shared" si="426"/>
        <v>0</v>
      </c>
      <c r="DC551" t="s">
        <v>3</v>
      </c>
      <c r="DD551" t="s">
        <v>3</v>
      </c>
      <c r="DE551" t="s">
        <v>3</v>
      </c>
      <c r="DF551" t="s">
        <v>3</v>
      </c>
      <c r="DG551" t="s">
        <v>3</v>
      </c>
      <c r="DH551" t="s">
        <v>3</v>
      </c>
      <c r="DI551" t="s">
        <v>3</v>
      </c>
      <c r="DJ551" t="s">
        <v>3</v>
      </c>
      <c r="DK551" t="s">
        <v>3</v>
      </c>
      <c r="DL551" t="s">
        <v>3</v>
      </c>
      <c r="DM551" t="s">
        <v>3</v>
      </c>
      <c r="DN551">
        <v>0</v>
      </c>
      <c r="DO551">
        <v>0</v>
      </c>
      <c r="DP551">
        <v>1</v>
      </c>
      <c r="DQ551">
        <v>1</v>
      </c>
      <c r="DU551">
        <v>1010</v>
      </c>
      <c r="DV551" t="s">
        <v>232</v>
      </c>
      <c r="DW551" t="s">
        <v>232</v>
      </c>
      <c r="DX551">
        <v>1</v>
      </c>
      <c r="EE551">
        <v>67874524</v>
      </c>
      <c r="EF551">
        <v>1</v>
      </c>
      <c r="EG551" t="s">
        <v>20</v>
      </c>
      <c r="EH551">
        <v>0</v>
      </c>
      <c r="EI551" t="s">
        <v>3</v>
      </c>
      <c r="EJ551">
        <v>4</v>
      </c>
      <c r="EK551">
        <v>0</v>
      </c>
      <c r="EL551" t="s">
        <v>21</v>
      </c>
      <c r="EM551" t="s">
        <v>22</v>
      </c>
      <c r="EO551" t="s">
        <v>3</v>
      </c>
      <c r="EQ551">
        <v>1024</v>
      </c>
      <c r="ER551">
        <v>2846.54</v>
      </c>
      <c r="ES551">
        <v>2846.54</v>
      </c>
      <c r="ET551">
        <v>0</v>
      </c>
      <c r="EU551">
        <v>0</v>
      </c>
      <c r="EV551">
        <v>0</v>
      </c>
      <c r="EW551">
        <v>0</v>
      </c>
      <c r="EX551">
        <v>0</v>
      </c>
      <c r="FQ551">
        <v>0</v>
      </c>
      <c r="FR551">
        <f t="shared" si="427"/>
        <v>0</v>
      </c>
      <c r="FS551">
        <v>0</v>
      </c>
      <c r="FX551">
        <v>70</v>
      </c>
      <c r="FY551">
        <v>10</v>
      </c>
      <c r="GA551" t="s">
        <v>3</v>
      </c>
      <c r="GD551">
        <v>0</v>
      </c>
      <c r="GF551">
        <v>-1129558304</v>
      </c>
      <c r="GG551">
        <v>2</v>
      </c>
      <c r="GH551">
        <v>1</v>
      </c>
      <c r="GI551">
        <v>-2</v>
      </c>
      <c r="GJ551">
        <v>0</v>
      </c>
      <c r="GK551">
        <f>ROUND(R551*(R12)/100,2)</f>
        <v>0</v>
      </c>
      <c r="GL551">
        <f t="shared" si="428"/>
        <v>0</v>
      </c>
      <c r="GM551">
        <f t="shared" si="429"/>
        <v>37005.019999999997</v>
      </c>
      <c r="GN551">
        <f t="shared" si="430"/>
        <v>0</v>
      </c>
      <c r="GO551">
        <f t="shared" si="431"/>
        <v>0</v>
      </c>
      <c r="GP551">
        <f t="shared" si="432"/>
        <v>37005.019999999997</v>
      </c>
      <c r="GR551">
        <v>0</v>
      </c>
      <c r="GS551">
        <v>3</v>
      </c>
      <c r="GT551">
        <v>0</v>
      </c>
      <c r="GU551" t="s">
        <v>3</v>
      </c>
      <c r="GV551">
        <f t="shared" si="433"/>
        <v>0</v>
      </c>
      <c r="GW551">
        <v>1</v>
      </c>
      <c r="GX551">
        <f t="shared" si="434"/>
        <v>0</v>
      </c>
      <c r="HA551">
        <v>0</v>
      </c>
      <c r="HB551">
        <v>0</v>
      </c>
      <c r="HC551">
        <f t="shared" si="435"/>
        <v>0</v>
      </c>
      <c r="IK551">
        <v>0</v>
      </c>
    </row>
    <row r="552" spans="1:245" x14ac:dyDescent="0.2">
      <c r="A552">
        <v>17</v>
      </c>
      <c r="B552">
        <v>1</v>
      </c>
      <c r="E552" t="s">
        <v>3</v>
      </c>
      <c r="F552" t="s">
        <v>497</v>
      </c>
      <c r="G552" t="s">
        <v>498</v>
      </c>
      <c r="H552" t="s">
        <v>377</v>
      </c>
      <c r="I552">
        <v>2</v>
      </c>
      <c r="J552">
        <v>0</v>
      </c>
      <c r="O552">
        <f t="shared" si="403"/>
        <v>146704.18</v>
      </c>
      <c r="P552">
        <f t="shared" si="404"/>
        <v>146704.18</v>
      </c>
      <c r="Q552">
        <f t="shared" si="405"/>
        <v>0</v>
      </c>
      <c r="R552">
        <f t="shared" si="406"/>
        <v>0</v>
      </c>
      <c r="S552">
        <f t="shared" si="407"/>
        <v>0</v>
      </c>
      <c r="T552">
        <f t="shared" si="408"/>
        <v>0</v>
      </c>
      <c r="U552">
        <f t="shared" si="409"/>
        <v>0</v>
      </c>
      <c r="V552">
        <f t="shared" si="410"/>
        <v>0</v>
      </c>
      <c r="W552">
        <f t="shared" si="411"/>
        <v>0</v>
      </c>
      <c r="X552">
        <f t="shared" si="412"/>
        <v>0</v>
      </c>
      <c r="Y552">
        <f t="shared" si="413"/>
        <v>0</v>
      </c>
      <c r="AA552">
        <v>-1</v>
      </c>
      <c r="AB552">
        <f t="shared" si="414"/>
        <v>73352.09</v>
      </c>
      <c r="AC552">
        <f t="shared" si="438"/>
        <v>73352.09</v>
      </c>
      <c r="AD552">
        <f t="shared" si="439"/>
        <v>0</v>
      </c>
      <c r="AE552">
        <f t="shared" si="440"/>
        <v>0</v>
      </c>
      <c r="AF552">
        <f t="shared" si="441"/>
        <v>0</v>
      </c>
      <c r="AG552">
        <f t="shared" si="415"/>
        <v>0</v>
      </c>
      <c r="AH552">
        <f t="shared" si="442"/>
        <v>0</v>
      </c>
      <c r="AI552">
        <f t="shared" si="443"/>
        <v>0</v>
      </c>
      <c r="AJ552">
        <f t="shared" si="416"/>
        <v>0</v>
      </c>
      <c r="AK552">
        <v>73352.09</v>
      </c>
      <c r="AL552">
        <v>73352.09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70</v>
      </c>
      <c r="AU552">
        <v>10</v>
      </c>
      <c r="AV552">
        <v>1</v>
      </c>
      <c r="AW552">
        <v>1</v>
      </c>
      <c r="AZ552">
        <v>1</v>
      </c>
      <c r="BA552">
        <v>1</v>
      </c>
      <c r="BB552">
        <v>1</v>
      </c>
      <c r="BC552">
        <v>1</v>
      </c>
      <c r="BD552" t="s">
        <v>3</v>
      </c>
      <c r="BE552" t="s">
        <v>3</v>
      </c>
      <c r="BF552" t="s">
        <v>3</v>
      </c>
      <c r="BG552" t="s">
        <v>3</v>
      </c>
      <c r="BH552">
        <v>3</v>
      </c>
      <c r="BI552">
        <v>4</v>
      </c>
      <c r="BJ552" t="s">
        <v>499</v>
      </c>
      <c r="BM552">
        <v>0</v>
      </c>
      <c r="BN552">
        <v>0</v>
      </c>
      <c r="BO552" t="s">
        <v>3</v>
      </c>
      <c r="BP552">
        <v>0</v>
      </c>
      <c r="BQ552">
        <v>1</v>
      </c>
      <c r="BR552">
        <v>0</v>
      </c>
      <c r="BS552">
        <v>1</v>
      </c>
      <c r="BT552">
        <v>1</v>
      </c>
      <c r="BU552">
        <v>1</v>
      </c>
      <c r="BV552">
        <v>1</v>
      </c>
      <c r="BW552">
        <v>1</v>
      </c>
      <c r="BX552">
        <v>1</v>
      </c>
      <c r="BY552" t="s">
        <v>3</v>
      </c>
      <c r="BZ552">
        <v>70</v>
      </c>
      <c r="CA552">
        <v>10</v>
      </c>
      <c r="CE552">
        <v>0</v>
      </c>
      <c r="CF552">
        <v>0</v>
      </c>
      <c r="CG552">
        <v>0</v>
      </c>
      <c r="CM552">
        <v>0</v>
      </c>
      <c r="CN552" t="s">
        <v>3</v>
      </c>
      <c r="CO552">
        <v>0</v>
      </c>
      <c r="CP552">
        <f t="shared" si="417"/>
        <v>146704.18</v>
      </c>
      <c r="CQ552">
        <f t="shared" si="418"/>
        <v>73352.09</v>
      </c>
      <c r="CR552">
        <f t="shared" si="444"/>
        <v>0</v>
      </c>
      <c r="CS552">
        <f t="shared" si="419"/>
        <v>0</v>
      </c>
      <c r="CT552">
        <f t="shared" si="420"/>
        <v>0</v>
      </c>
      <c r="CU552">
        <f t="shared" si="421"/>
        <v>0</v>
      </c>
      <c r="CV552">
        <f t="shared" si="422"/>
        <v>0</v>
      </c>
      <c r="CW552">
        <f t="shared" si="423"/>
        <v>0</v>
      </c>
      <c r="CX552">
        <f t="shared" si="424"/>
        <v>0</v>
      </c>
      <c r="CY552">
        <f t="shared" si="425"/>
        <v>0</v>
      </c>
      <c r="CZ552">
        <f t="shared" si="426"/>
        <v>0</v>
      </c>
      <c r="DC552" t="s">
        <v>3</v>
      </c>
      <c r="DD552" t="s">
        <v>3</v>
      </c>
      <c r="DE552" t="s">
        <v>3</v>
      </c>
      <c r="DF552" t="s">
        <v>3</v>
      </c>
      <c r="DG552" t="s">
        <v>3</v>
      </c>
      <c r="DH552" t="s">
        <v>3</v>
      </c>
      <c r="DI552" t="s">
        <v>3</v>
      </c>
      <c r="DJ552" t="s">
        <v>3</v>
      </c>
      <c r="DK552" t="s">
        <v>3</v>
      </c>
      <c r="DL552" t="s">
        <v>3</v>
      </c>
      <c r="DM552" t="s">
        <v>3</v>
      </c>
      <c r="DN552">
        <v>0</v>
      </c>
      <c r="DO552">
        <v>0</v>
      </c>
      <c r="DP552">
        <v>1</v>
      </c>
      <c r="DQ552">
        <v>1</v>
      </c>
      <c r="DU552">
        <v>1013</v>
      </c>
      <c r="DV552" t="s">
        <v>377</v>
      </c>
      <c r="DW552" t="s">
        <v>377</v>
      </c>
      <c r="DX552">
        <v>1</v>
      </c>
      <c r="EE552">
        <v>67874524</v>
      </c>
      <c r="EF552">
        <v>1</v>
      </c>
      <c r="EG552" t="s">
        <v>20</v>
      </c>
      <c r="EH552">
        <v>0</v>
      </c>
      <c r="EI552" t="s">
        <v>3</v>
      </c>
      <c r="EJ552">
        <v>4</v>
      </c>
      <c r="EK552">
        <v>0</v>
      </c>
      <c r="EL552" t="s">
        <v>21</v>
      </c>
      <c r="EM552" t="s">
        <v>22</v>
      </c>
      <c r="EO552" t="s">
        <v>3</v>
      </c>
      <c r="EQ552">
        <v>132096</v>
      </c>
      <c r="ER552">
        <v>73352.09</v>
      </c>
      <c r="ES552">
        <v>73352.09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FQ552">
        <v>0</v>
      </c>
      <c r="FR552">
        <f t="shared" si="427"/>
        <v>0</v>
      </c>
      <c r="FS552">
        <v>0</v>
      </c>
      <c r="FX552">
        <v>70</v>
      </c>
      <c r="FY552">
        <v>10</v>
      </c>
      <c r="GA552" t="s">
        <v>3</v>
      </c>
      <c r="GD552">
        <v>0</v>
      </c>
      <c r="GF552">
        <v>2126296055</v>
      </c>
      <c r="GG552">
        <v>2</v>
      </c>
      <c r="GH552">
        <v>1</v>
      </c>
      <c r="GI552">
        <v>-2</v>
      </c>
      <c r="GJ552">
        <v>0</v>
      </c>
      <c r="GK552">
        <f>ROUND(R552*(R12)/100,2)</f>
        <v>0</v>
      </c>
      <c r="GL552">
        <f t="shared" si="428"/>
        <v>0</v>
      </c>
      <c r="GM552">
        <f t="shared" si="429"/>
        <v>146704.18</v>
      </c>
      <c r="GN552">
        <f t="shared" si="430"/>
        <v>0</v>
      </c>
      <c r="GO552">
        <f t="shared" si="431"/>
        <v>0</v>
      </c>
      <c r="GP552">
        <f t="shared" si="432"/>
        <v>146704.18</v>
      </c>
      <c r="GR552">
        <v>0</v>
      </c>
      <c r="GS552">
        <v>3</v>
      </c>
      <c r="GT552">
        <v>0</v>
      </c>
      <c r="GU552" t="s">
        <v>3</v>
      </c>
      <c r="GV552">
        <f t="shared" si="433"/>
        <v>0</v>
      </c>
      <c r="GW552">
        <v>1</v>
      </c>
      <c r="GX552">
        <f t="shared" si="434"/>
        <v>0</v>
      </c>
      <c r="HA552">
        <v>0</v>
      </c>
      <c r="HB552">
        <v>0</v>
      </c>
      <c r="HC552">
        <f t="shared" si="435"/>
        <v>0</v>
      </c>
      <c r="IK552">
        <v>0</v>
      </c>
    </row>
    <row r="553" spans="1:245" x14ac:dyDescent="0.2">
      <c r="A553">
        <v>17</v>
      </c>
      <c r="B553">
        <v>1</v>
      </c>
      <c r="E553" t="s">
        <v>3</v>
      </c>
      <c r="F553" t="s">
        <v>388</v>
      </c>
      <c r="G553" t="s">
        <v>500</v>
      </c>
      <c r="H553" t="s">
        <v>232</v>
      </c>
      <c r="I553">
        <v>4</v>
      </c>
      <c r="J553">
        <v>0</v>
      </c>
      <c r="O553">
        <f t="shared" si="403"/>
        <v>39372.879999999997</v>
      </c>
      <c r="P553">
        <f t="shared" si="404"/>
        <v>39372.879999999997</v>
      </c>
      <c r="Q553">
        <f t="shared" si="405"/>
        <v>0</v>
      </c>
      <c r="R553">
        <f t="shared" si="406"/>
        <v>0</v>
      </c>
      <c r="S553">
        <f t="shared" si="407"/>
        <v>0</v>
      </c>
      <c r="T553">
        <f t="shared" si="408"/>
        <v>0</v>
      </c>
      <c r="U553">
        <f t="shared" si="409"/>
        <v>0</v>
      </c>
      <c r="V553">
        <f t="shared" si="410"/>
        <v>0</v>
      </c>
      <c r="W553">
        <f t="shared" si="411"/>
        <v>0</v>
      </c>
      <c r="X553">
        <f t="shared" si="412"/>
        <v>0</v>
      </c>
      <c r="Y553">
        <f t="shared" si="413"/>
        <v>0</v>
      </c>
      <c r="AA553">
        <v>-1</v>
      </c>
      <c r="AB553">
        <f t="shared" si="414"/>
        <v>9843.2199999999993</v>
      </c>
      <c r="AC553">
        <f t="shared" si="438"/>
        <v>9843.2199999999993</v>
      </c>
      <c r="AD553">
        <f t="shared" si="439"/>
        <v>0</v>
      </c>
      <c r="AE553">
        <f t="shared" si="440"/>
        <v>0</v>
      </c>
      <c r="AF553">
        <f t="shared" si="441"/>
        <v>0</v>
      </c>
      <c r="AG553">
        <f t="shared" si="415"/>
        <v>0</v>
      </c>
      <c r="AH553">
        <f t="shared" si="442"/>
        <v>0</v>
      </c>
      <c r="AI553">
        <f t="shared" si="443"/>
        <v>0</v>
      </c>
      <c r="AJ553">
        <f t="shared" si="416"/>
        <v>0</v>
      </c>
      <c r="AK553">
        <v>9843.2199999999993</v>
      </c>
      <c r="AL553">
        <v>9843.2199999999993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70</v>
      </c>
      <c r="AU553">
        <v>10</v>
      </c>
      <c r="AV553">
        <v>1</v>
      </c>
      <c r="AW553">
        <v>1</v>
      </c>
      <c r="AZ553">
        <v>1</v>
      </c>
      <c r="BA553">
        <v>1</v>
      </c>
      <c r="BB553">
        <v>1</v>
      </c>
      <c r="BC553">
        <v>1</v>
      </c>
      <c r="BD553" t="s">
        <v>3</v>
      </c>
      <c r="BE553" t="s">
        <v>3</v>
      </c>
      <c r="BF553" t="s">
        <v>3</v>
      </c>
      <c r="BG553" t="s">
        <v>3</v>
      </c>
      <c r="BH553">
        <v>3</v>
      </c>
      <c r="BI553">
        <v>4</v>
      </c>
      <c r="BJ553" t="s">
        <v>390</v>
      </c>
      <c r="BM553">
        <v>0</v>
      </c>
      <c r="BN553">
        <v>0</v>
      </c>
      <c r="BO553" t="s">
        <v>3</v>
      </c>
      <c r="BP553">
        <v>0</v>
      </c>
      <c r="BQ553">
        <v>1</v>
      </c>
      <c r="BR553">
        <v>0</v>
      </c>
      <c r="BS553">
        <v>1</v>
      </c>
      <c r="BT553">
        <v>1</v>
      </c>
      <c r="BU553">
        <v>1</v>
      </c>
      <c r="BV553">
        <v>1</v>
      </c>
      <c r="BW553">
        <v>1</v>
      </c>
      <c r="BX553">
        <v>1</v>
      </c>
      <c r="BY553" t="s">
        <v>3</v>
      </c>
      <c r="BZ553">
        <v>70</v>
      </c>
      <c r="CA553">
        <v>10</v>
      </c>
      <c r="CE553">
        <v>0</v>
      </c>
      <c r="CF553">
        <v>0</v>
      </c>
      <c r="CG553">
        <v>0</v>
      </c>
      <c r="CM553">
        <v>0</v>
      </c>
      <c r="CN553" t="s">
        <v>3</v>
      </c>
      <c r="CO553">
        <v>0</v>
      </c>
      <c r="CP553">
        <f t="shared" si="417"/>
        <v>39372.879999999997</v>
      </c>
      <c r="CQ553">
        <f t="shared" si="418"/>
        <v>9843.2199999999993</v>
      </c>
      <c r="CR553">
        <f t="shared" si="444"/>
        <v>0</v>
      </c>
      <c r="CS553">
        <f t="shared" si="419"/>
        <v>0</v>
      </c>
      <c r="CT553">
        <f t="shared" si="420"/>
        <v>0</v>
      </c>
      <c r="CU553">
        <f t="shared" si="421"/>
        <v>0</v>
      </c>
      <c r="CV553">
        <f t="shared" si="422"/>
        <v>0</v>
      </c>
      <c r="CW553">
        <f t="shared" si="423"/>
        <v>0</v>
      </c>
      <c r="CX553">
        <f t="shared" si="424"/>
        <v>0</v>
      </c>
      <c r="CY553">
        <f t="shared" si="425"/>
        <v>0</v>
      </c>
      <c r="CZ553">
        <f t="shared" si="426"/>
        <v>0</v>
      </c>
      <c r="DC553" t="s">
        <v>3</v>
      </c>
      <c r="DD553" t="s">
        <v>3</v>
      </c>
      <c r="DE553" t="s">
        <v>3</v>
      </c>
      <c r="DF553" t="s">
        <v>3</v>
      </c>
      <c r="DG553" t="s">
        <v>3</v>
      </c>
      <c r="DH553" t="s">
        <v>3</v>
      </c>
      <c r="DI553" t="s">
        <v>3</v>
      </c>
      <c r="DJ553" t="s">
        <v>3</v>
      </c>
      <c r="DK553" t="s">
        <v>3</v>
      </c>
      <c r="DL553" t="s">
        <v>3</v>
      </c>
      <c r="DM553" t="s">
        <v>3</v>
      </c>
      <c r="DN553">
        <v>0</v>
      </c>
      <c r="DO553">
        <v>0</v>
      </c>
      <c r="DP553">
        <v>1</v>
      </c>
      <c r="DQ553">
        <v>1</v>
      </c>
      <c r="DU553">
        <v>1010</v>
      </c>
      <c r="DV553" t="s">
        <v>232</v>
      </c>
      <c r="DW553" t="s">
        <v>232</v>
      </c>
      <c r="DX553">
        <v>1</v>
      </c>
      <c r="EE553">
        <v>67874524</v>
      </c>
      <c r="EF553">
        <v>1</v>
      </c>
      <c r="EG553" t="s">
        <v>20</v>
      </c>
      <c r="EH553">
        <v>0</v>
      </c>
      <c r="EI553" t="s">
        <v>3</v>
      </c>
      <c r="EJ553">
        <v>4</v>
      </c>
      <c r="EK553">
        <v>0</v>
      </c>
      <c r="EL553" t="s">
        <v>21</v>
      </c>
      <c r="EM553" t="s">
        <v>22</v>
      </c>
      <c r="EO553" t="s">
        <v>3</v>
      </c>
      <c r="EQ553">
        <v>132096</v>
      </c>
      <c r="ER553">
        <v>9843.2199999999993</v>
      </c>
      <c r="ES553">
        <v>9843.2199999999993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FQ553">
        <v>0</v>
      </c>
      <c r="FR553">
        <f t="shared" si="427"/>
        <v>0</v>
      </c>
      <c r="FS553">
        <v>0</v>
      </c>
      <c r="FX553">
        <v>70</v>
      </c>
      <c r="FY553">
        <v>10</v>
      </c>
      <c r="GA553" t="s">
        <v>3</v>
      </c>
      <c r="GD553">
        <v>0</v>
      </c>
      <c r="GF553">
        <v>-1986888263</v>
      </c>
      <c r="GG553">
        <v>2</v>
      </c>
      <c r="GH553">
        <v>1</v>
      </c>
      <c r="GI553">
        <v>-2</v>
      </c>
      <c r="GJ553">
        <v>0</v>
      </c>
      <c r="GK553">
        <f>ROUND(R553*(R12)/100,2)</f>
        <v>0</v>
      </c>
      <c r="GL553">
        <f t="shared" si="428"/>
        <v>0</v>
      </c>
      <c r="GM553">
        <f t="shared" si="429"/>
        <v>39372.879999999997</v>
      </c>
      <c r="GN553">
        <f t="shared" si="430"/>
        <v>0</v>
      </c>
      <c r="GO553">
        <f t="shared" si="431"/>
        <v>0</v>
      </c>
      <c r="GP553">
        <f t="shared" si="432"/>
        <v>39372.879999999997</v>
      </c>
      <c r="GR553">
        <v>0</v>
      </c>
      <c r="GS553">
        <v>3</v>
      </c>
      <c r="GT553">
        <v>0</v>
      </c>
      <c r="GU553" t="s">
        <v>3</v>
      </c>
      <c r="GV553">
        <f t="shared" si="433"/>
        <v>0</v>
      </c>
      <c r="GW553">
        <v>1</v>
      </c>
      <c r="GX553">
        <f t="shared" si="434"/>
        <v>0</v>
      </c>
      <c r="HA553">
        <v>0</v>
      </c>
      <c r="HB553">
        <v>0</v>
      </c>
      <c r="HC553">
        <f t="shared" si="435"/>
        <v>0</v>
      </c>
      <c r="IK553">
        <v>0</v>
      </c>
    </row>
    <row r="554" spans="1:245" x14ac:dyDescent="0.2">
      <c r="A554">
        <v>17</v>
      </c>
      <c r="B554">
        <v>1</v>
      </c>
      <c r="E554" t="s">
        <v>3</v>
      </c>
      <c r="F554" t="s">
        <v>386</v>
      </c>
      <c r="G554" t="s">
        <v>501</v>
      </c>
      <c r="H554" t="s">
        <v>377</v>
      </c>
      <c r="I554">
        <v>2</v>
      </c>
      <c r="J554">
        <v>0</v>
      </c>
      <c r="O554">
        <f t="shared" si="403"/>
        <v>214119.18</v>
      </c>
      <c r="P554">
        <f t="shared" si="404"/>
        <v>214119.18</v>
      </c>
      <c r="Q554">
        <f t="shared" si="405"/>
        <v>0</v>
      </c>
      <c r="R554">
        <f t="shared" si="406"/>
        <v>0</v>
      </c>
      <c r="S554">
        <f t="shared" si="407"/>
        <v>0</v>
      </c>
      <c r="T554">
        <f t="shared" si="408"/>
        <v>0</v>
      </c>
      <c r="U554">
        <f t="shared" si="409"/>
        <v>0</v>
      </c>
      <c r="V554">
        <f t="shared" si="410"/>
        <v>0</v>
      </c>
      <c r="W554">
        <f t="shared" si="411"/>
        <v>0</v>
      </c>
      <c r="X554">
        <f t="shared" si="412"/>
        <v>0</v>
      </c>
      <c r="Y554">
        <f t="shared" si="413"/>
        <v>0</v>
      </c>
      <c r="AA554">
        <v>-1</v>
      </c>
      <c r="AB554">
        <f t="shared" si="414"/>
        <v>107059.59</v>
      </c>
      <c r="AC554">
        <f t="shared" si="438"/>
        <v>107059.59</v>
      </c>
      <c r="AD554">
        <f t="shared" si="439"/>
        <v>0</v>
      </c>
      <c r="AE554">
        <f t="shared" si="440"/>
        <v>0</v>
      </c>
      <c r="AF554">
        <f t="shared" si="441"/>
        <v>0</v>
      </c>
      <c r="AG554">
        <f t="shared" si="415"/>
        <v>0</v>
      </c>
      <c r="AH554">
        <f t="shared" si="442"/>
        <v>0</v>
      </c>
      <c r="AI554">
        <f t="shared" si="443"/>
        <v>0</v>
      </c>
      <c r="AJ554">
        <f t="shared" si="416"/>
        <v>0</v>
      </c>
      <c r="AK554">
        <v>107059.59</v>
      </c>
      <c r="AL554">
        <v>107059.59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70</v>
      </c>
      <c r="AU554">
        <v>10</v>
      </c>
      <c r="AV554">
        <v>1</v>
      </c>
      <c r="AW554">
        <v>1</v>
      </c>
      <c r="AZ554">
        <v>1</v>
      </c>
      <c r="BA554">
        <v>1</v>
      </c>
      <c r="BB554">
        <v>1</v>
      </c>
      <c r="BC554">
        <v>1</v>
      </c>
      <c r="BD554" t="s">
        <v>3</v>
      </c>
      <c r="BE554" t="s">
        <v>3</v>
      </c>
      <c r="BF554" t="s">
        <v>3</v>
      </c>
      <c r="BG554" t="s">
        <v>3</v>
      </c>
      <c r="BH554">
        <v>3</v>
      </c>
      <c r="BI554">
        <v>4</v>
      </c>
      <c r="BJ554" t="s">
        <v>387</v>
      </c>
      <c r="BM554">
        <v>0</v>
      </c>
      <c r="BN554">
        <v>0</v>
      </c>
      <c r="BO554" t="s">
        <v>3</v>
      </c>
      <c r="BP554">
        <v>0</v>
      </c>
      <c r="BQ554">
        <v>1</v>
      </c>
      <c r="BR554">
        <v>0</v>
      </c>
      <c r="BS554">
        <v>1</v>
      </c>
      <c r="BT554">
        <v>1</v>
      </c>
      <c r="BU554">
        <v>1</v>
      </c>
      <c r="BV554">
        <v>1</v>
      </c>
      <c r="BW554">
        <v>1</v>
      </c>
      <c r="BX554">
        <v>1</v>
      </c>
      <c r="BY554" t="s">
        <v>3</v>
      </c>
      <c r="BZ554">
        <v>70</v>
      </c>
      <c r="CA554">
        <v>10</v>
      </c>
      <c r="CE554">
        <v>0</v>
      </c>
      <c r="CF554">
        <v>0</v>
      </c>
      <c r="CG554">
        <v>0</v>
      </c>
      <c r="CM554">
        <v>0</v>
      </c>
      <c r="CN554" t="s">
        <v>3</v>
      </c>
      <c r="CO554">
        <v>0</v>
      </c>
      <c r="CP554">
        <f t="shared" si="417"/>
        <v>214119.18</v>
      </c>
      <c r="CQ554">
        <f t="shared" si="418"/>
        <v>107059.59</v>
      </c>
      <c r="CR554">
        <f t="shared" si="444"/>
        <v>0</v>
      </c>
      <c r="CS554">
        <f t="shared" si="419"/>
        <v>0</v>
      </c>
      <c r="CT554">
        <f t="shared" si="420"/>
        <v>0</v>
      </c>
      <c r="CU554">
        <f t="shared" si="421"/>
        <v>0</v>
      </c>
      <c r="CV554">
        <f t="shared" si="422"/>
        <v>0</v>
      </c>
      <c r="CW554">
        <f t="shared" si="423"/>
        <v>0</v>
      </c>
      <c r="CX554">
        <f t="shared" si="424"/>
        <v>0</v>
      </c>
      <c r="CY554">
        <f t="shared" si="425"/>
        <v>0</v>
      </c>
      <c r="CZ554">
        <f t="shared" si="426"/>
        <v>0</v>
      </c>
      <c r="DC554" t="s">
        <v>3</v>
      </c>
      <c r="DD554" t="s">
        <v>3</v>
      </c>
      <c r="DE554" t="s">
        <v>3</v>
      </c>
      <c r="DF554" t="s">
        <v>3</v>
      </c>
      <c r="DG554" t="s">
        <v>3</v>
      </c>
      <c r="DH554" t="s">
        <v>3</v>
      </c>
      <c r="DI554" t="s">
        <v>3</v>
      </c>
      <c r="DJ554" t="s">
        <v>3</v>
      </c>
      <c r="DK554" t="s">
        <v>3</v>
      </c>
      <c r="DL554" t="s">
        <v>3</v>
      </c>
      <c r="DM554" t="s">
        <v>3</v>
      </c>
      <c r="DN554">
        <v>0</v>
      </c>
      <c r="DO554">
        <v>0</v>
      </c>
      <c r="DP554">
        <v>1</v>
      </c>
      <c r="DQ554">
        <v>1</v>
      </c>
      <c r="DU554">
        <v>1013</v>
      </c>
      <c r="DV554" t="s">
        <v>377</v>
      </c>
      <c r="DW554" t="s">
        <v>377</v>
      </c>
      <c r="DX554">
        <v>1</v>
      </c>
      <c r="EE554">
        <v>67874524</v>
      </c>
      <c r="EF554">
        <v>1</v>
      </c>
      <c r="EG554" t="s">
        <v>20</v>
      </c>
      <c r="EH554">
        <v>0</v>
      </c>
      <c r="EI554" t="s">
        <v>3</v>
      </c>
      <c r="EJ554">
        <v>4</v>
      </c>
      <c r="EK554">
        <v>0</v>
      </c>
      <c r="EL554" t="s">
        <v>21</v>
      </c>
      <c r="EM554" t="s">
        <v>22</v>
      </c>
      <c r="EO554" t="s">
        <v>3</v>
      </c>
      <c r="EQ554">
        <v>132096</v>
      </c>
      <c r="ER554">
        <v>107059.59</v>
      </c>
      <c r="ES554">
        <v>107059.59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FQ554">
        <v>0</v>
      </c>
      <c r="FR554">
        <f t="shared" si="427"/>
        <v>0</v>
      </c>
      <c r="FS554">
        <v>0</v>
      </c>
      <c r="FX554">
        <v>70</v>
      </c>
      <c r="FY554">
        <v>10</v>
      </c>
      <c r="GA554" t="s">
        <v>3</v>
      </c>
      <c r="GD554">
        <v>0</v>
      </c>
      <c r="GF554">
        <v>-700713659</v>
      </c>
      <c r="GG554">
        <v>2</v>
      </c>
      <c r="GH554">
        <v>1</v>
      </c>
      <c r="GI554">
        <v>-2</v>
      </c>
      <c r="GJ554">
        <v>0</v>
      </c>
      <c r="GK554">
        <f>ROUND(R554*(R12)/100,2)</f>
        <v>0</v>
      </c>
      <c r="GL554">
        <f t="shared" si="428"/>
        <v>0</v>
      </c>
      <c r="GM554">
        <f t="shared" si="429"/>
        <v>214119.18</v>
      </c>
      <c r="GN554">
        <f t="shared" si="430"/>
        <v>0</v>
      </c>
      <c r="GO554">
        <f t="shared" si="431"/>
        <v>0</v>
      </c>
      <c r="GP554">
        <f t="shared" si="432"/>
        <v>214119.18</v>
      </c>
      <c r="GR554">
        <v>0</v>
      </c>
      <c r="GS554">
        <v>3</v>
      </c>
      <c r="GT554">
        <v>0</v>
      </c>
      <c r="GU554" t="s">
        <v>3</v>
      </c>
      <c r="GV554">
        <f t="shared" si="433"/>
        <v>0</v>
      </c>
      <c r="GW554">
        <v>1</v>
      </c>
      <c r="GX554">
        <f t="shared" si="434"/>
        <v>0</v>
      </c>
      <c r="HA554">
        <v>0</v>
      </c>
      <c r="HB554">
        <v>0</v>
      </c>
      <c r="HC554">
        <f t="shared" si="435"/>
        <v>0</v>
      </c>
      <c r="IK554">
        <v>0</v>
      </c>
    </row>
    <row r="555" spans="1:245" x14ac:dyDescent="0.2">
      <c r="A555">
        <v>17</v>
      </c>
      <c r="B555">
        <v>1</v>
      </c>
      <c r="E555" t="s">
        <v>3</v>
      </c>
      <c r="F555" t="s">
        <v>502</v>
      </c>
      <c r="G555" t="s">
        <v>503</v>
      </c>
      <c r="H555" t="s">
        <v>232</v>
      </c>
      <c r="I555">
        <v>1</v>
      </c>
      <c r="J555">
        <v>0</v>
      </c>
      <c r="O555">
        <f t="shared" si="403"/>
        <v>759268</v>
      </c>
      <c r="P555">
        <f t="shared" si="404"/>
        <v>759268</v>
      </c>
      <c r="Q555">
        <f t="shared" si="405"/>
        <v>0</v>
      </c>
      <c r="R555">
        <f t="shared" si="406"/>
        <v>0</v>
      </c>
      <c r="S555">
        <f t="shared" si="407"/>
        <v>0</v>
      </c>
      <c r="T555">
        <f t="shared" si="408"/>
        <v>0</v>
      </c>
      <c r="U555">
        <f t="shared" si="409"/>
        <v>0</v>
      </c>
      <c r="V555">
        <f t="shared" si="410"/>
        <v>0</v>
      </c>
      <c r="W555">
        <f t="shared" si="411"/>
        <v>0</v>
      </c>
      <c r="X555">
        <f t="shared" si="412"/>
        <v>0</v>
      </c>
      <c r="Y555">
        <f t="shared" si="413"/>
        <v>0</v>
      </c>
      <c r="AA555">
        <v>-1</v>
      </c>
      <c r="AB555">
        <f t="shared" si="414"/>
        <v>759268</v>
      </c>
      <c r="AC555">
        <f t="shared" si="438"/>
        <v>759268</v>
      </c>
      <c r="AD555">
        <f t="shared" si="439"/>
        <v>0</v>
      </c>
      <c r="AE555">
        <f t="shared" si="440"/>
        <v>0</v>
      </c>
      <c r="AF555">
        <f t="shared" si="441"/>
        <v>0</v>
      </c>
      <c r="AG555">
        <f t="shared" si="415"/>
        <v>0</v>
      </c>
      <c r="AH555">
        <f t="shared" si="442"/>
        <v>0</v>
      </c>
      <c r="AI555">
        <f t="shared" si="443"/>
        <v>0</v>
      </c>
      <c r="AJ555">
        <f t="shared" si="416"/>
        <v>0</v>
      </c>
      <c r="AK555">
        <v>759268</v>
      </c>
      <c r="AL555">
        <v>759268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70</v>
      </c>
      <c r="AU555">
        <v>10</v>
      </c>
      <c r="AV555">
        <v>1</v>
      </c>
      <c r="AW555">
        <v>1</v>
      </c>
      <c r="AZ555">
        <v>1</v>
      </c>
      <c r="BA555">
        <v>1</v>
      </c>
      <c r="BB555">
        <v>1</v>
      </c>
      <c r="BC555">
        <v>1</v>
      </c>
      <c r="BD555" t="s">
        <v>3</v>
      </c>
      <c r="BE555" t="s">
        <v>3</v>
      </c>
      <c r="BF555" t="s">
        <v>3</v>
      </c>
      <c r="BG555" t="s">
        <v>3</v>
      </c>
      <c r="BH555">
        <v>3</v>
      </c>
      <c r="BI555">
        <v>4</v>
      </c>
      <c r="BJ555" t="s">
        <v>504</v>
      </c>
      <c r="BM555">
        <v>0</v>
      </c>
      <c r="BN555">
        <v>0</v>
      </c>
      <c r="BO555" t="s">
        <v>3</v>
      </c>
      <c r="BP555">
        <v>0</v>
      </c>
      <c r="BQ555">
        <v>1</v>
      </c>
      <c r="BR555">
        <v>0</v>
      </c>
      <c r="BS555">
        <v>1</v>
      </c>
      <c r="BT555">
        <v>1</v>
      </c>
      <c r="BU555">
        <v>1</v>
      </c>
      <c r="BV555">
        <v>1</v>
      </c>
      <c r="BW555">
        <v>1</v>
      </c>
      <c r="BX555">
        <v>1</v>
      </c>
      <c r="BY555" t="s">
        <v>3</v>
      </c>
      <c r="BZ555">
        <v>70</v>
      </c>
      <c r="CA555">
        <v>10</v>
      </c>
      <c r="CE555">
        <v>0</v>
      </c>
      <c r="CF555">
        <v>0</v>
      </c>
      <c r="CG555">
        <v>0</v>
      </c>
      <c r="CM555">
        <v>0</v>
      </c>
      <c r="CN555" t="s">
        <v>3</v>
      </c>
      <c r="CO555">
        <v>0</v>
      </c>
      <c r="CP555">
        <f t="shared" si="417"/>
        <v>759268</v>
      </c>
      <c r="CQ555">
        <f t="shared" si="418"/>
        <v>759268</v>
      </c>
      <c r="CR555">
        <f t="shared" si="444"/>
        <v>0</v>
      </c>
      <c r="CS555">
        <f t="shared" si="419"/>
        <v>0</v>
      </c>
      <c r="CT555">
        <f t="shared" si="420"/>
        <v>0</v>
      </c>
      <c r="CU555">
        <f t="shared" si="421"/>
        <v>0</v>
      </c>
      <c r="CV555">
        <f t="shared" si="422"/>
        <v>0</v>
      </c>
      <c r="CW555">
        <f t="shared" si="423"/>
        <v>0</v>
      </c>
      <c r="CX555">
        <f t="shared" si="424"/>
        <v>0</v>
      </c>
      <c r="CY555">
        <f t="shared" si="425"/>
        <v>0</v>
      </c>
      <c r="CZ555">
        <f t="shared" si="426"/>
        <v>0</v>
      </c>
      <c r="DC555" t="s">
        <v>3</v>
      </c>
      <c r="DD555" t="s">
        <v>3</v>
      </c>
      <c r="DE555" t="s">
        <v>3</v>
      </c>
      <c r="DF555" t="s">
        <v>3</v>
      </c>
      <c r="DG555" t="s">
        <v>3</v>
      </c>
      <c r="DH555" t="s">
        <v>3</v>
      </c>
      <c r="DI555" t="s">
        <v>3</v>
      </c>
      <c r="DJ555" t="s">
        <v>3</v>
      </c>
      <c r="DK555" t="s">
        <v>3</v>
      </c>
      <c r="DL555" t="s">
        <v>3</v>
      </c>
      <c r="DM555" t="s">
        <v>3</v>
      </c>
      <c r="DN555">
        <v>0</v>
      </c>
      <c r="DO555">
        <v>0</v>
      </c>
      <c r="DP555">
        <v>1</v>
      </c>
      <c r="DQ555">
        <v>1</v>
      </c>
      <c r="DU555">
        <v>1010</v>
      </c>
      <c r="DV555" t="s">
        <v>232</v>
      </c>
      <c r="DW555" t="s">
        <v>232</v>
      </c>
      <c r="DX555">
        <v>1</v>
      </c>
      <c r="EE555">
        <v>67874524</v>
      </c>
      <c r="EF555">
        <v>1</v>
      </c>
      <c r="EG555" t="s">
        <v>20</v>
      </c>
      <c r="EH555">
        <v>0</v>
      </c>
      <c r="EI555" t="s">
        <v>3</v>
      </c>
      <c r="EJ555">
        <v>4</v>
      </c>
      <c r="EK555">
        <v>0</v>
      </c>
      <c r="EL555" t="s">
        <v>21</v>
      </c>
      <c r="EM555" t="s">
        <v>22</v>
      </c>
      <c r="EO555" t="s">
        <v>3</v>
      </c>
      <c r="EQ555">
        <v>132096</v>
      </c>
      <c r="ER555">
        <v>759268</v>
      </c>
      <c r="ES555">
        <v>759268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FQ555">
        <v>0</v>
      </c>
      <c r="FR555">
        <f t="shared" si="427"/>
        <v>0</v>
      </c>
      <c r="FS555">
        <v>0</v>
      </c>
      <c r="FX555">
        <v>70</v>
      </c>
      <c r="FY555">
        <v>10</v>
      </c>
      <c r="GA555" t="s">
        <v>3</v>
      </c>
      <c r="GD555">
        <v>0</v>
      </c>
      <c r="GF555">
        <v>1276707183</v>
      </c>
      <c r="GG555">
        <v>2</v>
      </c>
      <c r="GH555">
        <v>1</v>
      </c>
      <c r="GI555">
        <v>-2</v>
      </c>
      <c r="GJ555">
        <v>0</v>
      </c>
      <c r="GK555">
        <f>ROUND(R555*(R12)/100,2)</f>
        <v>0</v>
      </c>
      <c r="GL555">
        <f t="shared" si="428"/>
        <v>0</v>
      </c>
      <c r="GM555">
        <f t="shared" si="429"/>
        <v>759268</v>
      </c>
      <c r="GN555">
        <f t="shared" si="430"/>
        <v>0</v>
      </c>
      <c r="GO555">
        <f t="shared" si="431"/>
        <v>0</v>
      </c>
      <c r="GP555">
        <f t="shared" si="432"/>
        <v>759268</v>
      </c>
      <c r="GR555">
        <v>0</v>
      </c>
      <c r="GS555">
        <v>3</v>
      </c>
      <c r="GT555">
        <v>0</v>
      </c>
      <c r="GU555" t="s">
        <v>3</v>
      </c>
      <c r="GV555">
        <f t="shared" si="433"/>
        <v>0</v>
      </c>
      <c r="GW555">
        <v>1</v>
      </c>
      <c r="GX555">
        <f t="shared" si="434"/>
        <v>0</v>
      </c>
      <c r="HA555">
        <v>0</v>
      </c>
      <c r="HB555">
        <v>0</v>
      </c>
      <c r="HC555">
        <f t="shared" si="435"/>
        <v>0</v>
      </c>
      <c r="IK555">
        <v>0</v>
      </c>
    </row>
    <row r="556" spans="1:245" x14ac:dyDescent="0.2">
      <c r="A556">
        <v>17</v>
      </c>
      <c r="B556">
        <v>1</v>
      </c>
      <c r="D556">
        <f>ROW(EtalonRes!A502)</f>
        <v>502</v>
      </c>
      <c r="E556" t="s">
        <v>3</v>
      </c>
      <c r="F556" t="s">
        <v>505</v>
      </c>
      <c r="G556" t="s">
        <v>506</v>
      </c>
      <c r="H556" t="s">
        <v>222</v>
      </c>
      <c r="I556">
        <f>ROUND(79/100,9)</f>
        <v>0.79</v>
      </c>
      <c r="J556">
        <v>0</v>
      </c>
      <c r="O556">
        <f t="shared" si="403"/>
        <v>471980.21</v>
      </c>
      <c r="P556">
        <f t="shared" si="404"/>
        <v>438410.44</v>
      </c>
      <c r="Q556">
        <f t="shared" si="405"/>
        <v>137.82</v>
      </c>
      <c r="R556">
        <f t="shared" si="406"/>
        <v>127.76</v>
      </c>
      <c r="S556">
        <f t="shared" si="407"/>
        <v>33431.949999999997</v>
      </c>
      <c r="T556">
        <f t="shared" si="408"/>
        <v>0</v>
      </c>
      <c r="U556">
        <f t="shared" si="409"/>
        <v>149.0967</v>
      </c>
      <c r="V556">
        <f t="shared" si="410"/>
        <v>0</v>
      </c>
      <c r="W556">
        <f t="shared" si="411"/>
        <v>0</v>
      </c>
      <c r="X556">
        <f t="shared" si="412"/>
        <v>23402.37</v>
      </c>
      <c r="Y556">
        <f t="shared" si="413"/>
        <v>3343.2</v>
      </c>
      <c r="AA556">
        <v>-1</v>
      </c>
      <c r="AB556">
        <f t="shared" si="414"/>
        <v>597443.31999999995</v>
      </c>
      <c r="AC556">
        <f t="shared" si="438"/>
        <v>554949.93000000005</v>
      </c>
      <c r="AD556">
        <f t="shared" si="439"/>
        <v>174.46</v>
      </c>
      <c r="AE556">
        <f t="shared" si="440"/>
        <v>161.72</v>
      </c>
      <c r="AF556">
        <f t="shared" si="441"/>
        <v>42318.93</v>
      </c>
      <c r="AG556">
        <f t="shared" si="415"/>
        <v>0</v>
      </c>
      <c r="AH556">
        <f t="shared" si="442"/>
        <v>188.73</v>
      </c>
      <c r="AI556">
        <f t="shared" si="443"/>
        <v>0</v>
      </c>
      <c r="AJ556">
        <f t="shared" si="416"/>
        <v>0</v>
      </c>
      <c r="AK556">
        <v>597443.31999999995</v>
      </c>
      <c r="AL556">
        <v>554949.93000000005</v>
      </c>
      <c r="AM556">
        <v>174.46</v>
      </c>
      <c r="AN556">
        <v>161.72</v>
      </c>
      <c r="AO556">
        <v>42318.93</v>
      </c>
      <c r="AP556">
        <v>0</v>
      </c>
      <c r="AQ556">
        <v>188.73</v>
      </c>
      <c r="AR556">
        <v>0</v>
      </c>
      <c r="AS556">
        <v>0</v>
      </c>
      <c r="AT556">
        <v>70</v>
      </c>
      <c r="AU556">
        <v>10</v>
      </c>
      <c r="AV556">
        <v>1</v>
      </c>
      <c r="AW556">
        <v>1</v>
      </c>
      <c r="AZ556">
        <v>1</v>
      </c>
      <c r="BA556">
        <v>1</v>
      </c>
      <c r="BB556">
        <v>1</v>
      </c>
      <c r="BC556">
        <v>1</v>
      </c>
      <c r="BD556" t="s">
        <v>3</v>
      </c>
      <c r="BE556" t="s">
        <v>3</v>
      </c>
      <c r="BF556" t="s">
        <v>3</v>
      </c>
      <c r="BG556" t="s">
        <v>3</v>
      </c>
      <c r="BH556">
        <v>0</v>
      </c>
      <c r="BI556">
        <v>4</v>
      </c>
      <c r="BJ556" t="s">
        <v>507</v>
      </c>
      <c r="BM556">
        <v>0</v>
      </c>
      <c r="BN556">
        <v>0</v>
      </c>
      <c r="BO556" t="s">
        <v>3</v>
      </c>
      <c r="BP556">
        <v>0</v>
      </c>
      <c r="BQ556">
        <v>1</v>
      </c>
      <c r="BR556">
        <v>0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 t="s">
        <v>3</v>
      </c>
      <c r="BZ556">
        <v>70</v>
      </c>
      <c r="CA556">
        <v>10</v>
      </c>
      <c r="CE556">
        <v>0</v>
      </c>
      <c r="CF556">
        <v>0</v>
      </c>
      <c r="CG556">
        <v>0</v>
      </c>
      <c r="CM556">
        <v>0</v>
      </c>
      <c r="CN556" t="s">
        <v>3</v>
      </c>
      <c r="CO556">
        <v>0</v>
      </c>
      <c r="CP556">
        <f t="shared" si="417"/>
        <v>471980.21</v>
      </c>
      <c r="CQ556">
        <f t="shared" si="418"/>
        <v>554949.93000000005</v>
      </c>
      <c r="CR556">
        <f t="shared" si="444"/>
        <v>174.46</v>
      </c>
      <c r="CS556">
        <f t="shared" si="419"/>
        <v>161.72</v>
      </c>
      <c r="CT556">
        <f t="shared" si="420"/>
        <v>42318.93</v>
      </c>
      <c r="CU556">
        <f t="shared" si="421"/>
        <v>0</v>
      </c>
      <c r="CV556">
        <f t="shared" si="422"/>
        <v>188.73</v>
      </c>
      <c r="CW556">
        <f t="shared" si="423"/>
        <v>0</v>
      </c>
      <c r="CX556">
        <f t="shared" si="424"/>
        <v>0</v>
      </c>
      <c r="CY556">
        <f t="shared" si="425"/>
        <v>23402.365000000002</v>
      </c>
      <c r="CZ556">
        <f t="shared" si="426"/>
        <v>3343.1950000000002</v>
      </c>
      <c r="DC556" t="s">
        <v>3</v>
      </c>
      <c r="DD556" t="s">
        <v>3</v>
      </c>
      <c r="DE556" t="s">
        <v>3</v>
      </c>
      <c r="DF556" t="s">
        <v>3</v>
      </c>
      <c r="DG556" t="s">
        <v>3</v>
      </c>
      <c r="DH556" t="s">
        <v>3</v>
      </c>
      <c r="DI556" t="s">
        <v>3</v>
      </c>
      <c r="DJ556" t="s">
        <v>3</v>
      </c>
      <c r="DK556" t="s">
        <v>3</v>
      </c>
      <c r="DL556" t="s">
        <v>3</v>
      </c>
      <c r="DM556" t="s">
        <v>3</v>
      </c>
      <c r="DN556">
        <v>0</v>
      </c>
      <c r="DO556">
        <v>0</v>
      </c>
      <c r="DP556">
        <v>1</v>
      </c>
      <c r="DQ556">
        <v>1</v>
      </c>
      <c r="DU556">
        <v>1010</v>
      </c>
      <c r="DV556" t="s">
        <v>222</v>
      </c>
      <c r="DW556" t="s">
        <v>222</v>
      </c>
      <c r="DX556">
        <v>100</v>
      </c>
      <c r="EE556">
        <v>67874524</v>
      </c>
      <c r="EF556">
        <v>1</v>
      </c>
      <c r="EG556" t="s">
        <v>20</v>
      </c>
      <c r="EH556">
        <v>0</v>
      </c>
      <c r="EI556" t="s">
        <v>3</v>
      </c>
      <c r="EJ556">
        <v>4</v>
      </c>
      <c r="EK556">
        <v>0</v>
      </c>
      <c r="EL556" t="s">
        <v>21</v>
      </c>
      <c r="EM556" t="s">
        <v>22</v>
      </c>
      <c r="EO556" t="s">
        <v>3</v>
      </c>
      <c r="EQ556">
        <v>132096</v>
      </c>
      <c r="ER556">
        <v>597443.31999999995</v>
      </c>
      <c r="ES556">
        <v>554949.93000000005</v>
      </c>
      <c r="ET556">
        <v>174.46</v>
      </c>
      <c r="EU556">
        <v>161.72</v>
      </c>
      <c r="EV556">
        <v>42318.93</v>
      </c>
      <c r="EW556">
        <v>188.73</v>
      </c>
      <c r="EX556">
        <v>0</v>
      </c>
      <c r="EY556">
        <v>0</v>
      </c>
      <c r="FQ556">
        <v>0</v>
      </c>
      <c r="FR556">
        <f t="shared" si="427"/>
        <v>0</v>
      </c>
      <c r="FS556">
        <v>0</v>
      </c>
      <c r="FX556">
        <v>70</v>
      </c>
      <c r="FY556">
        <v>10</v>
      </c>
      <c r="GA556" t="s">
        <v>3</v>
      </c>
      <c r="GD556">
        <v>0</v>
      </c>
      <c r="GF556">
        <v>1498998184</v>
      </c>
      <c r="GG556">
        <v>2</v>
      </c>
      <c r="GH556">
        <v>1</v>
      </c>
      <c r="GI556">
        <v>-2</v>
      </c>
      <c r="GJ556">
        <v>0</v>
      </c>
      <c r="GK556">
        <f>ROUND(R556*(R12)/100,2)</f>
        <v>137.97999999999999</v>
      </c>
      <c r="GL556">
        <f t="shared" si="428"/>
        <v>0</v>
      </c>
      <c r="GM556">
        <f t="shared" si="429"/>
        <v>498863.76</v>
      </c>
      <c r="GN556">
        <f t="shared" si="430"/>
        <v>0</v>
      </c>
      <c r="GO556">
        <f t="shared" si="431"/>
        <v>0</v>
      </c>
      <c r="GP556">
        <f t="shared" si="432"/>
        <v>498863.76</v>
      </c>
      <c r="GR556">
        <v>0</v>
      </c>
      <c r="GS556">
        <v>3</v>
      </c>
      <c r="GT556">
        <v>0</v>
      </c>
      <c r="GU556" t="s">
        <v>3</v>
      </c>
      <c r="GV556">
        <f t="shared" si="433"/>
        <v>0</v>
      </c>
      <c r="GW556">
        <v>1</v>
      </c>
      <c r="GX556">
        <f t="shared" si="434"/>
        <v>0</v>
      </c>
      <c r="HA556">
        <v>0</v>
      </c>
      <c r="HB556">
        <v>0</v>
      </c>
      <c r="HC556">
        <f t="shared" si="435"/>
        <v>0</v>
      </c>
      <c r="IK556">
        <v>0</v>
      </c>
    </row>
    <row r="557" spans="1:245" x14ac:dyDescent="0.2">
      <c r="A557">
        <v>18</v>
      </c>
      <c r="B557">
        <v>1</v>
      </c>
      <c r="E557" t="s">
        <v>3</v>
      </c>
      <c r="F557" t="s">
        <v>508</v>
      </c>
      <c r="G557" t="s">
        <v>509</v>
      </c>
      <c r="H557" t="s">
        <v>236</v>
      </c>
      <c r="I557">
        <f>I556*J557</f>
        <v>-46.61</v>
      </c>
      <c r="J557">
        <v>-59</v>
      </c>
      <c r="O557">
        <f t="shared" si="403"/>
        <v>-424108.58</v>
      </c>
      <c r="P557">
        <f t="shared" si="404"/>
        <v>-424108.58</v>
      </c>
      <c r="Q557">
        <f t="shared" si="405"/>
        <v>0</v>
      </c>
      <c r="R557">
        <f t="shared" si="406"/>
        <v>0</v>
      </c>
      <c r="S557">
        <f t="shared" si="407"/>
        <v>0</v>
      </c>
      <c r="T557">
        <f t="shared" si="408"/>
        <v>0</v>
      </c>
      <c r="U557">
        <f t="shared" si="409"/>
        <v>0</v>
      </c>
      <c r="V557">
        <f t="shared" si="410"/>
        <v>0</v>
      </c>
      <c r="W557">
        <f t="shared" si="411"/>
        <v>0</v>
      </c>
      <c r="X557">
        <f t="shared" si="412"/>
        <v>0</v>
      </c>
      <c r="Y557">
        <f t="shared" si="413"/>
        <v>0</v>
      </c>
      <c r="AA557">
        <v>-1</v>
      </c>
      <c r="AB557">
        <f t="shared" si="414"/>
        <v>9099.09</v>
      </c>
      <c r="AC557">
        <f t="shared" si="438"/>
        <v>9099.09</v>
      </c>
      <c r="AD557">
        <f t="shared" si="439"/>
        <v>0</v>
      </c>
      <c r="AE557">
        <f t="shared" si="440"/>
        <v>0</v>
      </c>
      <c r="AF557">
        <f t="shared" si="441"/>
        <v>0</v>
      </c>
      <c r="AG557">
        <f t="shared" si="415"/>
        <v>0</v>
      </c>
      <c r="AH557">
        <f t="shared" si="442"/>
        <v>0</v>
      </c>
      <c r="AI557">
        <f t="shared" si="443"/>
        <v>0</v>
      </c>
      <c r="AJ557">
        <f t="shared" si="416"/>
        <v>0</v>
      </c>
      <c r="AK557">
        <v>9099.09</v>
      </c>
      <c r="AL557">
        <v>9099.09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70</v>
      </c>
      <c r="AU557">
        <v>10</v>
      </c>
      <c r="AV557">
        <v>1</v>
      </c>
      <c r="AW557">
        <v>1</v>
      </c>
      <c r="AZ557">
        <v>1</v>
      </c>
      <c r="BA557">
        <v>1</v>
      </c>
      <c r="BB557">
        <v>1</v>
      </c>
      <c r="BC557">
        <v>1</v>
      </c>
      <c r="BD557" t="s">
        <v>3</v>
      </c>
      <c r="BE557" t="s">
        <v>3</v>
      </c>
      <c r="BF557" t="s">
        <v>3</v>
      </c>
      <c r="BG557" t="s">
        <v>3</v>
      </c>
      <c r="BH557">
        <v>3</v>
      </c>
      <c r="BI557">
        <v>4</v>
      </c>
      <c r="BJ557" t="s">
        <v>510</v>
      </c>
      <c r="BM557">
        <v>0</v>
      </c>
      <c r="BN557">
        <v>0</v>
      </c>
      <c r="BO557" t="s">
        <v>3</v>
      </c>
      <c r="BP557">
        <v>0</v>
      </c>
      <c r="BQ557">
        <v>1</v>
      </c>
      <c r="BR557">
        <v>0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 t="s">
        <v>3</v>
      </c>
      <c r="BZ557">
        <v>70</v>
      </c>
      <c r="CA557">
        <v>10</v>
      </c>
      <c r="CE557">
        <v>0</v>
      </c>
      <c r="CF557">
        <v>0</v>
      </c>
      <c r="CG557">
        <v>0</v>
      </c>
      <c r="CM557">
        <v>0</v>
      </c>
      <c r="CN557" t="s">
        <v>3</v>
      </c>
      <c r="CO557">
        <v>0</v>
      </c>
      <c r="CP557">
        <f t="shared" si="417"/>
        <v>-424108.58</v>
      </c>
      <c r="CQ557">
        <f t="shared" si="418"/>
        <v>9099.09</v>
      </c>
      <c r="CR557">
        <f t="shared" si="444"/>
        <v>0</v>
      </c>
      <c r="CS557">
        <f t="shared" si="419"/>
        <v>0</v>
      </c>
      <c r="CT557">
        <f t="shared" si="420"/>
        <v>0</v>
      </c>
      <c r="CU557">
        <f t="shared" si="421"/>
        <v>0</v>
      </c>
      <c r="CV557">
        <f t="shared" si="422"/>
        <v>0</v>
      </c>
      <c r="CW557">
        <f t="shared" si="423"/>
        <v>0</v>
      </c>
      <c r="CX557">
        <f t="shared" si="424"/>
        <v>0</v>
      </c>
      <c r="CY557">
        <f t="shared" si="425"/>
        <v>0</v>
      </c>
      <c r="CZ557">
        <f t="shared" si="426"/>
        <v>0</v>
      </c>
      <c r="DC557" t="s">
        <v>3</v>
      </c>
      <c r="DD557" t="s">
        <v>3</v>
      </c>
      <c r="DE557" t="s">
        <v>3</v>
      </c>
      <c r="DF557" t="s">
        <v>3</v>
      </c>
      <c r="DG557" t="s">
        <v>3</v>
      </c>
      <c r="DH557" t="s">
        <v>3</v>
      </c>
      <c r="DI557" t="s">
        <v>3</v>
      </c>
      <c r="DJ557" t="s">
        <v>3</v>
      </c>
      <c r="DK557" t="s">
        <v>3</v>
      </c>
      <c r="DL557" t="s">
        <v>3</v>
      </c>
      <c r="DM557" t="s">
        <v>3</v>
      </c>
      <c r="DN557">
        <v>0</v>
      </c>
      <c r="DO557">
        <v>0</v>
      </c>
      <c r="DP557">
        <v>1</v>
      </c>
      <c r="DQ557">
        <v>1</v>
      </c>
      <c r="DU557">
        <v>1007</v>
      </c>
      <c r="DV557" t="s">
        <v>236</v>
      </c>
      <c r="DW557" t="s">
        <v>236</v>
      </c>
      <c r="DX557">
        <v>1</v>
      </c>
      <c r="EE557">
        <v>67874524</v>
      </c>
      <c r="EF557">
        <v>1</v>
      </c>
      <c r="EG557" t="s">
        <v>20</v>
      </c>
      <c r="EH557">
        <v>0</v>
      </c>
      <c r="EI557" t="s">
        <v>3</v>
      </c>
      <c r="EJ557">
        <v>4</v>
      </c>
      <c r="EK557">
        <v>0</v>
      </c>
      <c r="EL557" t="s">
        <v>21</v>
      </c>
      <c r="EM557" t="s">
        <v>22</v>
      </c>
      <c r="EO557" t="s">
        <v>3</v>
      </c>
      <c r="EQ557">
        <v>1024</v>
      </c>
      <c r="ER557">
        <v>9099.09</v>
      </c>
      <c r="ES557">
        <v>9099.09</v>
      </c>
      <c r="ET557">
        <v>0</v>
      </c>
      <c r="EU557">
        <v>0</v>
      </c>
      <c r="EV557">
        <v>0</v>
      </c>
      <c r="EW557">
        <v>0</v>
      </c>
      <c r="EX557">
        <v>0</v>
      </c>
      <c r="FQ557">
        <v>0</v>
      </c>
      <c r="FR557">
        <f t="shared" si="427"/>
        <v>0</v>
      </c>
      <c r="FS557">
        <v>0</v>
      </c>
      <c r="FX557">
        <v>70</v>
      </c>
      <c r="FY557">
        <v>10</v>
      </c>
      <c r="GA557" t="s">
        <v>3</v>
      </c>
      <c r="GD557">
        <v>0</v>
      </c>
      <c r="GF557">
        <v>75350176</v>
      </c>
      <c r="GG557">
        <v>2</v>
      </c>
      <c r="GH557">
        <v>1</v>
      </c>
      <c r="GI557">
        <v>-2</v>
      </c>
      <c r="GJ557">
        <v>0</v>
      </c>
      <c r="GK557">
        <f>ROUND(R557*(R12)/100,2)</f>
        <v>0</v>
      </c>
      <c r="GL557">
        <f t="shared" si="428"/>
        <v>0</v>
      </c>
      <c r="GM557">
        <f t="shared" si="429"/>
        <v>-424108.58</v>
      </c>
      <c r="GN557">
        <f t="shared" si="430"/>
        <v>0</v>
      </c>
      <c r="GO557">
        <f t="shared" si="431"/>
        <v>0</v>
      </c>
      <c r="GP557">
        <f t="shared" si="432"/>
        <v>-424108.58</v>
      </c>
      <c r="GR557">
        <v>0</v>
      </c>
      <c r="GS557">
        <v>3</v>
      </c>
      <c r="GT557">
        <v>0</v>
      </c>
      <c r="GU557" t="s">
        <v>3</v>
      </c>
      <c r="GV557">
        <f t="shared" si="433"/>
        <v>0</v>
      </c>
      <c r="GW557">
        <v>1</v>
      </c>
      <c r="GX557">
        <f t="shared" si="434"/>
        <v>0</v>
      </c>
      <c r="HA557">
        <v>0</v>
      </c>
      <c r="HB557">
        <v>0</v>
      </c>
      <c r="HC557">
        <f t="shared" si="435"/>
        <v>0</v>
      </c>
      <c r="IK557">
        <v>0</v>
      </c>
    </row>
    <row r="558" spans="1:245" x14ac:dyDescent="0.2">
      <c r="A558">
        <v>18</v>
      </c>
      <c r="B558">
        <v>1</v>
      </c>
      <c r="E558" t="s">
        <v>3</v>
      </c>
      <c r="F558" t="s">
        <v>140</v>
      </c>
      <c r="G558" t="s">
        <v>511</v>
      </c>
      <c r="H558" t="s">
        <v>232</v>
      </c>
      <c r="I558">
        <f>I556*J558</f>
        <v>0.99999999999999989</v>
      </c>
      <c r="J558">
        <v>1.2658227848101264</v>
      </c>
      <c r="O558">
        <f t="shared" si="403"/>
        <v>747496.8</v>
      </c>
      <c r="P558">
        <f t="shared" si="404"/>
        <v>747496.8</v>
      </c>
      <c r="Q558">
        <f t="shared" si="405"/>
        <v>0</v>
      </c>
      <c r="R558">
        <f t="shared" si="406"/>
        <v>0</v>
      </c>
      <c r="S558">
        <f t="shared" si="407"/>
        <v>0</v>
      </c>
      <c r="T558">
        <f t="shared" si="408"/>
        <v>0</v>
      </c>
      <c r="U558">
        <f t="shared" si="409"/>
        <v>0</v>
      </c>
      <c r="V558">
        <f t="shared" si="410"/>
        <v>0</v>
      </c>
      <c r="W558">
        <f t="shared" si="411"/>
        <v>0</v>
      </c>
      <c r="X558">
        <f t="shared" si="412"/>
        <v>0</v>
      </c>
      <c r="Y558">
        <f t="shared" si="413"/>
        <v>0</v>
      </c>
      <c r="AA558">
        <v>-1</v>
      </c>
      <c r="AB558">
        <f t="shared" si="414"/>
        <v>747496.8</v>
      </c>
      <c r="AC558">
        <f t="shared" si="438"/>
        <v>747496.8</v>
      </c>
      <c r="AD558">
        <f t="shared" si="439"/>
        <v>0</v>
      </c>
      <c r="AE558">
        <f t="shared" si="440"/>
        <v>0</v>
      </c>
      <c r="AF558">
        <f t="shared" si="441"/>
        <v>0</v>
      </c>
      <c r="AG558">
        <f t="shared" si="415"/>
        <v>0</v>
      </c>
      <c r="AH558">
        <f t="shared" si="442"/>
        <v>0</v>
      </c>
      <c r="AI558">
        <f t="shared" si="443"/>
        <v>0</v>
      </c>
      <c r="AJ558">
        <f t="shared" si="416"/>
        <v>0</v>
      </c>
      <c r="AK558">
        <v>747496.8</v>
      </c>
      <c r="AL558">
        <v>747496.8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70</v>
      </c>
      <c r="AU558">
        <v>10</v>
      </c>
      <c r="AV558">
        <v>1</v>
      </c>
      <c r="AW558">
        <v>1</v>
      </c>
      <c r="AZ558">
        <v>1</v>
      </c>
      <c r="BA558">
        <v>1</v>
      </c>
      <c r="BB558">
        <v>1</v>
      </c>
      <c r="BC558">
        <v>1</v>
      </c>
      <c r="BD558" t="s">
        <v>3</v>
      </c>
      <c r="BE558" t="s">
        <v>3</v>
      </c>
      <c r="BF558" t="s">
        <v>3</v>
      </c>
      <c r="BG558" t="s">
        <v>3</v>
      </c>
      <c r="BH558">
        <v>3</v>
      </c>
      <c r="BI558">
        <v>4</v>
      </c>
      <c r="BJ558" t="s">
        <v>3</v>
      </c>
      <c r="BM558">
        <v>0</v>
      </c>
      <c r="BN558">
        <v>0</v>
      </c>
      <c r="BO558" t="s">
        <v>3</v>
      </c>
      <c r="BP558">
        <v>0</v>
      </c>
      <c r="BQ558">
        <v>1</v>
      </c>
      <c r="BR558">
        <v>0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 t="s">
        <v>3</v>
      </c>
      <c r="BZ558">
        <v>70</v>
      </c>
      <c r="CA558">
        <v>10</v>
      </c>
      <c r="CE558">
        <v>0</v>
      </c>
      <c r="CF558">
        <v>0</v>
      </c>
      <c r="CG558">
        <v>0</v>
      </c>
      <c r="CM558">
        <v>0</v>
      </c>
      <c r="CN558" t="s">
        <v>3</v>
      </c>
      <c r="CO558">
        <v>0</v>
      </c>
      <c r="CP558">
        <f t="shared" si="417"/>
        <v>747496.8</v>
      </c>
      <c r="CQ558">
        <f t="shared" si="418"/>
        <v>747496.8</v>
      </c>
      <c r="CR558">
        <f t="shared" si="444"/>
        <v>0</v>
      </c>
      <c r="CS558">
        <f t="shared" si="419"/>
        <v>0</v>
      </c>
      <c r="CT558">
        <f t="shared" si="420"/>
        <v>0</v>
      </c>
      <c r="CU558">
        <f t="shared" si="421"/>
        <v>0</v>
      </c>
      <c r="CV558">
        <f t="shared" si="422"/>
        <v>0</v>
      </c>
      <c r="CW558">
        <f t="shared" si="423"/>
        <v>0</v>
      </c>
      <c r="CX558">
        <f t="shared" si="424"/>
        <v>0</v>
      </c>
      <c r="CY558">
        <f t="shared" si="425"/>
        <v>0</v>
      </c>
      <c r="CZ558">
        <f t="shared" si="426"/>
        <v>0</v>
      </c>
      <c r="DC558" t="s">
        <v>3</v>
      </c>
      <c r="DD558" t="s">
        <v>3</v>
      </c>
      <c r="DE558" t="s">
        <v>3</v>
      </c>
      <c r="DF558" t="s">
        <v>3</v>
      </c>
      <c r="DG558" t="s">
        <v>3</v>
      </c>
      <c r="DH558" t="s">
        <v>3</v>
      </c>
      <c r="DI558" t="s">
        <v>3</v>
      </c>
      <c r="DJ558" t="s">
        <v>3</v>
      </c>
      <c r="DK558" t="s">
        <v>3</v>
      </c>
      <c r="DL558" t="s">
        <v>3</v>
      </c>
      <c r="DM558" t="s">
        <v>3</v>
      </c>
      <c r="DN558">
        <v>0</v>
      </c>
      <c r="DO558">
        <v>0</v>
      </c>
      <c r="DP558">
        <v>1</v>
      </c>
      <c r="DQ558">
        <v>1</v>
      </c>
      <c r="DU558">
        <v>1010</v>
      </c>
      <c r="DV558" t="s">
        <v>232</v>
      </c>
      <c r="DW558" t="s">
        <v>232</v>
      </c>
      <c r="DX558">
        <v>1</v>
      </c>
      <c r="EE558">
        <v>67874524</v>
      </c>
      <c r="EF558">
        <v>1</v>
      </c>
      <c r="EG558" t="s">
        <v>20</v>
      </c>
      <c r="EH558">
        <v>0</v>
      </c>
      <c r="EI558" t="s">
        <v>3</v>
      </c>
      <c r="EJ558">
        <v>4</v>
      </c>
      <c r="EK558">
        <v>0</v>
      </c>
      <c r="EL558" t="s">
        <v>21</v>
      </c>
      <c r="EM558" t="s">
        <v>22</v>
      </c>
      <c r="EO558" t="s">
        <v>3</v>
      </c>
      <c r="EQ558">
        <v>1024</v>
      </c>
      <c r="ER558">
        <v>732840</v>
      </c>
      <c r="ES558">
        <v>747496.8</v>
      </c>
      <c r="ET558">
        <v>0</v>
      </c>
      <c r="EU558">
        <v>0</v>
      </c>
      <c r="EV558">
        <v>0</v>
      </c>
      <c r="EW558">
        <v>0</v>
      </c>
      <c r="EX558">
        <v>0</v>
      </c>
      <c r="FQ558">
        <v>0</v>
      </c>
      <c r="FR558">
        <f t="shared" si="427"/>
        <v>0</v>
      </c>
      <c r="FS558">
        <v>0</v>
      </c>
      <c r="FX558">
        <v>70</v>
      </c>
      <c r="FY558">
        <v>10</v>
      </c>
      <c r="GA558" t="s">
        <v>3</v>
      </c>
      <c r="GD558">
        <v>0</v>
      </c>
      <c r="GF558">
        <v>-361616416</v>
      </c>
      <c r="GG558">
        <v>2</v>
      </c>
      <c r="GH558">
        <v>0</v>
      </c>
      <c r="GI558">
        <v>-2</v>
      </c>
      <c r="GJ558">
        <v>0</v>
      </c>
      <c r="GK558">
        <f>ROUND(R558*(R12)/100,2)</f>
        <v>0</v>
      </c>
      <c r="GL558">
        <f t="shared" si="428"/>
        <v>0</v>
      </c>
      <c r="GM558">
        <f t="shared" si="429"/>
        <v>747496.8</v>
      </c>
      <c r="GN558">
        <f t="shared" si="430"/>
        <v>0</v>
      </c>
      <c r="GO558">
        <f t="shared" si="431"/>
        <v>0</v>
      </c>
      <c r="GP558">
        <f t="shared" si="432"/>
        <v>747496.8</v>
      </c>
      <c r="GR558">
        <v>0</v>
      </c>
      <c r="GS558">
        <v>0</v>
      </c>
      <c r="GT558">
        <v>0</v>
      </c>
      <c r="GU558" t="s">
        <v>3</v>
      </c>
      <c r="GV558">
        <f t="shared" si="433"/>
        <v>0</v>
      </c>
      <c r="GW558">
        <v>1</v>
      </c>
      <c r="GX558">
        <f t="shared" si="434"/>
        <v>0</v>
      </c>
      <c r="HA558">
        <v>0</v>
      </c>
      <c r="HB558">
        <v>0</v>
      </c>
      <c r="HC558">
        <f t="shared" si="435"/>
        <v>0</v>
      </c>
      <c r="IK558">
        <v>0</v>
      </c>
    </row>
    <row r="559" spans="1:245" x14ac:dyDescent="0.2">
      <c r="A559">
        <v>17</v>
      </c>
      <c r="B559">
        <v>1</v>
      </c>
      <c r="D559">
        <f>ROW(EtalonRes!A506)</f>
        <v>506</v>
      </c>
      <c r="E559" t="s">
        <v>3</v>
      </c>
      <c r="F559" t="s">
        <v>512</v>
      </c>
      <c r="G559" t="s">
        <v>513</v>
      </c>
      <c r="H559" t="s">
        <v>28</v>
      </c>
      <c r="I559">
        <v>1</v>
      </c>
      <c r="J559">
        <v>0</v>
      </c>
      <c r="O559">
        <f t="shared" si="403"/>
        <v>30209.03</v>
      </c>
      <c r="P559">
        <f t="shared" si="404"/>
        <v>27055.31</v>
      </c>
      <c r="Q559">
        <f t="shared" si="405"/>
        <v>0</v>
      </c>
      <c r="R559">
        <f t="shared" si="406"/>
        <v>0</v>
      </c>
      <c r="S559">
        <f t="shared" si="407"/>
        <v>3153.72</v>
      </c>
      <c r="T559">
        <f t="shared" si="408"/>
        <v>0</v>
      </c>
      <c r="U559">
        <f t="shared" si="409"/>
        <v>18.649999999999999</v>
      </c>
      <c r="V559">
        <f t="shared" si="410"/>
        <v>0</v>
      </c>
      <c r="W559">
        <f t="shared" si="411"/>
        <v>0</v>
      </c>
      <c r="X559">
        <f t="shared" si="412"/>
        <v>2207.6</v>
      </c>
      <c r="Y559">
        <f t="shared" si="413"/>
        <v>315.37</v>
      </c>
      <c r="AA559">
        <v>-1</v>
      </c>
      <c r="AB559">
        <f t="shared" si="414"/>
        <v>30209.03</v>
      </c>
      <c r="AC559">
        <f t="shared" si="438"/>
        <v>27055.31</v>
      </c>
      <c r="AD559">
        <f t="shared" si="439"/>
        <v>0</v>
      </c>
      <c r="AE559">
        <f t="shared" si="440"/>
        <v>0</v>
      </c>
      <c r="AF559">
        <f t="shared" si="441"/>
        <v>3153.72</v>
      </c>
      <c r="AG559">
        <f t="shared" si="415"/>
        <v>0</v>
      </c>
      <c r="AH559">
        <f t="shared" si="442"/>
        <v>18.649999999999999</v>
      </c>
      <c r="AI559">
        <f t="shared" si="443"/>
        <v>0</v>
      </c>
      <c r="AJ559">
        <f t="shared" si="416"/>
        <v>0</v>
      </c>
      <c r="AK559">
        <v>30209.03</v>
      </c>
      <c r="AL559">
        <v>27055.31</v>
      </c>
      <c r="AM559">
        <v>0</v>
      </c>
      <c r="AN559">
        <v>0</v>
      </c>
      <c r="AO559">
        <v>3153.72</v>
      </c>
      <c r="AP559">
        <v>0</v>
      </c>
      <c r="AQ559">
        <v>18.649999999999999</v>
      </c>
      <c r="AR559">
        <v>0</v>
      </c>
      <c r="AS559">
        <v>0</v>
      </c>
      <c r="AT559">
        <v>70</v>
      </c>
      <c r="AU559">
        <v>10</v>
      </c>
      <c r="AV559">
        <v>1</v>
      </c>
      <c r="AW559">
        <v>1</v>
      </c>
      <c r="AZ559">
        <v>1</v>
      </c>
      <c r="BA559">
        <v>1</v>
      </c>
      <c r="BB559">
        <v>1</v>
      </c>
      <c r="BC559">
        <v>1</v>
      </c>
      <c r="BD559" t="s">
        <v>3</v>
      </c>
      <c r="BE559" t="s">
        <v>3</v>
      </c>
      <c r="BF559" t="s">
        <v>3</v>
      </c>
      <c r="BG559" t="s">
        <v>3</v>
      </c>
      <c r="BH559">
        <v>0</v>
      </c>
      <c r="BI559">
        <v>4</v>
      </c>
      <c r="BJ559" t="s">
        <v>514</v>
      </c>
      <c r="BM559">
        <v>0</v>
      </c>
      <c r="BN559">
        <v>0</v>
      </c>
      <c r="BO559" t="s">
        <v>3</v>
      </c>
      <c r="BP559">
        <v>0</v>
      </c>
      <c r="BQ559">
        <v>1</v>
      </c>
      <c r="BR559">
        <v>0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 t="s">
        <v>3</v>
      </c>
      <c r="BZ559">
        <v>70</v>
      </c>
      <c r="CA559">
        <v>10</v>
      </c>
      <c r="CE559">
        <v>0</v>
      </c>
      <c r="CF559">
        <v>0</v>
      </c>
      <c r="CG559">
        <v>0</v>
      </c>
      <c r="CM559">
        <v>0</v>
      </c>
      <c r="CN559" t="s">
        <v>3</v>
      </c>
      <c r="CO559">
        <v>0</v>
      </c>
      <c r="CP559">
        <f t="shared" si="417"/>
        <v>30209.030000000002</v>
      </c>
      <c r="CQ559">
        <f t="shared" si="418"/>
        <v>27055.31</v>
      </c>
      <c r="CR559">
        <f t="shared" si="444"/>
        <v>0</v>
      </c>
      <c r="CS559">
        <f t="shared" si="419"/>
        <v>0</v>
      </c>
      <c r="CT559">
        <f t="shared" si="420"/>
        <v>3153.72</v>
      </c>
      <c r="CU559">
        <f t="shared" si="421"/>
        <v>0</v>
      </c>
      <c r="CV559">
        <f t="shared" si="422"/>
        <v>18.649999999999999</v>
      </c>
      <c r="CW559">
        <f t="shared" si="423"/>
        <v>0</v>
      </c>
      <c r="CX559">
        <f t="shared" si="424"/>
        <v>0</v>
      </c>
      <c r="CY559">
        <f t="shared" si="425"/>
        <v>2207.6039999999998</v>
      </c>
      <c r="CZ559">
        <f t="shared" si="426"/>
        <v>315.37199999999996</v>
      </c>
      <c r="DC559" t="s">
        <v>3</v>
      </c>
      <c r="DD559" t="s">
        <v>3</v>
      </c>
      <c r="DE559" t="s">
        <v>3</v>
      </c>
      <c r="DF559" t="s">
        <v>3</v>
      </c>
      <c r="DG559" t="s">
        <v>3</v>
      </c>
      <c r="DH559" t="s">
        <v>3</v>
      </c>
      <c r="DI559" t="s">
        <v>3</v>
      </c>
      <c r="DJ559" t="s">
        <v>3</v>
      </c>
      <c r="DK559" t="s">
        <v>3</v>
      </c>
      <c r="DL559" t="s">
        <v>3</v>
      </c>
      <c r="DM559" t="s">
        <v>3</v>
      </c>
      <c r="DN559">
        <v>0</v>
      </c>
      <c r="DO559">
        <v>0</v>
      </c>
      <c r="DP559">
        <v>1</v>
      </c>
      <c r="DQ559">
        <v>1</v>
      </c>
      <c r="DU559">
        <v>1005</v>
      </c>
      <c r="DV559" t="s">
        <v>28</v>
      </c>
      <c r="DW559" t="s">
        <v>28</v>
      </c>
      <c r="DX559">
        <v>100</v>
      </c>
      <c r="EE559">
        <v>67874524</v>
      </c>
      <c r="EF559">
        <v>1</v>
      </c>
      <c r="EG559" t="s">
        <v>20</v>
      </c>
      <c r="EH559">
        <v>0</v>
      </c>
      <c r="EI559" t="s">
        <v>3</v>
      </c>
      <c r="EJ559">
        <v>4</v>
      </c>
      <c r="EK559">
        <v>0</v>
      </c>
      <c r="EL559" t="s">
        <v>21</v>
      </c>
      <c r="EM559" t="s">
        <v>22</v>
      </c>
      <c r="EO559" t="s">
        <v>3</v>
      </c>
      <c r="EQ559">
        <v>132096</v>
      </c>
      <c r="ER559">
        <v>30209.03</v>
      </c>
      <c r="ES559">
        <v>27055.31</v>
      </c>
      <c r="ET559">
        <v>0</v>
      </c>
      <c r="EU559">
        <v>0</v>
      </c>
      <c r="EV559">
        <v>3153.72</v>
      </c>
      <c r="EW559">
        <v>18.649999999999999</v>
      </c>
      <c r="EX559">
        <v>0</v>
      </c>
      <c r="EY559">
        <v>0</v>
      </c>
      <c r="FQ559">
        <v>0</v>
      </c>
      <c r="FR559">
        <f t="shared" si="427"/>
        <v>0</v>
      </c>
      <c r="FS559">
        <v>0</v>
      </c>
      <c r="FX559">
        <v>70</v>
      </c>
      <c r="FY559">
        <v>10</v>
      </c>
      <c r="GA559" t="s">
        <v>3</v>
      </c>
      <c r="GD559">
        <v>0</v>
      </c>
      <c r="GF559">
        <v>-1230595910</v>
      </c>
      <c r="GG559">
        <v>2</v>
      </c>
      <c r="GH559">
        <v>1</v>
      </c>
      <c r="GI559">
        <v>-2</v>
      </c>
      <c r="GJ559">
        <v>0</v>
      </c>
      <c r="GK559">
        <f>ROUND(R559*(R12)/100,2)</f>
        <v>0</v>
      </c>
      <c r="GL559">
        <f t="shared" si="428"/>
        <v>0</v>
      </c>
      <c r="GM559">
        <f t="shared" si="429"/>
        <v>32732</v>
      </c>
      <c r="GN559">
        <f t="shared" si="430"/>
        <v>0</v>
      </c>
      <c r="GO559">
        <f t="shared" si="431"/>
        <v>0</v>
      </c>
      <c r="GP559">
        <f t="shared" si="432"/>
        <v>32732</v>
      </c>
      <c r="GR559">
        <v>0</v>
      </c>
      <c r="GS559">
        <v>3</v>
      </c>
      <c r="GT559">
        <v>0</v>
      </c>
      <c r="GU559" t="s">
        <v>3</v>
      </c>
      <c r="GV559">
        <f t="shared" si="433"/>
        <v>0</v>
      </c>
      <c r="GW559">
        <v>1</v>
      </c>
      <c r="GX559">
        <f t="shared" si="434"/>
        <v>0</v>
      </c>
      <c r="HA559">
        <v>0</v>
      </c>
      <c r="HB559">
        <v>0</v>
      </c>
      <c r="HC559">
        <f t="shared" si="435"/>
        <v>0</v>
      </c>
      <c r="IK559">
        <v>0</v>
      </c>
    </row>
    <row r="560" spans="1:245" x14ac:dyDescent="0.2">
      <c r="A560">
        <v>17</v>
      </c>
      <c r="B560">
        <v>1</v>
      </c>
      <c r="D560">
        <f>ROW(EtalonRes!A510)</f>
        <v>510</v>
      </c>
      <c r="E560" t="s">
        <v>3</v>
      </c>
      <c r="F560" t="s">
        <v>515</v>
      </c>
      <c r="G560" t="s">
        <v>516</v>
      </c>
      <c r="H560" t="s">
        <v>28</v>
      </c>
      <c r="I560">
        <f>ROUND(37*0.5/100,9)</f>
        <v>0.185</v>
      </c>
      <c r="J560">
        <v>0</v>
      </c>
      <c r="O560">
        <f t="shared" si="403"/>
        <v>10353.209999999999</v>
      </c>
      <c r="P560">
        <f t="shared" si="404"/>
        <v>9125.2800000000007</v>
      </c>
      <c r="Q560">
        <f t="shared" si="405"/>
        <v>0</v>
      </c>
      <c r="R560">
        <f t="shared" si="406"/>
        <v>0</v>
      </c>
      <c r="S560">
        <f t="shared" si="407"/>
        <v>1227.93</v>
      </c>
      <c r="T560">
        <f t="shared" si="408"/>
        <v>0</v>
      </c>
      <c r="U560">
        <f t="shared" si="409"/>
        <v>7.0207500000000005</v>
      </c>
      <c r="V560">
        <f t="shared" si="410"/>
        <v>0</v>
      </c>
      <c r="W560">
        <f t="shared" si="411"/>
        <v>0</v>
      </c>
      <c r="X560">
        <f t="shared" si="412"/>
        <v>859.55</v>
      </c>
      <c r="Y560">
        <f t="shared" si="413"/>
        <v>122.79</v>
      </c>
      <c r="AA560">
        <v>-1</v>
      </c>
      <c r="AB560">
        <f t="shared" si="414"/>
        <v>55963.27</v>
      </c>
      <c r="AC560">
        <f t="shared" si="438"/>
        <v>49325.82</v>
      </c>
      <c r="AD560">
        <f t="shared" si="439"/>
        <v>0</v>
      </c>
      <c r="AE560">
        <f t="shared" si="440"/>
        <v>0</v>
      </c>
      <c r="AF560">
        <f t="shared" si="441"/>
        <v>6637.45</v>
      </c>
      <c r="AG560">
        <f t="shared" si="415"/>
        <v>0</v>
      </c>
      <c r="AH560">
        <f t="shared" si="442"/>
        <v>37.950000000000003</v>
      </c>
      <c r="AI560">
        <f t="shared" si="443"/>
        <v>0</v>
      </c>
      <c r="AJ560">
        <f t="shared" si="416"/>
        <v>0</v>
      </c>
      <c r="AK560">
        <v>55963.27</v>
      </c>
      <c r="AL560">
        <v>49325.82</v>
      </c>
      <c r="AM560">
        <v>0</v>
      </c>
      <c r="AN560">
        <v>0</v>
      </c>
      <c r="AO560">
        <v>6637.45</v>
      </c>
      <c r="AP560">
        <v>0</v>
      </c>
      <c r="AQ560">
        <v>37.950000000000003</v>
      </c>
      <c r="AR560">
        <v>0</v>
      </c>
      <c r="AS560">
        <v>0</v>
      </c>
      <c r="AT560">
        <v>70</v>
      </c>
      <c r="AU560">
        <v>10</v>
      </c>
      <c r="AV560">
        <v>1</v>
      </c>
      <c r="AW560">
        <v>1</v>
      </c>
      <c r="AZ560">
        <v>1</v>
      </c>
      <c r="BA560">
        <v>1</v>
      </c>
      <c r="BB560">
        <v>1</v>
      </c>
      <c r="BC560">
        <v>1</v>
      </c>
      <c r="BD560" t="s">
        <v>3</v>
      </c>
      <c r="BE560" t="s">
        <v>3</v>
      </c>
      <c r="BF560" t="s">
        <v>3</v>
      </c>
      <c r="BG560" t="s">
        <v>3</v>
      </c>
      <c r="BH560">
        <v>0</v>
      </c>
      <c r="BI560">
        <v>4</v>
      </c>
      <c r="BJ560" t="s">
        <v>517</v>
      </c>
      <c r="BM560">
        <v>0</v>
      </c>
      <c r="BN560">
        <v>0</v>
      </c>
      <c r="BO560" t="s">
        <v>3</v>
      </c>
      <c r="BP560">
        <v>0</v>
      </c>
      <c r="BQ560">
        <v>1</v>
      </c>
      <c r="BR560">
        <v>0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 t="s">
        <v>3</v>
      </c>
      <c r="BZ560">
        <v>70</v>
      </c>
      <c r="CA560">
        <v>10</v>
      </c>
      <c r="CE560">
        <v>0</v>
      </c>
      <c r="CF560">
        <v>0</v>
      </c>
      <c r="CG560">
        <v>0</v>
      </c>
      <c r="CM560">
        <v>0</v>
      </c>
      <c r="CN560" t="s">
        <v>3</v>
      </c>
      <c r="CO560">
        <v>0</v>
      </c>
      <c r="CP560">
        <f t="shared" si="417"/>
        <v>10353.210000000001</v>
      </c>
      <c r="CQ560">
        <f t="shared" si="418"/>
        <v>49325.82</v>
      </c>
      <c r="CR560">
        <f t="shared" si="444"/>
        <v>0</v>
      </c>
      <c r="CS560">
        <f t="shared" si="419"/>
        <v>0</v>
      </c>
      <c r="CT560">
        <f t="shared" si="420"/>
        <v>6637.45</v>
      </c>
      <c r="CU560">
        <f t="shared" si="421"/>
        <v>0</v>
      </c>
      <c r="CV560">
        <f t="shared" si="422"/>
        <v>37.950000000000003</v>
      </c>
      <c r="CW560">
        <f t="shared" si="423"/>
        <v>0</v>
      </c>
      <c r="CX560">
        <f t="shared" si="424"/>
        <v>0</v>
      </c>
      <c r="CY560">
        <f t="shared" si="425"/>
        <v>859.55100000000004</v>
      </c>
      <c r="CZ560">
        <f t="shared" si="426"/>
        <v>122.79300000000001</v>
      </c>
      <c r="DC560" t="s">
        <v>3</v>
      </c>
      <c r="DD560" t="s">
        <v>3</v>
      </c>
      <c r="DE560" t="s">
        <v>3</v>
      </c>
      <c r="DF560" t="s">
        <v>3</v>
      </c>
      <c r="DG560" t="s">
        <v>3</v>
      </c>
      <c r="DH560" t="s">
        <v>3</v>
      </c>
      <c r="DI560" t="s">
        <v>3</v>
      </c>
      <c r="DJ560" t="s">
        <v>3</v>
      </c>
      <c r="DK560" t="s">
        <v>3</v>
      </c>
      <c r="DL560" t="s">
        <v>3</v>
      </c>
      <c r="DM560" t="s">
        <v>3</v>
      </c>
      <c r="DN560">
        <v>0</v>
      </c>
      <c r="DO560">
        <v>0</v>
      </c>
      <c r="DP560">
        <v>1</v>
      </c>
      <c r="DQ560">
        <v>1</v>
      </c>
      <c r="DU560">
        <v>1005</v>
      </c>
      <c r="DV560" t="s">
        <v>28</v>
      </c>
      <c r="DW560" t="s">
        <v>28</v>
      </c>
      <c r="DX560">
        <v>100</v>
      </c>
      <c r="EE560">
        <v>67874524</v>
      </c>
      <c r="EF560">
        <v>1</v>
      </c>
      <c r="EG560" t="s">
        <v>20</v>
      </c>
      <c r="EH560">
        <v>0</v>
      </c>
      <c r="EI560" t="s">
        <v>3</v>
      </c>
      <c r="EJ560">
        <v>4</v>
      </c>
      <c r="EK560">
        <v>0</v>
      </c>
      <c r="EL560" t="s">
        <v>21</v>
      </c>
      <c r="EM560" t="s">
        <v>22</v>
      </c>
      <c r="EO560" t="s">
        <v>3</v>
      </c>
      <c r="EQ560">
        <v>132096</v>
      </c>
      <c r="ER560">
        <v>55963.27</v>
      </c>
      <c r="ES560">
        <v>49325.82</v>
      </c>
      <c r="ET560">
        <v>0</v>
      </c>
      <c r="EU560">
        <v>0</v>
      </c>
      <c r="EV560">
        <v>6637.45</v>
      </c>
      <c r="EW560">
        <v>37.950000000000003</v>
      </c>
      <c r="EX560">
        <v>0</v>
      </c>
      <c r="EY560">
        <v>0</v>
      </c>
      <c r="FQ560">
        <v>0</v>
      </c>
      <c r="FR560">
        <f t="shared" si="427"/>
        <v>0</v>
      </c>
      <c r="FS560">
        <v>0</v>
      </c>
      <c r="FX560">
        <v>70</v>
      </c>
      <c r="FY560">
        <v>10</v>
      </c>
      <c r="GA560" t="s">
        <v>3</v>
      </c>
      <c r="GD560">
        <v>0</v>
      </c>
      <c r="GF560">
        <v>-495677044</v>
      </c>
      <c r="GG560">
        <v>2</v>
      </c>
      <c r="GH560">
        <v>1</v>
      </c>
      <c r="GI560">
        <v>-2</v>
      </c>
      <c r="GJ560">
        <v>0</v>
      </c>
      <c r="GK560">
        <f>ROUND(R560*(R12)/100,2)</f>
        <v>0</v>
      </c>
      <c r="GL560">
        <f t="shared" si="428"/>
        <v>0</v>
      </c>
      <c r="GM560">
        <f t="shared" si="429"/>
        <v>11335.55</v>
      </c>
      <c r="GN560">
        <f t="shared" si="430"/>
        <v>0</v>
      </c>
      <c r="GO560">
        <f t="shared" si="431"/>
        <v>0</v>
      </c>
      <c r="GP560">
        <f t="shared" si="432"/>
        <v>11335.55</v>
      </c>
      <c r="GR560">
        <v>0</v>
      </c>
      <c r="GS560">
        <v>3</v>
      </c>
      <c r="GT560">
        <v>0</v>
      </c>
      <c r="GU560" t="s">
        <v>3</v>
      </c>
      <c r="GV560">
        <f t="shared" si="433"/>
        <v>0</v>
      </c>
      <c r="GW560">
        <v>1</v>
      </c>
      <c r="GX560">
        <f t="shared" si="434"/>
        <v>0</v>
      </c>
      <c r="HA560">
        <v>0</v>
      </c>
      <c r="HB560">
        <v>0</v>
      </c>
      <c r="HC560">
        <f t="shared" si="435"/>
        <v>0</v>
      </c>
      <c r="IK560">
        <v>0</v>
      </c>
    </row>
    <row r="561" spans="1:245" x14ac:dyDescent="0.2">
      <c r="A561">
        <v>18</v>
      </c>
      <c r="B561">
        <v>1</v>
      </c>
      <c r="E561" t="s">
        <v>3</v>
      </c>
      <c r="F561" t="s">
        <v>518</v>
      </c>
      <c r="G561" t="s">
        <v>519</v>
      </c>
      <c r="H561" t="s">
        <v>236</v>
      </c>
      <c r="I561">
        <f>I560*J561</f>
        <v>-0.77700000000000002</v>
      </c>
      <c r="J561">
        <v>-4.2</v>
      </c>
      <c r="O561">
        <f t="shared" si="403"/>
        <v>-5515.69</v>
      </c>
      <c r="P561">
        <f t="shared" si="404"/>
        <v>-5515.69</v>
      </c>
      <c r="Q561">
        <f t="shared" si="405"/>
        <v>0</v>
      </c>
      <c r="R561">
        <f t="shared" si="406"/>
        <v>0</v>
      </c>
      <c r="S561">
        <f t="shared" si="407"/>
        <v>0</v>
      </c>
      <c r="T561">
        <f t="shared" si="408"/>
        <v>0</v>
      </c>
      <c r="U561">
        <f t="shared" si="409"/>
        <v>0</v>
      </c>
      <c r="V561">
        <f t="shared" si="410"/>
        <v>0</v>
      </c>
      <c r="W561">
        <f t="shared" si="411"/>
        <v>0</v>
      </c>
      <c r="X561">
        <f t="shared" si="412"/>
        <v>0</v>
      </c>
      <c r="Y561">
        <f t="shared" si="413"/>
        <v>0</v>
      </c>
      <c r="AA561">
        <v>-1</v>
      </c>
      <c r="AB561">
        <f t="shared" si="414"/>
        <v>7098.7</v>
      </c>
      <c r="AC561">
        <f t="shared" si="438"/>
        <v>7098.7</v>
      </c>
      <c r="AD561">
        <f t="shared" si="439"/>
        <v>0</v>
      </c>
      <c r="AE561">
        <f t="shared" si="440"/>
        <v>0</v>
      </c>
      <c r="AF561">
        <f t="shared" si="441"/>
        <v>0</v>
      </c>
      <c r="AG561">
        <f t="shared" si="415"/>
        <v>0</v>
      </c>
      <c r="AH561">
        <f t="shared" si="442"/>
        <v>0</v>
      </c>
      <c r="AI561">
        <f t="shared" si="443"/>
        <v>0</v>
      </c>
      <c r="AJ561">
        <f t="shared" si="416"/>
        <v>0</v>
      </c>
      <c r="AK561">
        <v>7098.7</v>
      </c>
      <c r="AL561">
        <v>7098.7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70</v>
      </c>
      <c r="AU561">
        <v>10</v>
      </c>
      <c r="AV561">
        <v>1</v>
      </c>
      <c r="AW561">
        <v>1</v>
      </c>
      <c r="AZ561">
        <v>1</v>
      </c>
      <c r="BA561">
        <v>1</v>
      </c>
      <c r="BB561">
        <v>1</v>
      </c>
      <c r="BC561">
        <v>1</v>
      </c>
      <c r="BD561" t="s">
        <v>3</v>
      </c>
      <c r="BE561" t="s">
        <v>3</v>
      </c>
      <c r="BF561" t="s">
        <v>3</v>
      </c>
      <c r="BG561" t="s">
        <v>3</v>
      </c>
      <c r="BH561">
        <v>3</v>
      </c>
      <c r="BI561">
        <v>4</v>
      </c>
      <c r="BJ561" t="s">
        <v>520</v>
      </c>
      <c r="BM561">
        <v>0</v>
      </c>
      <c r="BN561">
        <v>0</v>
      </c>
      <c r="BO561" t="s">
        <v>3</v>
      </c>
      <c r="BP561">
        <v>0</v>
      </c>
      <c r="BQ561">
        <v>1</v>
      </c>
      <c r="BR561">
        <v>0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1</v>
      </c>
      <c r="BY561" t="s">
        <v>3</v>
      </c>
      <c r="BZ561">
        <v>70</v>
      </c>
      <c r="CA561">
        <v>10</v>
      </c>
      <c r="CE561">
        <v>0</v>
      </c>
      <c r="CF561">
        <v>0</v>
      </c>
      <c r="CG561">
        <v>0</v>
      </c>
      <c r="CM561">
        <v>0</v>
      </c>
      <c r="CN561" t="s">
        <v>3</v>
      </c>
      <c r="CO561">
        <v>0</v>
      </c>
      <c r="CP561">
        <f t="shared" si="417"/>
        <v>-5515.69</v>
      </c>
      <c r="CQ561">
        <f t="shared" si="418"/>
        <v>7098.7</v>
      </c>
      <c r="CR561">
        <f t="shared" si="444"/>
        <v>0</v>
      </c>
      <c r="CS561">
        <f t="shared" si="419"/>
        <v>0</v>
      </c>
      <c r="CT561">
        <f t="shared" si="420"/>
        <v>0</v>
      </c>
      <c r="CU561">
        <f t="shared" si="421"/>
        <v>0</v>
      </c>
      <c r="CV561">
        <f t="shared" si="422"/>
        <v>0</v>
      </c>
      <c r="CW561">
        <f t="shared" si="423"/>
        <v>0</v>
      </c>
      <c r="CX561">
        <f t="shared" si="424"/>
        <v>0</v>
      </c>
      <c r="CY561">
        <f t="shared" si="425"/>
        <v>0</v>
      </c>
      <c r="CZ561">
        <f t="shared" si="426"/>
        <v>0</v>
      </c>
      <c r="DC561" t="s">
        <v>3</v>
      </c>
      <c r="DD561" t="s">
        <v>3</v>
      </c>
      <c r="DE561" t="s">
        <v>3</v>
      </c>
      <c r="DF561" t="s">
        <v>3</v>
      </c>
      <c r="DG561" t="s">
        <v>3</v>
      </c>
      <c r="DH561" t="s">
        <v>3</v>
      </c>
      <c r="DI561" t="s">
        <v>3</v>
      </c>
      <c r="DJ561" t="s">
        <v>3</v>
      </c>
      <c r="DK561" t="s">
        <v>3</v>
      </c>
      <c r="DL561" t="s">
        <v>3</v>
      </c>
      <c r="DM561" t="s">
        <v>3</v>
      </c>
      <c r="DN561">
        <v>0</v>
      </c>
      <c r="DO561">
        <v>0</v>
      </c>
      <c r="DP561">
        <v>1</v>
      </c>
      <c r="DQ561">
        <v>1</v>
      </c>
      <c r="DU561">
        <v>1007</v>
      </c>
      <c r="DV561" t="s">
        <v>236</v>
      </c>
      <c r="DW561" t="s">
        <v>236</v>
      </c>
      <c r="DX561">
        <v>1</v>
      </c>
      <c r="EE561">
        <v>67874524</v>
      </c>
      <c r="EF561">
        <v>1</v>
      </c>
      <c r="EG561" t="s">
        <v>20</v>
      </c>
      <c r="EH561">
        <v>0</v>
      </c>
      <c r="EI561" t="s">
        <v>3</v>
      </c>
      <c r="EJ561">
        <v>4</v>
      </c>
      <c r="EK561">
        <v>0</v>
      </c>
      <c r="EL561" t="s">
        <v>21</v>
      </c>
      <c r="EM561" t="s">
        <v>22</v>
      </c>
      <c r="EO561" t="s">
        <v>3</v>
      </c>
      <c r="EQ561">
        <v>1024</v>
      </c>
      <c r="ER561">
        <v>7098.7</v>
      </c>
      <c r="ES561">
        <v>7098.7</v>
      </c>
      <c r="ET561">
        <v>0</v>
      </c>
      <c r="EU561">
        <v>0</v>
      </c>
      <c r="EV561">
        <v>0</v>
      </c>
      <c r="EW561">
        <v>0</v>
      </c>
      <c r="EX561">
        <v>0</v>
      </c>
      <c r="FQ561">
        <v>0</v>
      </c>
      <c r="FR561">
        <f t="shared" si="427"/>
        <v>0</v>
      </c>
      <c r="FS561">
        <v>0</v>
      </c>
      <c r="FX561">
        <v>70</v>
      </c>
      <c r="FY561">
        <v>10</v>
      </c>
      <c r="GA561" t="s">
        <v>3</v>
      </c>
      <c r="GD561">
        <v>0</v>
      </c>
      <c r="GF561">
        <v>1032279283</v>
      </c>
      <c r="GG561">
        <v>2</v>
      </c>
      <c r="GH561">
        <v>1</v>
      </c>
      <c r="GI561">
        <v>-2</v>
      </c>
      <c r="GJ561">
        <v>0</v>
      </c>
      <c r="GK561">
        <f>ROUND(R561*(R12)/100,2)</f>
        <v>0</v>
      </c>
      <c r="GL561">
        <f t="shared" si="428"/>
        <v>0</v>
      </c>
      <c r="GM561">
        <f t="shared" si="429"/>
        <v>-5515.69</v>
      </c>
      <c r="GN561">
        <f t="shared" si="430"/>
        <v>0</v>
      </c>
      <c r="GO561">
        <f t="shared" si="431"/>
        <v>0</v>
      </c>
      <c r="GP561">
        <f t="shared" si="432"/>
        <v>-5515.69</v>
      </c>
      <c r="GR561">
        <v>0</v>
      </c>
      <c r="GS561">
        <v>3</v>
      </c>
      <c r="GT561">
        <v>0</v>
      </c>
      <c r="GU561" t="s">
        <v>3</v>
      </c>
      <c r="GV561">
        <f t="shared" si="433"/>
        <v>0</v>
      </c>
      <c r="GW561">
        <v>1</v>
      </c>
      <c r="GX561">
        <f t="shared" si="434"/>
        <v>0</v>
      </c>
      <c r="HA561">
        <v>0</v>
      </c>
      <c r="HB561">
        <v>0</v>
      </c>
      <c r="HC561">
        <f t="shared" si="435"/>
        <v>0</v>
      </c>
      <c r="IK561">
        <v>0</v>
      </c>
    </row>
    <row r="562" spans="1:245" x14ac:dyDescent="0.2">
      <c r="A562">
        <v>18</v>
      </c>
      <c r="B562">
        <v>1</v>
      </c>
      <c r="E562" t="s">
        <v>3</v>
      </c>
      <c r="F562" t="s">
        <v>140</v>
      </c>
      <c r="G562" t="s">
        <v>521</v>
      </c>
      <c r="H562" t="s">
        <v>522</v>
      </c>
      <c r="I562">
        <f>I560*J562</f>
        <v>37</v>
      </c>
      <c r="J562">
        <v>200</v>
      </c>
      <c r="O562">
        <f t="shared" si="403"/>
        <v>239872.85</v>
      </c>
      <c r="P562">
        <f t="shared" si="404"/>
        <v>239872.85</v>
      </c>
      <c r="Q562">
        <f t="shared" si="405"/>
        <v>0</v>
      </c>
      <c r="R562">
        <f t="shared" si="406"/>
        <v>0</v>
      </c>
      <c r="S562">
        <f t="shared" si="407"/>
        <v>0</v>
      </c>
      <c r="T562">
        <f t="shared" si="408"/>
        <v>0</v>
      </c>
      <c r="U562">
        <f t="shared" si="409"/>
        <v>0</v>
      </c>
      <c r="V562">
        <f t="shared" si="410"/>
        <v>0</v>
      </c>
      <c r="W562">
        <f t="shared" si="411"/>
        <v>0</v>
      </c>
      <c r="X562">
        <f t="shared" si="412"/>
        <v>0</v>
      </c>
      <c r="Y562">
        <f t="shared" si="413"/>
        <v>0</v>
      </c>
      <c r="AA562">
        <v>-1</v>
      </c>
      <c r="AB562">
        <f t="shared" si="414"/>
        <v>6483.05</v>
      </c>
      <c r="AC562">
        <f t="shared" si="438"/>
        <v>6483.05</v>
      </c>
      <c r="AD562">
        <f t="shared" si="439"/>
        <v>0</v>
      </c>
      <c r="AE562">
        <f t="shared" si="440"/>
        <v>0</v>
      </c>
      <c r="AF562">
        <f t="shared" si="441"/>
        <v>0</v>
      </c>
      <c r="AG562">
        <f t="shared" si="415"/>
        <v>0</v>
      </c>
      <c r="AH562">
        <f t="shared" si="442"/>
        <v>0</v>
      </c>
      <c r="AI562">
        <f t="shared" si="443"/>
        <v>0</v>
      </c>
      <c r="AJ562">
        <f t="shared" si="416"/>
        <v>0</v>
      </c>
      <c r="AK562">
        <v>6483.05</v>
      </c>
      <c r="AL562">
        <v>6483.05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70</v>
      </c>
      <c r="AU562">
        <v>10</v>
      </c>
      <c r="AV562">
        <v>1</v>
      </c>
      <c r="AW562">
        <v>1</v>
      </c>
      <c r="AZ562">
        <v>1</v>
      </c>
      <c r="BA562">
        <v>1</v>
      </c>
      <c r="BB562">
        <v>1</v>
      </c>
      <c r="BC562">
        <v>1</v>
      </c>
      <c r="BD562" t="s">
        <v>3</v>
      </c>
      <c r="BE562" t="s">
        <v>3</v>
      </c>
      <c r="BF562" t="s">
        <v>3</v>
      </c>
      <c r="BG562" t="s">
        <v>3</v>
      </c>
      <c r="BH562">
        <v>3</v>
      </c>
      <c r="BI562">
        <v>4</v>
      </c>
      <c r="BJ562" t="s">
        <v>3</v>
      </c>
      <c r="BM562">
        <v>0</v>
      </c>
      <c r="BN562">
        <v>0</v>
      </c>
      <c r="BO562" t="s">
        <v>3</v>
      </c>
      <c r="BP562">
        <v>0</v>
      </c>
      <c r="BQ562">
        <v>1</v>
      </c>
      <c r="BR562">
        <v>0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 t="s">
        <v>3</v>
      </c>
      <c r="BZ562">
        <v>70</v>
      </c>
      <c r="CA562">
        <v>10</v>
      </c>
      <c r="CE562">
        <v>0</v>
      </c>
      <c r="CF562">
        <v>0</v>
      </c>
      <c r="CG562">
        <v>0</v>
      </c>
      <c r="CM562">
        <v>0</v>
      </c>
      <c r="CN562" t="s">
        <v>3</v>
      </c>
      <c r="CO562">
        <v>0</v>
      </c>
      <c r="CP562">
        <f t="shared" si="417"/>
        <v>239872.85</v>
      </c>
      <c r="CQ562">
        <f t="shared" si="418"/>
        <v>6483.05</v>
      </c>
      <c r="CR562">
        <f t="shared" si="444"/>
        <v>0</v>
      </c>
      <c r="CS562">
        <f t="shared" si="419"/>
        <v>0</v>
      </c>
      <c r="CT562">
        <f t="shared" si="420"/>
        <v>0</v>
      </c>
      <c r="CU562">
        <f t="shared" si="421"/>
        <v>0</v>
      </c>
      <c r="CV562">
        <f t="shared" si="422"/>
        <v>0</v>
      </c>
      <c r="CW562">
        <f t="shared" si="423"/>
        <v>0</v>
      </c>
      <c r="CX562">
        <f t="shared" si="424"/>
        <v>0</v>
      </c>
      <c r="CY562">
        <f t="shared" si="425"/>
        <v>0</v>
      </c>
      <c r="CZ562">
        <f t="shared" si="426"/>
        <v>0</v>
      </c>
      <c r="DC562" t="s">
        <v>3</v>
      </c>
      <c r="DD562" t="s">
        <v>3</v>
      </c>
      <c r="DE562" t="s">
        <v>3</v>
      </c>
      <c r="DF562" t="s">
        <v>3</v>
      </c>
      <c r="DG562" t="s">
        <v>3</v>
      </c>
      <c r="DH562" t="s">
        <v>3</v>
      </c>
      <c r="DI562" t="s">
        <v>3</v>
      </c>
      <c r="DJ562" t="s">
        <v>3</v>
      </c>
      <c r="DK562" t="s">
        <v>3</v>
      </c>
      <c r="DL562" t="s">
        <v>3</v>
      </c>
      <c r="DM562" t="s">
        <v>3</v>
      </c>
      <c r="DN562">
        <v>0</v>
      </c>
      <c r="DO562">
        <v>0</v>
      </c>
      <c r="DP562">
        <v>1</v>
      </c>
      <c r="DQ562">
        <v>1</v>
      </c>
      <c r="DU562">
        <v>1013</v>
      </c>
      <c r="DV562" t="s">
        <v>522</v>
      </c>
      <c r="DW562" t="s">
        <v>522</v>
      </c>
      <c r="DX562">
        <v>1</v>
      </c>
      <c r="EE562">
        <v>67874524</v>
      </c>
      <c r="EF562">
        <v>1</v>
      </c>
      <c r="EG562" t="s">
        <v>20</v>
      </c>
      <c r="EH562">
        <v>0</v>
      </c>
      <c r="EI562" t="s">
        <v>3</v>
      </c>
      <c r="EJ562">
        <v>4</v>
      </c>
      <c r="EK562">
        <v>0</v>
      </c>
      <c r="EL562" t="s">
        <v>21</v>
      </c>
      <c r="EM562" t="s">
        <v>22</v>
      </c>
      <c r="EO562" t="s">
        <v>3</v>
      </c>
      <c r="EQ562">
        <v>1024</v>
      </c>
      <c r="ER562">
        <v>6483.05</v>
      </c>
      <c r="ES562">
        <v>6483.05</v>
      </c>
      <c r="ET562">
        <v>0</v>
      </c>
      <c r="EU562">
        <v>0</v>
      </c>
      <c r="EV562">
        <v>0</v>
      </c>
      <c r="EW562">
        <v>0</v>
      </c>
      <c r="EX562">
        <v>0</v>
      </c>
      <c r="FQ562">
        <v>0</v>
      </c>
      <c r="FR562">
        <f t="shared" si="427"/>
        <v>0</v>
      </c>
      <c r="FS562">
        <v>0</v>
      </c>
      <c r="FX562">
        <v>70</v>
      </c>
      <c r="FY562">
        <v>10</v>
      </c>
      <c r="GA562" t="s">
        <v>3</v>
      </c>
      <c r="GD562">
        <v>0</v>
      </c>
      <c r="GF562">
        <v>-999605820</v>
      </c>
      <c r="GG562">
        <v>2</v>
      </c>
      <c r="GH562">
        <v>0</v>
      </c>
      <c r="GI562">
        <v>-2</v>
      </c>
      <c r="GJ562">
        <v>0</v>
      </c>
      <c r="GK562">
        <f>ROUND(R562*(R12)/100,2)</f>
        <v>0</v>
      </c>
      <c r="GL562">
        <f t="shared" si="428"/>
        <v>0</v>
      </c>
      <c r="GM562">
        <f t="shared" si="429"/>
        <v>239872.85</v>
      </c>
      <c r="GN562">
        <f t="shared" si="430"/>
        <v>0</v>
      </c>
      <c r="GO562">
        <f t="shared" si="431"/>
        <v>0</v>
      </c>
      <c r="GP562">
        <f t="shared" si="432"/>
        <v>239872.85</v>
      </c>
      <c r="GR562">
        <v>0</v>
      </c>
      <c r="GS562">
        <v>0</v>
      </c>
      <c r="GT562">
        <v>0</v>
      </c>
      <c r="GU562" t="s">
        <v>3</v>
      </c>
      <c r="GV562">
        <f t="shared" si="433"/>
        <v>0</v>
      </c>
      <c r="GW562">
        <v>1</v>
      </c>
      <c r="GX562">
        <f t="shared" si="434"/>
        <v>0</v>
      </c>
      <c r="HA562">
        <v>0</v>
      </c>
      <c r="HB562">
        <v>0</v>
      </c>
      <c r="HC562">
        <f t="shared" si="435"/>
        <v>0</v>
      </c>
      <c r="IK562">
        <v>0</v>
      </c>
    </row>
    <row r="563" spans="1:245" x14ac:dyDescent="0.2">
      <c r="A563">
        <v>17</v>
      </c>
      <c r="B563">
        <v>1</v>
      </c>
      <c r="D563">
        <f>ROW(EtalonRes!A516)</f>
        <v>516</v>
      </c>
      <c r="E563" t="s">
        <v>3</v>
      </c>
      <c r="F563" t="s">
        <v>523</v>
      </c>
      <c r="G563" t="s">
        <v>524</v>
      </c>
      <c r="H563" t="s">
        <v>232</v>
      </c>
      <c r="I563">
        <v>6</v>
      </c>
      <c r="J563">
        <v>0</v>
      </c>
      <c r="O563">
        <f t="shared" si="403"/>
        <v>4117.62</v>
      </c>
      <c r="P563">
        <f t="shared" si="404"/>
        <v>427.56</v>
      </c>
      <c r="Q563">
        <f t="shared" si="405"/>
        <v>6.72</v>
      </c>
      <c r="R563">
        <f t="shared" si="406"/>
        <v>0.9</v>
      </c>
      <c r="S563">
        <f t="shared" si="407"/>
        <v>3683.34</v>
      </c>
      <c r="T563">
        <f t="shared" si="408"/>
        <v>0</v>
      </c>
      <c r="U563">
        <f t="shared" si="409"/>
        <v>17.100000000000001</v>
      </c>
      <c r="V563">
        <f t="shared" si="410"/>
        <v>0</v>
      </c>
      <c r="W563">
        <f t="shared" si="411"/>
        <v>0</v>
      </c>
      <c r="X563">
        <f t="shared" si="412"/>
        <v>2578.34</v>
      </c>
      <c r="Y563">
        <f t="shared" si="413"/>
        <v>368.33</v>
      </c>
      <c r="AA563">
        <v>-1</v>
      </c>
      <c r="AB563">
        <f t="shared" si="414"/>
        <v>686.27</v>
      </c>
      <c r="AC563">
        <f t="shared" si="438"/>
        <v>71.260000000000005</v>
      </c>
      <c r="AD563">
        <f t="shared" si="439"/>
        <v>1.1200000000000001</v>
      </c>
      <c r="AE563">
        <f t="shared" si="440"/>
        <v>0.15</v>
      </c>
      <c r="AF563">
        <f t="shared" si="441"/>
        <v>613.89</v>
      </c>
      <c r="AG563">
        <f t="shared" si="415"/>
        <v>0</v>
      </c>
      <c r="AH563">
        <f t="shared" si="442"/>
        <v>2.85</v>
      </c>
      <c r="AI563">
        <f t="shared" si="443"/>
        <v>0</v>
      </c>
      <c r="AJ563">
        <f t="shared" si="416"/>
        <v>0</v>
      </c>
      <c r="AK563">
        <v>686.27</v>
      </c>
      <c r="AL563">
        <v>71.260000000000005</v>
      </c>
      <c r="AM563">
        <v>1.1200000000000001</v>
      </c>
      <c r="AN563">
        <v>0.15</v>
      </c>
      <c r="AO563">
        <v>613.89</v>
      </c>
      <c r="AP563">
        <v>0</v>
      </c>
      <c r="AQ563">
        <v>2.85</v>
      </c>
      <c r="AR563">
        <v>0</v>
      </c>
      <c r="AS563">
        <v>0</v>
      </c>
      <c r="AT563">
        <v>70</v>
      </c>
      <c r="AU563">
        <v>10</v>
      </c>
      <c r="AV563">
        <v>1</v>
      </c>
      <c r="AW563">
        <v>1</v>
      </c>
      <c r="AZ563">
        <v>1</v>
      </c>
      <c r="BA563">
        <v>1</v>
      </c>
      <c r="BB563">
        <v>1</v>
      </c>
      <c r="BC563">
        <v>1</v>
      </c>
      <c r="BD563" t="s">
        <v>3</v>
      </c>
      <c r="BE563" t="s">
        <v>3</v>
      </c>
      <c r="BF563" t="s">
        <v>3</v>
      </c>
      <c r="BG563" t="s">
        <v>3</v>
      </c>
      <c r="BH563">
        <v>0</v>
      </c>
      <c r="BI563">
        <v>4</v>
      </c>
      <c r="BJ563" t="s">
        <v>525</v>
      </c>
      <c r="BM563">
        <v>0</v>
      </c>
      <c r="BN563">
        <v>0</v>
      </c>
      <c r="BO563" t="s">
        <v>3</v>
      </c>
      <c r="BP563">
        <v>0</v>
      </c>
      <c r="BQ563">
        <v>1</v>
      </c>
      <c r="BR563">
        <v>0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 t="s">
        <v>3</v>
      </c>
      <c r="BZ563">
        <v>70</v>
      </c>
      <c r="CA563">
        <v>10</v>
      </c>
      <c r="CE563">
        <v>0</v>
      </c>
      <c r="CF563">
        <v>0</v>
      </c>
      <c r="CG563">
        <v>0</v>
      </c>
      <c r="CM563">
        <v>0</v>
      </c>
      <c r="CN563" t="s">
        <v>3</v>
      </c>
      <c r="CO563">
        <v>0</v>
      </c>
      <c r="CP563">
        <f t="shared" si="417"/>
        <v>4117.62</v>
      </c>
      <c r="CQ563">
        <f t="shared" si="418"/>
        <v>71.260000000000005</v>
      </c>
      <c r="CR563">
        <f t="shared" si="444"/>
        <v>1.1200000000000001</v>
      </c>
      <c r="CS563">
        <f t="shared" si="419"/>
        <v>0.15</v>
      </c>
      <c r="CT563">
        <f t="shared" si="420"/>
        <v>613.89</v>
      </c>
      <c r="CU563">
        <f t="shared" si="421"/>
        <v>0</v>
      </c>
      <c r="CV563">
        <f t="shared" si="422"/>
        <v>2.85</v>
      </c>
      <c r="CW563">
        <f t="shared" si="423"/>
        <v>0</v>
      </c>
      <c r="CX563">
        <f t="shared" si="424"/>
        <v>0</v>
      </c>
      <c r="CY563">
        <f t="shared" si="425"/>
        <v>2578.3380000000002</v>
      </c>
      <c r="CZ563">
        <f t="shared" si="426"/>
        <v>368.334</v>
      </c>
      <c r="DC563" t="s">
        <v>3</v>
      </c>
      <c r="DD563" t="s">
        <v>3</v>
      </c>
      <c r="DE563" t="s">
        <v>3</v>
      </c>
      <c r="DF563" t="s">
        <v>3</v>
      </c>
      <c r="DG563" t="s">
        <v>3</v>
      </c>
      <c r="DH563" t="s">
        <v>3</v>
      </c>
      <c r="DI563" t="s">
        <v>3</v>
      </c>
      <c r="DJ563" t="s">
        <v>3</v>
      </c>
      <c r="DK563" t="s">
        <v>3</v>
      </c>
      <c r="DL563" t="s">
        <v>3</v>
      </c>
      <c r="DM563" t="s">
        <v>3</v>
      </c>
      <c r="DN563">
        <v>0</v>
      </c>
      <c r="DO563">
        <v>0</v>
      </c>
      <c r="DP563">
        <v>1</v>
      </c>
      <c r="DQ563">
        <v>1</v>
      </c>
      <c r="DU563">
        <v>1010</v>
      </c>
      <c r="DV563" t="s">
        <v>232</v>
      </c>
      <c r="DW563" t="s">
        <v>232</v>
      </c>
      <c r="DX563">
        <v>1</v>
      </c>
      <c r="EE563">
        <v>67874524</v>
      </c>
      <c r="EF563">
        <v>1</v>
      </c>
      <c r="EG563" t="s">
        <v>20</v>
      </c>
      <c r="EH563">
        <v>0</v>
      </c>
      <c r="EI563" t="s">
        <v>3</v>
      </c>
      <c r="EJ563">
        <v>4</v>
      </c>
      <c r="EK563">
        <v>0</v>
      </c>
      <c r="EL563" t="s">
        <v>21</v>
      </c>
      <c r="EM563" t="s">
        <v>22</v>
      </c>
      <c r="EO563" t="s">
        <v>3</v>
      </c>
      <c r="EQ563">
        <v>132096</v>
      </c>
      <c r="ER563">
        <v>686.27</v>
      </c>
      <c r="ES563">
        <v>71.260000000000005</v>
      </c>
      <c r="ET563">
        <v>1.1200000000000001</v>
      </c>
      <c r="EU563">
        <v>0.15</v>
      </c>
      <c r="EV563">
        <v>613.89</v>
      </c>
      <c r="EW563">
        <v>2.85</v>
      </c>
      <c r="EX563">
        <v>0</v>
      </c>
      <c r="EY563">
        <v>0</v>
      </c>
      <c r="FQ563">
        <v>0</v>
      </c>
      <c r="FR563">
        <f t="shared" si="427"/>
        <v>0</v>
      </c>
      <c r="FS563">
        <v>0</v>
      </c>
      <c r="FX563">
        <v>70</v>
      </c>
      <c r="FY563">
        <v>10</v>
      </c>
      <c r="GA563" t="s">
        <v>3</v>
      </c>
      <c r="GD563">
        <v>0</v>
      </c>
      <c r="GF563">
        <v>1409588844</v>
      </c>
      <c r="GG563">
        <v>2</v>
      </c>
      <c r="GH563">
        <v>1</v>
      </c>
      <c r="GI563">
        <v>-2</v>
      </c>
      <c r="GJ563">
        <v>0</v>
      </c>
      <c r="GK563">
        <f>ROUND(R563*(R12)/100,2)</f>
        <v>0.97</v>
      </c>
      <c r="GL563">
        <f t="shared" si="428"/>
        <v>0</v>
      </c>
      <c r="GM563">
        <f t="shared" si="429"/>
        <v>7065.26</v>
      </c>
      <c r="GN563">
        <f t="shared" si="430"/>
        <v>0</v>
      </c>
      <c r="GO563">
        <f t="shared" si="431"/>
        <v>0</v>
      </c>
      <c r="GP563">
        <f t="shared" si="432"/>
        <v>7065.26</v>
      </c>
      <c r="GR563">
        <v>0</v>
      </c>
      <c r="GS563">
        <v>3</v>
      </c>
      <c r="GT563">
        <v>0</v>
      </c>
      <c r="GU563" t="s">
        <v>3</v>
      </c>
      <c r="GV563">
        <f t="shared" si="433"/>
        <v>0</v>
      </c>
      <c r="GW563">
        <v>1</v>
      </c>
      <c r="GX563">
        <f t="shared" si="434"/>
        <v>0</v>
      </c>
      <c r="HA563">
        <v>0</v>
      </c>
      <c r="HB563">
        <v>0</v>
      </c>
      <c r="HC563">
        <f t="shared" si="435"/>
        <v>0</v>
      </c>
      <c r="IK563">
        <v>0</v>
      </c>
    </row>
    <row r="564" spans="1:245" x14ac:dyDescent="0.2">
      <c r="A564">
        <v>18</v>
      </c>
      <c r="B564">
        <v>1</v>
      </c>
      <c r="E564" t="s">
        <v>3</v>
      </c>
      <c r="F564" t="s">
        <v>140</v>
      </c>
      <c r="G564" t="s">
        <v>526</v>
      </c>
      <c r="H564" t="s">
        <v>232</v>
      </c>
      <c r="I564">
        <f>I563*J564</f>
        <v>6</v>
      </c>
      <c r="J564">
        <v>1</v>
      </c>
      <c r="O564">
        <f t="shared" si="403"/>
        <v>285254.21999999997</v>
      </c>
      <c r="P564">
        <f t="shared" si="404"/>
        <v>285254.21999999997</v>
      </c>
      <c r="Q564">
        <f t="shared" si="405"/>
        <v>0</v>
      </c>
      <c r="R564">
        <f t="shared" si="406"/>
        <v>0</v>
      </c>
      <c r="S564">
        <f t="shared" si="407"/>
        <v>0</v>
      </c>
      <c r="T564">
        <f t="shared" si="408"/>
        <v>0</v>
      </c>
      <c r="U564">
        <f t="shared" si="409"/>
        <v>0</v>
      </c>
      <c r="V564">
        <f t="shared" si="410"/>
        <v>0</v>
      </c>
      <c r="W564">
        <f t="shared" si="411"/>
        <v>0</v>
      </c>
      <c r="X564">
        <f t="shared" si="412"/>
        <v>0</v>
      </c>
      <c r="Y564">
        <f t="shared" si="413"/>
        <v>0</v>
      </c>
      <c r="AA564">
        <v>-1</v>
      </c>
      <c r="AB564">
        <f t="shared" si="414"/>
        <v>47542.37</v>
      </c>
      <c r="AC564">
        <f t="shared" si="438"/>
        <v>47542.37</v>
      </c>
      <c r="AD564">
        <f t="shared" si="439"/>
        <v>0</v>
      </c>
      <c r="AE564">
        <f t="shared" si="440"/>
        <v>0</v>
      </c>
      <c r="AF564">
        <f t="shared" si="441"/>
        <v>0</v>
      </c>
      <c r="AG564">
        <f t="shared" si="415"/>
        <v>0</v>
      </c>
      <c r="AH564">
        <f t="shared" si="442"/>
        <v>0</v>
      </c>
      <c r="AI564">
        <f t="shared" si="443"/>
        <v>0</v>
      </c>
      <c r="AJ564">
        <f t="shared" si="416"/>
        <v>0</v>
      </c>
      <c r="AK564">
        <v>47542.369999999995</v>
      </c>
      <c r="AL564">
        <v>47542.369999999995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70</v>
      </c>
      <c r="AU564">
        <v>10</v>
      </c>
      <c r="AV564">
        <v>1</v>
      </c>
      <c r="AW564">
        <v>1</v>
      </c>
      <c r="AZ564">
        <v>1</v>
      </c>
      <c r="BA564">
        <v>1</v>
      </c>
      <c r="BB564">
        <v>1</v>
      </c>
      <c r="BC564">
        <v>1</v>
      </c>
      <c r="BD564" t="s">
        <v>3</v>
      </c>
      <c r="BE564" t="s">
        <v>3</v>
      </c>
      <c r="BF564" t="s">
        <v>3</v>
      </c>
      <c r="BG564" t="s">
        <v>3</v>
      </c>
      <c r="BH564">
        <v>3</v>
      </c>
      <c r="BI564">
        <v>4</v>
      </c>
      <c r="BJ564" t="s">
        <v>3</v>
      </c>
      <c r="BM564">
        <v>0</v>
      </c>
      <c r="BN564">
        <v>0</v>
      </c>
      <c r="BO564" t="s">
        <v>3</v>
      </c>
      <c r="BP564">
        <v>0</v>
      </c>
      <c r="BQ564">
        <v>1</v>
      </c>
      <c r="BR564">
        <v>0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 t="s">
        <v>3</v>
      </c>
      <c r="BZ564">
        <v>70</v>
      </c>
      <c r="CA564">
        <v>10</v>
      </c>
      <c r="CE564">
        <v>0</v>
      </c>
      <c r="CF564">
        <v>0</v>
      </c>
      <c r="CG564">
        <v>0</v>
      </c>
      <c r="CM564">
        <v>0</v>
      </c>
      <c r="CN564" t="s">
        <v>3</v>
      </c>
      <c r="CO564">
        <v>0</v>
      </c>
      <c r="CP564">
        <f t="shared" si="417"/>
        <v>285254.21999999997</v>
      </c>
      <c r="CQ564">
        <f t="shared" si="418"/>
        <v>47542.37</v>
      </c>
      <c r="CR564">
        <f t="shared" si="444"/>
        <v>0</v>
      </c>
      <c r="CS564">
        <f t="shared" si="419"/>
        <v>0</v>
      </c>
      <c r="CT564">
        <f t="shared" si="420"/>
        <v>0</v>
      </c>
      <c r="CU564">
        <f t="shared" si="421"/>
        <v>0</v>
      </c>
      <c r="CV564">
        <f t="shared" si="422"/>
        <v>0</v>
      </c>
      <c r="CW564">
        <f t="shared" si="423"/>
        <v>0</v>
      </c>
      <c r="CX564">
        <f t="shared" si="424"/>
        <v>0</v>
      </c>
      <c r="CY564">
        <f t="shared" si="425"/>
        <v>0</v>
      </c>
      <c r="CZ564">
        <f t="shared" si="426"/>
        <v>0</v>
      </c>
      <c r="DC564" t="s">
        <v>3</v>
      </c>
      <c r="DD564" t="s">
        <v>3</v>
      </c>
      <c r="DE564" t="s">
        <v>3</v>
      </c>
      <c r="DF564" t="s">
        <v>3</v>
      </c>
      <c r="DG564" t="s">
        <v>3</v>
      </c>
      <c r="DH564" t="s">
        <v>3</v>
      </c>
      <c r="DI564" t="s">
        <v>3</v>
      </c>
      <c r="DJ564" t="s">
        <v>3</v>
      </c>
      <c r="DK564" t="s">
        <v>3</v>
      </c>
      <c r="DL564" t="s">
        <v>3</v>
      </c>
      <c r="DM564" t="s">
        <v>3</v>
      </c>
      <c r="DN564">
        <v>0</v>
      </c>
      <c r="DO564">
        <v>0</v>
      </c>
      <c r="DP564">
        <v>1</v>
      </c>
      <c r="DQ564">
        <v>1</v>
      </c>
      <c r="DU564">
        <v>1010</v>
      </c>
      <c r="DV564" t="s">
        <v>232</v>
      </c>
      <c r="DW564" t="s">
        <v>232</v>
      </c>
      <c r="DX564">
        <v>1</v>
      </c>
      <c r="EE564">
        <v>67874524</v>
      </c>
      <c r="EF564">
        <v>1</v>
      </c>
      <c r="EG564" t="s">
        <v>20</v>
      </c>
      <c r="EH564">
        <v>0</v>
      </c>
      <c r="EI564" t="s">
        <v>3</v>
      </c>
      <c r="EJ564">
        <v>4</v>
      </c>
      <c r="EK564">
        <v>0</v>
      </c>
      <c r="EL564" t="s">
        <v>21</v>
      </c>
      <c r="EM564" t="s">
        <v>22</v>
      </c>
      <c r="EO564" t="s">
        <v>3</v>
      </c>
      <c r="EQ564">
        <v>1024</v>
      </c>
      <c r="ER564">
        <v>47542.369999999995</v>
      </c>
      <c r="ES564">
        <v>47542.369999999995</v>
      </c>
      <c r="ET564">
        <v>0</v>
      </c>
      <c r="EU564">
        <v>0</v>
      </c>
      <c r="EV564">
        <v>0</v>
      </c>
      <c r="EW564">
        <v>0</v>
      </c>
      <c r="EX564">
        <v>0</v>
      </c>
      <c r="FQ564">
        <v>0</v>
      </c>
      <c r="FR564">
        <f t="shared" si="427"/>
        <v>0</v>
      </c>
      <c r="FS564">
        <v>0</v>
      </c>
      <c r="FX564">
        <v>70</v>
      </c>
      <c r="FY564">
        <v>10</v>
      </c>
      <c r="GA564" t="s">
        <v>3</v>
      </c>
      <c r="GD564">
        <v>0</v>
      </c>
      <c r="GF564">
        <v>1513894107</v>
      </c>
      <c r="GG564">
        <v>2</v>
      </c>
      <c r="GH564">
        <v>0</v>
      </c>
      <c r="GI564">
        <v>-2</v>
      </c>
      <c r="GJ564">
        <v>0</v>
      </c>
      <c r="GK564">
        <f>ROUND(R564*(R12)/100,2)</f>
        <v>0</v>
      </c>
      <c r="GL564">
        <f t="shared" si="428"/>
        <v>0</v>
      </c>
      <c r="GM564">
        <f t="shared" si="429"/>
        <v>285254.21999999997</v>
      </c>
      <c r="GN564">
        <f t="shared" si="430"/>
        <v>0</v>
      </c>
      <c r="GO564">
        <f t="shared" si="431"/>
        <v>0</v>
      </c>
      <c r="GP564">
        <f t="shared" si="432"/>
        <v>285254.21999999997</v>
      </c>
      <c r="GR564">
        <v>0</v>
      </c>
      <c r="GS564">
        <v>0</v>
      </c>
      <c r="GT564">
        <v>0</v>
      </c>
      <c r="GU564" t="s">
        <v>3</v>
      </c>
      <c r="GV564">
        <f t="shared" si="433"/>
        <v>0</v>
      </c>
      <c r="GW564">
        <v>1</v>
      </c>
      <c r="GX564">
        <f t="shared" si="434"/>
        <v>0</v>
      </c>
      <c r="HA564">
        <v>0</v>
      </c>
      <c r="HB564">
        <v>0</v>
      </c>
      <c r="HC564">
        <f t="shared" si="435"/>
        <v>0</v>
      </c>
      <c r="IK564">
        <v>0</v>
      </c>
    </row>
    <row r="566" spans="1:245" x14ac:dyDescent="0.2">
      <c r="A566">
        <v>51</v>
      </c>
      <c r="B566">
        <f>B498</f>
        <v>1</v>
      </c>
      <c r="C566">
        <f>A498</f>
        <v>4</v>
      </c>
      <c r="D566">
        <f>ROW(A498)</f>
        <v>498</v>
      </c>
      <c r="F566" t="str">
        <f>IF(F498&lt;&gt;"",F498,"")</f>
        <v>Новый раздел</v>
      </c>
      <c r="G566" t="str">
        <f>IF(G498&lt;&gt;"",G498,"")</f>
        <v>Детские МАФ</v>
      </c>
      <c r="H566">
        <v>0</v>
      </c>
      <c r="O566">
        <f t="shared" ref="O566:T566" si="445">ROUND(AB566,2)</f>
        <v>1237967.82</v>
      </c>
      <c r="P566">
        <f t="shared" si="445"/>
        <v>1237967.82</v>
      </c>
      <c r="Q566">
        <f t="shared" si="445"/>
        <v>0</v>
      </c>
      <c r="R566">
        <f t="shared" si="445"/>
        <v>0</v>
      </c>
      <c r="S566">
        <f t="shared" si="445"/>
        <v>0</v>
      </c>
      <c r="T566">
        <f t="shared" si="445"/>
        <v>0</v>
      </c>
      <c r="U566">
        <f>AH566</f>
        <v>0</v>
      </c>
      <c r="V566">
        <f>AI566</f>
        <v>0</v>
      </c>
      <c r="W566">
        <f>ROUND(AJ566,2)</f>
        <v>0</v>
      </c>
      <c r="X566">
        <f>ROUND(AK566,2)</f>
        <v>0</v>
      </c>
      <c r="Y566">
        <f>ROUND(AL566,2)</f>
        <v>0</v>
      </c>
      <c r="AB566">
        <f>ROUND(SUMIF(AA502:AA564,"=71209905",O502:O564),2)</f>
        <v>1237967.82</v>
      </c>
      <c r="AC566">
        <f>ROUND(SUMIF(AA502:AA564,"=71209905",P502:P564),2)</f>
        <v>1237967.82</v>
      </c>
      <c r="AD566">
        <f>ROUND(SUMIF(AA502:AA564,"=71209905",Q502:Q564),2)</f>
        <v>0</v>
      </c>
      <c r="AE566">
        <f>ROUND(SUMIF(AA502:AA564,"=71209905",R502:R564),2)</f>
        <v>0</v>
      </c>
      <c r="AF566">
        <f>ROUND(SUMIF(AA502:AA564,"=71209905",S502:S564),2)</f>
        <v>0</v>
      </c>
      <c r="AG566">
        <f>ROUND(SUMIF(AA502:AA564,"=71209905",T502:T564),2)</f>
        <v>0</v>
      </c>
      <c r="AH566">
        <f>SUMIF(AA502:AA564,"=71209905",U502:U564)</f>
        <v>0</v>
      </c>
      <c r="AI566">
        <f>SUMIF(AA502:AA564,"=71209905",V502:V564)</f>
        <v>0</v>
      </c>
      <c r="AJ566">
        <f>ROUND(SUMIF(AA502:AA564,"=71209905",W502:W564),2)</f>
        <v>0</v>
      </c>
      <c r="AK566">
        <f>ROUND(SUMIF(AA502:AA564,"=71209905",X502:X564),2)</f>
        <v>0</v>
      </c>
      <c r="AL566">
        <f>ROUND(SUMIF(AA502:AA564,"=71209905",Y502:Y564),2)</f>
        <v>0</v>
      </c>
      <c r="AO566">
        <f t="shared" ref="AO566:BD566" si="446">ROUND(BX566,2)</f>
        <v>0</v>
      </c>
      <c r="AP566">
        <f t="shared" si="446"/>
        <v>0</v>
      </c>
      <c r="AQ566">
        <f t="shared" si="446"/>
        <v>0</v>
      </c>
      <c r="AR566">
        <f t="shared" si="446"/>
        <v>1237967.82</v>
      </c>
      <c r="AS566">
        <f t="shared" si="446"/>
        <v>0</v>
      </c>
      <c r="AT566">
        <f t="shared" si="446"/>
        <v>0</v>
      </c>
      <c r="AU566">
        <f t="shared" si="446"/>
        <v>1237967.82</v>
      </c>
      <c r="AV566">
        <f t="shared" si="446"/>
        <v>1237967.82</v>
      </c>
      <c r="AW566">
        <f t="shared" si="446"/>
        <v>1237967.82</v>
      </c>
      <c r="AX566">
        <f t="shared" si="446"/>
        <v>0</v>
      </c>
      <c r="AY566">
        <f t="shared" si="446"/>
        <v>1237967.82</v>
      </c>
      <c r="AZ566">
        <f t="shared" si="446"/>
        <v>0</v>
      </c>
      <c r="BA566">
        <f t="shared" si="446"/>
        <v>0</v>
      </c>
      <c r="BB566">
        <f t="shared" si="446"/>
        <v>0</v>
      </c>
      <c r="BC566">
        <f t="shared" si="446"/>
        <v>0</v>
      </c>
      <c r="BD566">
        <f t="shared" si="446"/>
        <v>0</v>
      </c>
      <c r="BX566">
        <f>ROUND(SUMIF(AA502:AA564,"=71209905",FQ502:FQ564),2)</f>
        <v>0</v>
      </c>
      <c r="BY566">
        <f>ROUND(SUMIF(AA502:AA564,"=71209905",FR502:FR564),2)</f>
        <v>0</v>
      </c>
      <c r="BZ566">
        <f>ROUND(SUMIF(AA502:AA564,"=71209905",GL502:GL564),2)</f>
        <v>0</v>
      </c>
      <c r="CA566">
        <f>ROUND(SUMIF(AA502:AA564,"=71209905",GM502:GM564),2)</f>
        <v>1237967.82</v>
      </c>
      <c r="CB566">
        <f>ROUND(SUMIF(AA502:AA564,"=71209905",GN502:GN564),2)</f>
        <v>0</v>
      </c>
      <c r="CC566">
        <f>ROUND(SUMIF(AA502:AA564,"=71209905",GO502:GO564),2)</f>
        <v>0</v>
      </c>
      <c r="CD566">
        <f>ROUND(SUMIF(AA502:AA564,"=71209905",GP502:GP564),2)</f>
        <v>1237967.82</v>
      </c>
      <c r="CE566">
        <f>AC566-BX566</f>
        <v>1237967.82</v>
      </c>
      <c r="CF566">
        <f>AC566-BY566</f>
        <v>1237967.82</v>
      </c>
      <c r="CG566">
        <f>BX566-BZ566</f>
        <v>0</v>
      </c>
      <c r="CH566">
        <f>AC566-BX566-BY566+BZ566</f>
        <v>1237967.82</v>
      </c>
      <c r="CI566">
        <f>BY566-BZ566</f>
        <v>0</v>
      </c>
      <c r="CJ566">
        <f>ROUND(SUMIF(AA502:AA564,"=71209905",GX502:GX564),2)</f>
        <v>0</v>
      </c>
      <c r="CK566">
        <f>ROUND(SUMIF(AA502:AA564,"=71209905",GY502:GY564),2)</f>
        <v>0</v>
      </c>
      <c r="CL566">
        <f>ROUND(SUMIF(AA502:AA564,"=71209905",GZ502:GZ564),2)</f>
        <v>0</v>
      </c>
      <c r="CM566">
        <f>ROUND(SUMIF(AA502:AA564,"=71209905",HD502:HD564),2)</f>
        <v>0</v>
      </c>
      <c r="GX566">
        <v>0</v>
      </c>
    </row>
    <row r="568" spans="1:245" x14ac:dyDescent="0.2">
      <c r="A568">
        <v>50</v>
      </c>
      <c r="B568">
        <v>0</v>
      </c>
      <c r="C568">
        <v>0</v>
      </c>
      <c r="D568">
        <v>1</v>
      </c>
      <c r="E568">
        <v>201</v>
      </c>
      <c r="F568">
        <f>ROUND(Source!O566,O568)</f>
        <v>1237967.82</v>
      </c>
      <c r="G568" t="s">
        <v>142</v>
      </c>
      <c r="H568" t="s">
        <v>143</v>
      </c>
      <c r="K568">
        <v>201</v>
      </c>
      <c r="L568">
        <v>1</v>
      </c>
      <c r="M568">
        <v>3</v>
      </c>
      <c r="N568" t="s">
        <v>3</v>
      </c>
      <c r="O568">
        <v>2</v>
      </c>
    </row>
    <row r="569" spans="1:245" x14ac:dyDescent="0.2">
      <c r="A569">
        <v>50</v>
      </c>
      <c r="B569">
        <v>0</v>
      </c>
      <c r="C569">
        <v>0</v>
      </c>
      <c r="D569">
        <v>1</v>
      </c>
      <c r="E569">
        <v>202</v>
      </c>
      <c r="F569">
        <f>ROUND(Source!P566,O569)</f>
        <v>1237967.82</v>
      </c>
      <c r="G569" t="s">
        <v>144</v>
      </c>
      <c r="H569" t="s">
        <v>145</v>
      </c>
      <c r="K569">
        <v>202</v>
      </c>
      <c r="L569">
        <v>2</v>
      </c>
      <c r="M569">
        <v>3</v>
      </c>
      <c r="N569" t="s">
        <v>3</v>
      </c>
      <c r="O569">
        <v>2</v>
      </c>
    </row>
    <row r="570" spans="1:245" x14ac:dyDescent="0.2">
      <c r="A570">
        <v>50</v>
      </c>
      <c r="B570">
        <v>0</v>
      </c>
      <c r="C570">
        <v>0</v>
      </c>
      <c r="D570">
        <v>1</v>
      </c>
      <c r="E570">
        <v>222</v>
      </c>
      <c r="F570">
        <f>ROUND(Source!AO566,O570)</f>
        <v>0</v>
      </c>
      <c r="G570" t="s">
        <v>146</v>
      </c>
      <c r="H570" t="s">
        <v>147</v>
      </c>
      <c r="K570">
        <v>222</v>
      </c>
      <c r="L570">
        <v>3</v>
      </c>
      <c r="M570">
        <v>3</v>
      </c>
      <c r="N570" t="s">
        <v>3</v>
      </c>
      <c r="O570">
        <v>2</v>
      </c>
    </row>
    <row r="571" spans="1:245" x14ac:dyDescent="0.2">
      <c r="A571">
        <v>50</v>
      </c>
      <c r="B571">
        <v>0</v>
      </c>
      <c r="C571">
        <v>0</v>
      </c>
      <c r="D571">
        <v>1</v>
      </c>
      <c r="E571">
        <v>225</v>
      </c>
      <c r="F571">
        <f>ROUND(Source!AV566,O571)</f>
        <v>1237967.82</v>
      </c>
      <c r="G571" t="s">
        <v>148</v>
      </c>
      <c r="H571" t="s">
        <v>149</v>
      </c>
      <c r="K571">
        <v>225</v>
      </c>
      <c r="L571">
        <v>4</v>
      </c>
      <c r="M571">
        <v>3</v>
      </c>
      <c r="N571" t="s">
        <v>3</v>
      </c>
      <c r="O571">
        <v>2</v>
      </c>
    </row>
    <row r="572" spans="1:245" x14ac:dyDescent="0.2">
      <c r="A572">
        <v>50</v>
      </c>
      <c r="B572">
        <v>0</v>
      </c>
      <c r="C572">
        <v>0</v>
      </c>
      <c r="D572">
        <v>1</v>
      </c>
      <c r="E572">
        <v>226</v>
      </c>
      <c r="F572">
        <f>ROUND(Source!AW566,O572)</f>
        <v>1237967.82</v>
      </c>
      <c r="G572" t="s">
        <v>150</v>
      </c>
      <c r="H572" t="s">
        <v>151</v>
      </c>
      <c r="K572">
        <v>226</v>
      </c>
      <c r="L572">
        <v>5</v>
      </c>
      <c r="M572">
        <v>3</v>
      </c>
      <c r="N572" t="s">
        <v>3</v>
      </c>
      <c r="O572">
        <v>2</v>
      </c>
    </row>
    <row r="573" spans="1:245" x14ac:dyDescent="0.2">
      <c r="A573">
        <v>50</v>
      </c>
      <c r="B573">
        <v>0</v>
      </c>
      <c r="C573">
        <v>0</v>
      </c>
      <c r="D573">
        <v>1</v>
      </c>
      <c r="E573">
        <v>227</v>
      </c>
      <c r="F573">
        <f>ROUND(Source!AX566,O573)</f>
        <v>0</v>
      </c>
      <c r="G573" t="s">
        <v>152</v>
      </c>
      <c r="H573" t="s">
        <v>153</v>
      </c>
      <c r="K573">
        <v>227</v>
      </c>
      <c r="L573">
        <v>6</v>
      </c>
      <c r="M573">
        <v>3</v>
      </c>
      <c r="N573" t="s">
        <v>3</v>
      </c>
      <c r="O573">
        <v>2</v>
      </c>
    </row>
    <row r="574" spans="1:245" x14ac:dyDescent="0.2">
      <c r="A574">
        <v>50</v>
      </c>
      <c r="B574">
        <v>0</v>
      </c>
      <c r="C574">
        <v>0</v>
      </c>
      <c r="D574">
        <v>1</v>
      </c>
      <c r="E574">
        <v>228</v>
      </c>
      <c r="F574">
        <f>ROUND(Source!AY566,O574)</f>
        <v>1237967.82</v>
      </c>
      <c r="G574" t="s">
        <v>154</v>
      </c>
      <c r="H574" t="s">
        <v>155</v>
      </c>
      <c r="K574">
        <v>228</v>
      </c>
      <c r="L574">
        <v>7</v>
      </c>
      <c r="M574">
        <v>3</v>
      </c>
      <c r="N574" t="s">
        <v>3</v>
      </c>
      <c r="O574">
        <v>2</v>
      </c>
    </row>
    <row r="575" spans="1:245" x14ac:dyDescent="0.2">
      <c r="A575">
        <v>50</v>
      </c>
      <c r="B575">
        <v>0</v>
      </c>
      <c r="C575">
        <v>0</v>
      </c>
      <c r="D575">
        <v>1</v>
      </c>
      <c r="E575">
        <v>216</v>
      </c>
      <c r="F575">
        <f>ROUND(Source!AP566,O575)</f>
        <v>0</v>
      </c>
      <c r="G575" t="s">
        <v>156</v>
      </c>
      <c r="H575" t="s">
        <v>157</v>
      </c>
      <c r="K575">
        <v>216</v>
      </c>
      <c r="L575">
        <v>8</v>
      </c>
      <c r="M575">
        <v>3</v>
      </c>
      <c r="N575" t="s">
        <v>3</v>
      </c>
      <c r="O575">
        <v>2</v>
      </c>
    </row>
    <row r="576" spans="1:245" x14ac:dyDescent="0.2">
      <c r="A576">
        <v>50</v>
      </c>
      <c r="B576">
        <v>0</v>
      </c>
      <c r="C576">
        <v>0</v>
      </c>
      <c r="D576">
        <v>1</v>
      </c>
      <c r="E576">
        <v>223</v>
      </c>
      <c r="F576">
        <f>ROUND(Source!AQ566,O576)</f>
        <v>0</v>
      </c>
      <c r="G576" t="s">
        <v>158</v>
      </c>
      <c r="H576" t="s">
        <v>159</v>
      </c>
      <c r="K576">
        <v>223</v>
      </c>
      <c r="L576">
        <v>9</v>
      </c>
      <c r="M576">
        <v>3</v>
      </c>
      <c r="N576" t="s">
        <v>3</v>
      </c>
      <c r="O576">
        <v>2</v>
      </c>
    </row>
    <row r="577" spans="1:15" x14ac:dyDescent="0.2">
      <c r="A577">
        <v>50</v>
      </c>
      <c r="B577">
        <v>0</v>
      </c>
      <c r="C577">
        <v>0</v>
      </c>
      <c r="D577">
        <v>1</v>
      </c>
      <c r="E577">
        <v>229</v>
      </c>
      <c r="F577">
        <f>ROUND(Source!AZ566,O577)</f>
        <v>0</v>
      </c>
      <c r="G577" t="s">
        <v>160</v>
      </c>
      <c r="H577" t="s">
        <v>161</v>
      </c>
      <c r="K577">
        <v>229</v>
      </c>
      <c r="L577">
        <v>10</v>
      </c>
      <c r="M577">
        <v>3</v>
      </c>
      <c r="N577" t="s">
        <v>3</v>
      </c>
      <c r="O577">
        <v>2</v>
      </c>
    </row>
    <row r="578" spans="1:15" x14ac:dyDescent="0.2">
      <c r="A578">
        <v>50</v>
      </c>
      <c r="B578">
        <v>0</v>
      </c>
      <c r="C578">
        <v>0</v>
      </c>
      <c r="D578">
        <v>1</v>
      </c>
      <c r="E578">
        <v>203</v>
      </c>
      <c r="F578">
        <f>ROUND(Source!Q566,O578)</f>
        <v>0</v>
      </c>
      <c r="G578" t="s">
        <v>162</v>
      </c>
      <c r="H578" t="s">
        <v>163</v>
      </c>
      <c r="K578">
        <v>203</v>
      </c>
      <c r="L578">
        <v>11</v>
      </c>
      <c r="M578">
        <v>3</v>
      </c>
      <c r="N578" t="s">
        <v>3</v>
      </c>
      <c r="O578">
        <v>2</v>
      </c>
    </row>
    <row r="579" spans="1:15" x14ac:dyDescent="0.2">
      <c r="A579">
        <v>50</v>
      </c>
      <c r="B579">
        <v>0</v>
      </c>
      <c r="C579">
        <v>0</v>
      </c>
      <c r="D579">
        <v>1</v>
      </c>
      <c r="E579">
        <v>231</v>
      </c>
      <c r="F579">
        <f>ROUND(Source!BB566,O579)</f>
        <v>0</v>
      </c>
      <c r="G579" t="s">
        <v>164</v>
      </c>
      <c r="H579" t="s">
        <v>165</v>
      </c>
      <c r="K579">
        <v>231</v>
      </c>
      <c r="L579">
        <v>12</v>
      </c>
      <c r="M579">
        <v>3</v>
      </c>
      <c r="N579" t="s">
        <v>3</v>
      </c>
      <c r="O579">
        <v>2</v>
      </c>
    </row>
    <row r="580" spans="1:15" x14ac:dyDescent="0.2">
      <c r="A580">
        <v>50</v>
      </c>
      <c r="B580">
        <v>0</v>
      </c>
      <c r="C580">
        <v>0</v>
      </c>
      <c r="D580">
        <v>1</v>
      </c>
      <c r="E580">
        <v>204</v>
      </c>
      <c r="F580">
        <f>ROUND(Source!R566,O580)</f>
        <v>0</v>
      </c>
      <c r="G580" t="s">
        <v>166</v>
      </c>
      <c r="H580" t="s">
        <v>167</v>
      </c>
      <c r="K580">
        <v>204</v>
      </c>
      <c r="L580">
        <v>13</v>
      </c>
      <c r="M580">
        <v>3</v>
      </c>
      <c r="N580" t="s">
        <v>3</v>
      </c>
      <c r="O580">
        <v>2</v>
      </c>
    </row>
    <row r="581" spans="1:15" x14ac:dyDescent="0.2">
      <c r="A581">
        <v>50</v>
      </c>
      <c r="B581">
        <v>0</v>
      </c>
      <c r="C581">
        <v>0</v>
      </c>
      <c r="D581">
        <v>1</v>
      </c>
      <c r="E581">
        <v>205</v>
      </c>
      <c r="F581">
        <f>ROUND(Source!S566,O581)</f>
        <v>0</v>
      </c>
      <c r="G581" t="s">
        <v>168</v>
      </c>
      <c r="H581" t="s">
        <v>169</v>
      </c>
      <c r="K581">
        <v>205</v>
      </c>
      <c r="L581">
        <v>14</v>
      </c>
      <c r="M581">
        <v>3</v>
      </c>
      <c r="N581" t="s">
        <v>3</v>
      </c>
      <c r="O581">
        <v>2</v>
      </c>
    </row>
    <row r="582" spans="1:15" x14ac:dyDescent="0.2">
      <c r="A582">
        <v>50</v>
      </c>
      <c r="B582">
        <v>0</v>
      </c>
      <c r="C582">
        <v>0</v>
      </c>
      <c r="D582">
        <v>1</v>
      </c>
      <c r="E582">
        <v>232</v>
      </c>
      <c r="F582">
        <f>ROUND(Source!BC566,O582)</f>
        <v>0</v>
      </c>
      <c r="G582" t="s">
        <v>170</v>
      </c>
      <c r="H582" t="s">
        <v>171</v>
      </c>
      <c r="K582">
        <v>232</v>
      </c>
      <c r="L582">
        <v>15</v>
      </c>
      <c r="M582">
        <v>3</v>
      </c>
      <c r="N582" t="s">
        <v>3</v>
      </c>
      <c r="O582">
        <v>2</v>
      </c>
    </row>
    <row r="583" spans="1:15" x14ac:dyDescent="0.2">
      <c r="A583">
        <v>50</v>
      </c>
      <c r="B583">
        <v>0</v>
      </c>
      <c r="C583">
        <v>0</v>
      </c>
      <c r="D583">
        <v>1</v>
      </c>
      <c r="E583">
        <v>214</v>
      </c>
      <c r="F583">
        <f>ROUND(Source!AS566,O583)</f>
        <v>0</v>
      </c>
      <c r="G583" t="s">
        <v>172</v>
      </c>
      <c r="H583" t="s">
        <v>173</v>
      </c>
      <c r="K583">
        <v>214</v>
      </c>
      <c r="L583">
        <v>16</v>
      </c>
      <c r="M583">
        <v>3</v>
      </c>
      <c r="N583" t="s">
        <v>3</v>
      </c>
      <c r="O583">
        <v>2</v>
      </c>
    </row>
    <row r="584" spans="1:15" x14ac:dyDescent="0.2">
      <c r="A584">
        <v>50</v>
      </c>
      <c r="B584">
        <v>0</v>
      </c>
      <c r="C584">
        <v>0</v>
      </c>
      <c r="D584">
        <v>1</v>
      </c>
      <c r="E584">
        <v>215</v>
      </c>
      <c r="F584">
        <f>ROUND(Source!AT566,O584)</f>
        <v>0</v>
      </c>
      <c r="G584" t="s">
        <v>174</v>
      </c>
      <c r="H584" t="s">
        <v>175</v>
      </c>
      <c r="K584">
        <v>215</v>
      </c>
      <c r="L584">
        <v>17</v>
      </c>
      <c r="M584">
        <v>3</v>
      </c>
      <c r="N584" t="s">
        <v>3</v>
      </c>
      <c r="O584">
        <v>2</v>
      </c>
    </row>
    <row r="585" spans="1:15" x14ac:dyDescent="0.2">
      <c r="A585">
        <v>50</v>
      </c>
      <c r="B585">
        <v>0</v>
      </c>
      <c r="C585">
        <v>0</v>
      </c>
      <c r="D585">
        <v>1</v>
      </c>
      <c r="E585">
        <v>217</v>
      </c>
      <c r="F585">
        <f>ROUND(Source!AU566,O585)</f>
        <v>1237967.82</v>
      </c>
      <c r="G585" t="s">
        <v>176</v>
      </c>
      <c r="H585" t="s">
        <v>177</v>
      </c>
      <c r="K585">
        <v>217</v>
      </c>
      <c r="L585">
        <v>18</v>
      </c>
      <c r="M585">
        <v>3</v>
      </c>
      <c r="N585" t="s">
        <v>3</v>
      </c>
      <c r="O585">
        <v>2</v>
      </c>
    </row>
    <row r="586" spans="1:15" x14ac:dyDescent="0.2">
      <c r="A586">
        <v>50</v>
      </c>
      <c r="B586">
        <v>0</v>
      </c>
      <c r="C586">
        <v>0</v>
      </c>
      <c r="D586">
        <v>1</v>
      </c>
      <c r="E586">
        <v>230</v>
      </c>
      <c r="F586">
        <f>ROUND(Source!BA566,O586)</f>
        <v>0</v>
      </c>
      <c r="G586" t="s">
        <v>178</v>
      </c>
      <c r="H586" t="s">
        <v>179</v>
      </c>
      <c r="K586">
        <v>230</v>
      </c>
      <c r="L586">
        <v>19</v>
      </c>
      <c r="M586">
        <v>3</v>
      </c>
      <c r="N586" t="s">
        <v>3</v>
      </c>
      <c r="O586">
        <v>2</v>
      </c>
    </row>
    <row r="587" spans="1:15" x14ac:dyDescent="0.2">
      <c r="A587">
        <v>50</v>
      </c>
      <c r="B587">
        <v>0</v>
      </c>
      <c r="C587">
        <v>0</v>
      </c>
      <c r="D587">
        <v>1</v>
      </c>
      <c r="E587">
        <v>206</v>
      </c>
      <c r="F587">
        <f>ROUND(Source!T566,O587)</f>
        <v>0</v>
      </c>
      <c r="G587" t="s">
        <v>180</v>
      </c>
      <c r="H587" t="s">
        <v>181</v>
      </c>
      <c r="K587">
        <v>206</v>
      </c>
      <c r="L587">
        <v>20</v>
      </c>
      <c r="M587">
        <v>3</v>
      </c>
      <c r="N587" t="s">
        <v>3</v>
      </c>
      <c r="O587">
        <v>2</v>
      </c>
    </row>
    <row r="588" spans="1:15" x14ac:dyDescent="0.2">
      <c r="A588">
        <v>50</v>
      </c>
      <c r="B588">
        <v>0</v>
      </c>
      <c r="C588">
        <v>0</v>
      </c>
      <c r="D588">
        <v>1</v>
      </c>
      <c r="E588">
        <v>207</v>
      </c>
      <c r="F588">
        <f>Source!U566</f>
        <v>0</v>
      </c>
      <c r="G588" t="s">
        <v>182</v>
      </c>
      <c r="H588" t="s">
        <v>183</v>
      </c>
      <c r="K588">
        <v>207</v>
      </c>
      <c r="L588">
        <v>21</v>
      </c>
      <c r="M588">
        <v>3</v>
      </c>
      <c r="N588" t="s">
        <v>3</v>
      </c>
      <c r="O588">
        <v>-1</v>
      </c>
    </row>
    <row r="589" spans="1:15" x14ac:dyDescent="0.2">
      <c r="A589">
        <v>50</v>
      </c>
      <c r="B589">
        <v>0</v>
      </c>
      <c r="C589">
        <v>0</v>
      </c>
      <c r="D589">
        <v>1</v>
      </c>
      <c r="E589">
        <v>208</v>
      </c>
      <c r="F589">
        <f>Source!V566</f>
        <v>0</v>
      </c>
      <c r="G589" t="s">
        <v>184</v>
      </c>
      <c r="H589" t="s">
        <v>185</v>
      </c>
      <c r="K589">
        <v>208</v>
      </c>
      <c r="L589">
        <v>22</v>
      </c>
      <c r="M589">
        <v>3</v>
      </c>
      <c r="N589" t="s">
        <v>3</v>
      </c>
      <c r="O589">
        <v>-1</v>
      </c>
    </row>
    <row r="590" spans="1:15" x14ac:dyDescent="0.2">
      <c r="A590">
        <v>50</v>
      </c>
      <c r="B590">
        <v>0</v>
      </c>
      <c r="C590">
        <v>0</v>
      </c>
      <c r="D590">
        <v>1</v>
      </c>
      <c r="E590">
        <v>209</v>
      </c>
      <c r="F590">
        <f>ROUND(Source!W566,O590)</f>
        <v>0</v>
      </c>
      <c r="G590" t="s">
        <v>186</v>
      </c>
      <c r="H590" t="s">
        <v>187</v>
      </c>
      <c r="K590">
        <v>209</v>
      </c>
      <c r="L590">
        <v>23</v>
      </c>
      <c r="M590">
        <v>3</v>
      </c>
      <c r="N590" t="s">
        <v>3</v>
      </c>
      <c r="O590">
        <v>2</v>
      </c>
    </row>
    <row r="591" spans="1:15" x14ac:dyDescent="0.2">
      <c r="A591">
        <v>50</v>
      </c>
      <c r="B591">
        <v>0</v>
      </c>
      <c r="C591">
        <v>0</v>
      </c>
      <c r="D591">
        <v>1</v>
      </c>
      <c r="E591">
        <v>233</v>
      </c>
      <c r="F591">
        <f>ROUND(Source!BD566,O591)</f>
        <v>0</v>
      </c>
      <c r="G591" t="s">
        <v>188</v>
      </c>
      <c r="H591" t="s">
        <v>189</v>
      </c>
      <c r="K591">
        <v>233</v>
      </c>
      <c r="L591">
        <v>24</v>
      </c>
      <c r="M591">
        <v>3</v>
      </c>
      <c r="N591" t="s">
        <v>3</v>
      </c>
      <c r="O591">
        <v>2</v>
      </c>
    </row>
    <row r="592" spans="1:15" x14ac:dyDescent="0.2">
      <c r="A592">
        <v>50</v>
      </c>
      <c r="B592">
        <v>0</v>
      </c>
      <c r="C592">
        <v>0</v>
      </c>
      <c r="D592">
        <v>1</v>
      </c>
      <c r="E592">
        <v>210</v>
      </c>
      <c r="F592">
        <f>ROUND(Source!X566,O592)</f>
        <v>0</v>
      </c>
      <c r="G592" t="s">
        <v>190</v>
      </c>
      <c r="H592" t="s">
        <v>191</v>
      </c>
      <c r="K592">
        <v>210</v>
      </c>
      <c r="L592">
        <v>25</v>
      </c>
      <c r="M592">
        <v>3</v>
      </c>
      <c r="N592" t="s">
        <v>3</v>
      </c>
      <c r="O592">
        <v>2</v>
      </c>
    </row>
    <row r="593" spans="1:206" x14ac:dyDescent="0.2">
      <c r="A593">
        <v>50</v>
      </c>
      <c r="B593">
        <v>0</v>
      </c>
      <c r="C593">
        <v>0</v>
      </c>
      <c r="D593">
        <v>1</v>
      </c>
      <c r="E593">
        <v>211</v>
      </c>
      <c r="F593">
        <f>ROUND(Source!Y566,O593)</f>
        <v>0</v>
      </c>
      <c r="G593" t="s">
        <v>192</v>
      </c>
      <c r="H593" t="s">
        <v>193</v>
      </c>
      <c r="K593">
        <v>211</v>
      </c>
      <c r="L593">
        <v>26</v>
      </c>
      <c r="M593">
        <v>3</v>
      </c>
      <c r="N593" t="s">
        <v>3</v>
      </c>
      <c r="O593">
        <v>2</v>
      </c>
    </row>
    <row r="594" spans="1:206" x14ac:dyDescent="0.2">
      <c r="A594">
        <v>50</v>
      </c>
      <c r="B594">
        <v>0</v>
      </c>
      <c r="C594">
        <v>0</v>
      </c>
      <c r="D594">
        <v>1</v>
      </c>
      <c r="E594">
        <v>224</v>
      </c>
      <c r="F594">
        <f>ROUND(Source!AR566,O594)</f>
        <v>1237967.82</v>
      </c>
      <c r="G594" t="s">
        <v>194</v>
      </c>
      <c r="H594" t="s">
        <v>195</v>
      </c>
      <c r="K594">
        <v>224</v>
      </c>
      <c r="L594">
        <v>27</v>
      </c>
      <c r="M594">
        <v>3</v>
      </c>
      <c r="N594" t="s">
        <v>3</v>
      </c>
      <c r="O594">
        <v>2</v>
      </c>
    </row>
    <row r="596" spans="1:206" x14ac:dyDescent="0.2">
      <c r="A596">
        <v>51</v>
      </c>
      <c r="B596">
        <f>B447</f>
        <v>1</v>
      </c>
      <c r="C596">
        <f>A447</f>
        <v>3</v>
      </c>
      <c r="D596">
        <f>ROW(A447)</f>
        <v>447</v>
      </c>
      <c r="F596" t="str">
        <f>IF(F447&lt;&gt;"",F447,"")</f>
        <v>Новая локальная смета</v>
      </c>
      <c r="G596" t="str">
        <f>IF(G447&lt;&gt;"",G447,"")</f>
        <v>ЛС № 02-01-02 Установка МАФ (ул. Свободы д. 15/10)</v>
      </c>
      <c r="H596">
        <v>0</v>
      </c>
      <c r="O596">
        <f t="shared" ref="O596:T596" si="447">ROUND(O468+O566+AB596,2)</f>
        <v>2825601.35</v>
      </c>
      <c r="P596">
        <f t="shared" si="447"/>
        <v>2824921.43</v>
      </c>
      <c r="Q596">
        <f t="shared" si="447"/>
        <v>0</v>
      </c>
      <c r="R596">
        <f t="shared" si="447"/>
        <v>0</v>
      </c>
      <c r="S596">
        <f t="shared" si="447"/>
        <v>679.92</v>
      </c>
      <c r="T596">
        <f t="shared" si="447"/>
        <v>0</v>
      </c>
      <c r="U596">
        <f>U468+U566+AH596</f>
        <v>2.8632</v>
      </c>
      <c r="V596">
        <f>V468+V566+AI596</f>
        <v>0</v>
      </c>
      <c r="W596">
        <f>ROUND(W468+W566+AJ596,2)</f>
        <v>0</v>
      </c>
      <c r="X596">
        <f>ROUND(X468+X566+AK596,2)</f>
        <v>475.94</v>
      </c>
      <c r="Y596">
        <f>ROUND(Y468+Y566+AL596,2)</f>
        <v>67.989999999999995</v>
      </c>
      <c r="AO596">
        <f t="shared" ref="AO596:BD596" si="448">ROUND(AO468+AO566+BX596,2)</f>
        <v>0</v>
      </c>
      <c r="AP596">
        <f t="shared" si="448"/>
        <v>0</v>
      </c>
      <c r="AQ596">
        <f t="shared" si="448"/>
        <v>0</v>
      </c>
      <c r="AR596">
        <f t="shared" si="448"/>
        <v>2826145.28</v>
      </c>
      <c r="AS596">
        <f t="shared" si="448"/>
        <v>0</v>
      </c>
      <c r="AT596">
        <f t="shared" si="448"/>
        <v>0</v>
      </c>
      <c r="AU596">
        <f t="shared" si="448"/>
        <v>2826145.28</v>
      </c>
      <c r="AV596">
        <f t="shared" si="448"/>
        <v>2824921.43</v>
      </c>
      <c r="AW596">
        <f t="shared" si="448"/>
        <v>2824921.43</v>
      </c>
      <c r="AX596">
        <f t="shared" si="448"/>
        <v>0</v>
      </c>
      <c r="AY596">
        <f t="shared" si="448"/>
        <v>2824921.43</v>
      </c>
      <c r="AZ596">
        <f t="shared" si="448"/>
        <v>0</v>
      </c>
      <c r="BA596">
        <f t="shared" si="448"/>
        <v>0</v>
      </c>
      <c r="BB596">
        <f t="shared" si="448"/>
        <v>0</v>
      </c>
      <c r="BC596">
        <f t="shared" si="448"/>
        <v>0</v>
      </c>
      <c r="BD596">
        <f t="shared" si="448"/>
        <v>0</v>
      </c>
      <c r="GX596">
        <v>0</v>
      </c>
    </row>
    <row r="598" spans="1:206" x14ac:dyDescent="0.2">
      <c r="A598">
        <v>50</v>
      </c>
      <c r="B598">
        <v>0</v>
      </c>
      <c r="C598">
        <v>0</v>
      </c>
      <c r="D598">
        <v>1</v>
      </c>
      <c r="E598">
        <v>201</v>
      </c>
      <c r="F598">
        <f>ROUND(Source!O596,O598)</f>
        <v>2825601.35</v>
      </c>
      <c r="G598" t="s">
        <v>142</v>
      </c>
      <c r="H598" t="s">
        <v>143</v>
      </c>
      <c r="K598">
        <v>201</v>
      </c>
      <c r="L598">
        <v>1</v>
      </c>
      <c r="M598">
        <v>3</v>
      </c>
      <c r="N598" t="s">
        <v>3</v>
      </c>
      <c r="O598">
        <v>2</v>
      </c>
    </row>
    <row r="599" spans="1:206" x14ac:dyDescent="0.2">
      <c r="A599">
        <v>50</v>
      </c>
      <c r="B599">
        <v>0</v>
      </c>
      <c r="C599">
        <v>0</v>
      </c>
      <c r="D599">
        <v>1</v>
      </c>
      <c r="E599">
        <v>202</v>
      </c>
      <c r="F599">
        <f>ROUND(Source!P596,O599)</f>
        <v>2824921.43</v>
      </c>
      <c r="G599" t="s">
        <v>144</v>
      </c>
      <c r="H599" t="s">
        <v>145</v>
      </c>
      <c r="K599">
        <v>202</v>
      </c>
      <c r="L599">
        <v>2</v>
      </c>
      <c r="M599">
        <v>3</v>
      </c>
      <c r="N599" t="s">
        <v>3</v>
      </c>
      <c r="O599">
        <v>2</v>
      </c>
    </row>
    <row r="600" spans="1:206" x14ac:dyDescent="0.2">
      <c r="A600">
        <v>50</v>
      </c>
      <c r="B600">
        <v>0</v>
      </c>
      <c r="C600">
        <v>0</v>
      </c>
      <c r="D600">
        <v>1</v>
      </c>
      <c r="E600">
        <v>222</v>
      </c>
      <c r="F600">
        <f>ROUND(Source!AO596,O600)</f>
        <v>0</v>
      </c>
      <c r="G600" t="s">
        <v>146</v>
      </c>
      <c r="H600" t="s">
        <v>147</v>
      </c>
      <c r="K600">
        <v>222</v>
      </c>
      <c r="L600">
        <v>3</v>
      </c>
      <c r="M600">
        <v>3</v>
      </c>
      <c r="N600" t="s">
        <v>3</v>
      </c>
      <c r="O600">
        <v>2</v>
      </c>
    </row>
    <row r="601" spans="1:206" x14ac:dyDescent="0.2">
      <c r="A601">
        <v>50</v>
      </c>
      <c r="B601">
        <v>0</v>
      </c>
      <c r="C601">
        <v>0</v>
      </c>
      <c r="D601">
        <v>1</v>
      </c>
      <c r="E601">
        <v>225</v>
      </c>
      <c r="F601">
        <f>ROUND(Source!AV596,O601)</f>
        <v>2824921.43</v>
      </c>
      <c r="G601" t="s">
        <v>148</v>
      </c>
      <c r="H601" t="s">
        <v>149</v>
      </c>
      <c r="K601">
        <v>225</v>
      </c>
      <c r="L601">
        <v>4</v>
      </c>
      <c r="M601">
        <v>3</v>
      </c>
      <c r="N601" t="s">
        <v>3</v>
      </c>
      <c r="O601">
        <v>2</v>
      </c>
    </row>
    <row r="602" spans="1:206" x14ac:dyDescent="0.2">
      <c r="A602">
        <v>50</v>
      </c>
      <c r="B602">
        <v>0</v>
      </c>
      <c r="C602">
        <v>0</v>
      </c>
      <c r="D602">
        <v>1</v>
      </c>
      <c r="E602">
        <v>226</v>
      </c>
      <c r="F602">
        <f>ROUND(Source!AW596,O602)</f>
        <v>2824921.43</v>
      </c>
      <c r="G602" t="s">
        <v>150</v>
      </c>
      <c r="H602" t="s">
        <v>151</v>
      </c>
      <c r="K602">
        <v>226</v>
      </c>
      <c r="L602">
        <v>5</v>
      </c>
      <c r="M602">
        <v>3</v>
      </c>
      <c r="N602" t="s">
        <v>3</v>
      </c>
      <c r="O602">
        <v>2</v>
      </c>
    </row>
    <row r="603" spans="1:206" x14ac:dyDescent="0.2">
      <c r="A603">
        <v>50</v>
      </c>
      <c r="B603">
        <v>0</v>
      </c>
      <c r="C603">
        <v>0</v>
      </c>
      <c r="D603">
        <v>1</v>
      </c>
      <c r="E603">
        <v>227</v>
      </c>
      <c r="F603">
        <f>ROUND(Source!AX596,O603)</f>
        <v>0</v>
      </c>
      <c r="G603" t="s">
        <v>152</v>
      </c>
      <c r="H603" t="s">
        <v>153</v>
      </c>
      <c r="K603">
        <v>227</v>
      </c>
      <c r="L603">
        <v>6</v>
      </c>
      <c r="M603">
        <v>3</v>
      </c>
      <c r="N603" t="s">
        <v>3</v>
      </c>
      <c r="O603">
        <v>2</v>
      </c>
    </row>
    <row r="604" spans="1:206" x14ac:dyDescent="0.2">
      <c r="A604">
        <v>50</v>
      </c>
      <c r="B604">
        <v>0</v>
      </c>
      <c r="C604">
        <v>0</v>
      </c>
      <c r="D604">
        <v>1</v>
      </c>
      <c r="E604">
        <v>228</v>
      </c>
      <c r="F604">
        <f>ROUND(Source!AY596,O604)</f>
        <v>2824921.43</v>
      </c>
      <c r="G604" t="s">
        <v>154</v>
      </c>
      <c r="H604" t="s">
        <v>155</v>
      </c>
      <c r="K604">
        <v>228</v>
      </c>
      <c r="L604">
        <v>7</v>
      </c>
      <c r="M604">
        <v>3</v>
      </c>
      <c r="N604" t="s">
        <v>3</v>
      </c>
      <c r="O604">
        <v>2</v>
      </c>
    </row>
    <row r="605" spans="1:206" x14ac:dyDescent="0.2">
      <c r="A605">
        <v>50</v>
      </c>
      <c r="B605">
        <v>0</v>
      </c>
      <c r="C605">
        <v>0</v>
      </c>
      <c r="D605">
        <v>1</v>
      </c>
      <c r="E605">
        <v>216</v>
      </c>
      <c r="F605">
        <f>ROUND(Source!AP596,O605)</f>
        <v>0</v>
      </c>
      <c r="G605" t="s">
        <v>156</v>
      </c>
      <c r="H605" t="s">
        <v>157</v>
      </c>
      <c r="K605">
        <v>216</v>
      </c>
      <c r="L605">
        <v>8</v>
      </c>
      <c r="M605">
        <v>3</v>
      </c>
      <c r="N605" t="s">
        <v>3</v>
      </c>
      <c r="O605">
        <v>2</v>
      </c>
    </row>
    <row r="606" spans="1:206" x14ac:dyDescent="0.2">
      <c r="A606">
        <v>50</v>
      </c>
      <c r="B606">
        <v>0</v>
      </c>
      <c r="C606">
        <v>0</v>
      </c>
      <c r="D606">
        <v>1</v>
      </c>
      <c r="E606">
        <v>223</v>
      </c>
      <c r="F606">
        <f>ROUND(Source!AQ596,O606)</f>
        <v>0</v>
      </c>
      <c r="G606" t="s">
        <v>158</v>
      </c>
      <c r="H606" t="s">
        <v>159</v>
      </c>
      <c r="K606">
        <v>223</v>
      </c>
      <c r="L606">
        <v>9</v>
      </c>
      <c r="M606">
        <v>3</v>
      </c>
      <c r="N606" t="s">
        <v>3</v>
      </c>
      <c r="O606">
        <v>2</v>
      </c>
    </row>
    <row r="607" spans="1:206" x14ac:dyDescent="0.2">
      <c r="A607">
        <v>50</v>
      </c>
      <c r="B607">
        <v>0</v>
      </c>
      <c r="C607">
        <v>0</v>
      </c>
      <c r="D607">
        <v>1</v>
      </c>
      <c r="E607">
        <v>229</v>
      </c>
      <c r="F607">
        <f>ROUND(Source!AZ596,O607)</f>
        <v>0</v>
      </c>
      <c r="G607" t="s">
        <v>160</v>
      </c>
      <c r="H607" t="s">
        <v>161</v>
      </c>
      <c r="K607">
        <v>229</v>
      </c>
      <c r="L607">
        <v>10</v>
      </c>
      <c r="M607">
        <v>3</v>
      </c>
      <c r="N607" t="s">
        <v>3</v>
      </c>
      <c r="O607">
        <v>2</v>
      </c>
    </row>
    <row r="608" spans="1:206" x14ac:dyDescent="0.2">
      <c r="A608">
        <v>50</v>
      </c>
      <c r="B608">
        <v>0</v>
      </c>
      <c r="C608">
        <v>0</v>
      </c>
      <c r="D608">
        <v>1</v>
      </c>
      <c r="E608">
        <v>203</v>
      </c>
      <c r="F608">
        <f>ROUND(Source!Q596,O608)</f>
        <v>0</v>
      </c>
      <c r="G608" t="s">
        <v>162</v>
      </c>
      <c r="H608" t="s">
        <v>163</v>
      </c>
      <c r="K608">
        <v>203</v>
      </c>
      <c r="L608">
        <v>11</v>
      </c>
      <c r="M608">
        <v>3</v>
      </c>
      <c r="N608" t="s">
        <v>3</v>
      </c>
      <c r="O608">
        <v>2</v>
      </c>
    </row>
    <row r="609" spans="1:15" x14ac:dyDescent="0.2">
      <c r="A609">
        <v>50</v>
      </c>
      <c r="B609">
        <v>0</v>
      </c>
      <c r="C609">
        <v>0</v>
      </c>
      <c r="D609">
        <v>1</v>
      </c>
      <c r="E609">
        <v>231</v>
      </c>
      <c r="F609">
        <f>ROUND(Source!BB596,O609)</f>
        <v>0</v>
      </c>
      <c r="G609" t="s">
        <v>164</v>
      </c>
      <c r="H609" t="s">
        <v>165</v>
      </c>
      <c r="K609">
        <v>231</v>
      </c>
      <c r="L609">
        <v>12</v>
      </c>
      <c r="M609">
        <v>3</v>
      </c>
      <c r="N609" t="s">
        <v>3</v>
      </c>
      <c r="O609">
        <v>2</v>
      </c>
    </row>
    <row r="610" spans="1:15" x14ac:dyDescent="0.2">
      <c r="A610">
        <v>50</v>
      </c>
      <c r="B610">
        <v>0</v>
      </c>
      <c r="C610">
        <v>0</v>
      </c>
      <c r="D610">
        <v>1</v>
      </c>
      <c r="E610">
        <v>204</v>
      </c>
      <c r="F610">
        <f>ROUND(Source!R596,O610)</f>
        <v>0</v>
      </c>
      <c r="G610" t="s">
        <v>166</v>
      </c>
      <c r="H610" t="s">
        <v>167</v>
      </c>
      <c r="K610">
        <v>204</v>
      </c>
      <c r="L610">
        <v>13</v>
      </c>
      <c r="M610">
        <v>3</v>
      </c>
      <c r="N610" t="s">
        <v>3</v>
      </c>
      <c r="O610">
        <v>2</v>
      </c>
    </row>
    <row r="611" spans="1:15" x14ac:dyDescent="0.2">
      <c r="A611">
        <v>50</v>
      </c>
      <c r="B611">
        <v>0</v>
      </c>
      <c r="C611">
        <v>0</v>
      </c>
      <c r="D611">
        <v>1</v>
      </c>
      <c r="E611">
        <v>205</v>
      </c>
      <c r="F611">
        <f>ROUND(Source!S596,O611)</f>
        <v>679.92</v>
      </c>
      <c r="G611" t="s">
        <v>168</v>
      </c>
      <c r="H611" t="s">
        <v>169</v>
      </c>
      <c r="K611">
        <v>205</v>
      </c>
      <c r="L611">
        <v>14</v>
      </c>
      <c r="M611">
        <v>3</v>
      </c>
      <c r="N611" t="s">
        <v>3</v>
      </c>
      <c r="O611">
        <v>2</v>
      </c>
    </row>
    <row r="612" spans="1:15" x14ac:dyDescent="0.2">
      <c r="A612">
        <v>50</v>
      </c>
      <c r="B612">
        <v>0</v>
      </c>
      <c r="C612">
        <v>0</v>
      </c>
      <c r="D612">
        <v>1</v>
      </c>
      <c r="E612">
        <v>232</v>
      </c>
      <c r="F612">
        <f>ROUND(Source!BC596,O612)</f>
        <v>0</v>
      </c>
      <c r="G612" t="s">
        <v>170</v>
      </c>
      <c r="H612" t="s">
        <v>171</v>
      </c>
      <c r="K612">
        <v>232</v>
      </c>
      <c r="L612">
        <v>15</v>
      </c>
      <c r="M612">
        <v>3</v>
      </c>
      <c r="N612" t="s">
        <v>3</v>
      </c>
      <c r="O612">
        <v>2</v>
      </c>
    </row>
    <row r="613" spans="1:15" x14ac:dyDescent="0.2">
      <c r="A613">
        <v>50</v>
      </c>
      <c r="B613">
        <v>0</v>
      </c>
      <c r="C613">
        <v>0</v>
      </c>
      <c r="D613">
        <v>1</v>
      </c>
      <c r="E613">
        <v>214</v>
      </c>
      <c r="F613">
        <f>ROUND(Source!AS596,O613)</f>
        <v>0</v>
      </c>
      <c r="G613" t="s">
        <v>172</v>
      </c>
      <c r="H613" t="s">
        <v>173</v>
      </c>
      <c r="K613">
        <v>214</v>
      </c>
      <c r="L613">
        <v>16</v>
      </c>
      <c r="M613">
        <v>3</v>
      </c>
      <c r="N613" t="s">
        <v>3</v>
      </c>
      <c r="O613">
        <v>2</v>
      </c>
    </row>
    <row r="614" spans="1:15" x14ac:dyDescent="0.2">
      <c r="A614">
        <v>50</v>
      </c>
      <c r="B614">
        <v>0</v>
      </c>
      <c r="C614">
        <v>0</v>
      </c>
      <c r="D614">
        <v>1</v>
      </c>
      <c r="E614">
        <v>215</v>
      </c>
      <c r="F614">
        <f>ROUND(Source!AT596,O614)</f>
        <v>0</v>
      </c>
      <c r="G614" t="s">
        <v>174</v>
      </c>
      <c r="H614" t="s">
        <v>175</v>
      </c>
      <c r="K614">
        <v>215</v>
      </c>
      <c r="L614">
        <v>17</v>
      </c>
      <c r="M614">
        <v>3</v>
      </c>
      <c r="N614" t="s">
        <v>3</v>
      </c>
      <c r="O614">
        <v>2</v>
      </c>
    </row>
    <row r="615" spans="1:15" x14ac:dyDescent="0.2">
      <c r="A615">
        <v>50</v>
      </c>
      <c r="B615">
        <v>0</v>
      </c>
      <c r="C615">
        <v>0</v>
      </c>
      <c r="D615">
        <v>1</v>
      </c>
      <c r="E615">
        <v>217</v>
      </c>
      <c r="F615">
        <f>ROUND(Source!AU596,O615)</f>
        <v>2826145.28</v>
      </c>
      <c r="G615" t="s">
        <v>176</v>
      </c>
      <c r="H615" t="s">
        <v>177</v>
      </c>
      <c r="K615">
        <v>217</v>
      </c>
      <c r="L615">
        <v>18</v>
      </c>
      <c r="M615">
        <v>3</v>
      </c>
      <c r="N615" t="s">
        <v>3</v>
      </c>
      <c r="O615">
        <v>2</v>
      </c>
    </row>
    <row r="616" spans="1:15" x14ac:dyDescent="0.2">
      <c r="A616">
        <v>50</v>
      </c>
      <c r="B616">
        <v>0</v>
      </c>
      <c r="C616">
        <v>0</v>
      </c>
      <c r="D616">
        <v>1</v>
      </c>
      <c r="E616">
        <v>230</v>
      </c>
      <c r="F616">
        <f>ROUND(Source!BA596,O616)</f>
        <v>0</v>
      </c>
      <c r="G616" t="s">
        <v>178</v>
      </c>
      <c r="H616" t="s">
        <v>179</v>
      </c>
      <c r="K616">
        <v>230</v>
      </c>
      <c r="L616">
        <v>19</v>
      </c>
      <c r="M616">
        <v>3</v>
      </c>
      <c r="N616" t="s">
        <v>3</v>
      </c>
      <c r="O616">
        <v>2</v>
      </c>
    </row>
    <row r="617" spans="1:15" x14ac:dyDescent="0.2">
      <c r="A617">
        <v>50</v>
      </c>
      <c r="B617">
        <v>0</v>
      </c>
      <c r="C617">
        <v>0</v>
      </c>
      <c r="D617">
        <v>1</v>
      </c>
      <c r="E617">
        <v>206</v>
      </c>
      <c r="F617">
        <f>ROUND(Source!T596,O617)</f>
        <v>0</v>
      </c>
      <c r="G617" t="s">
        <v>180</v>
      </c>
      <c r="H617" t="s">
        <v>181</v>
      </c>
      <c r="K617">
        <v>206</v>
      </c>
      <c r="L617">
        <v>20</v>
      </c>
      <c r="M617">
        <v>3</v>
      </c>
      <c r="N617" t="s">
        <v>3</v>
      </c>
      <c r="O617">
        <v>2</v>
      </c>
    </row>
    <row r="618" spans="1:15" x14ac:dyDescent="0.2">
      <c r="A618">
        <v>50</v>
      </c>
      <c r="B618">
        <v>0</v>
      </c>
      <c r="C618">
        <v>0</v>
      </c>
      <c r="D618">
        <v>1</v>
      </c>
      <c r="E618">
        <v>207</v>
      </c>
      <c r="F618">
        <f>Source!U596</f>
        <v>2.8632</v>
      </c>
      <c r="G618" t="s">
        <v>182</v>
      </c>
      <c r="H618" t="s">
        <v>183</v>
      </c>
      <c r="K618">
        <v>207</v>
      </c>
      <c r="L618">
        <v>21</v>
      </c>
      <c r="M618">
        <v>3</v>
      </c>
      <c r="N618" t="s">
        <v>3</v>
      </c>
      <c r="O618">
        <v>-1</v>
      </c>
    </row>
    <row r="619" spans="1:15" x14ac:dyDescent="0.2">
      <c r="A619">
        <v>50</v>
      </c>
      <c r="B619">
        <v>0</v>
      </c>
      <c r="C619">
        <v>0</v>
      </c>
      <c r="D619">
        <v>1</v>
      </c>
      <c r="E619">
        <v>208</v>
      </c>
      <c r="F619">
        <f>Source!V596</f>
        <v>0</v>
      </c>
      <c r="G619" t="s">
        <v>184</v>
      </c>
      <c r="H619" t="s">
        <v>185</v>
      </c>
      <c r="K619">
        <v>208</v>
      </c>
      <c r="L619">
        <v>22</v>
      </c>
      <c r="M619">
        <v>3</v>
      </c>
      <c r="N619" t="s">
        <v>3</v>
      </c>
      <c r="O619">
        <v>-1</v>
      </c>
    </row>
    <row r="620" spans="1:15" x14ac:dyDescent="0.2">
      <c r="A620">
        <v>50</v>
      </c>
      <c r="B620">
        <v>0</v>
      </c>
      <c r="C620">
        <v>0</v>
      </c>
      <c r="D620">
        <v>1</v>
      </c>
      <c r="E620">
        <v>209</v>
      </c>
      <c r="F620">
        <f>ROUND(Source!W596,O620)</f>
        <v>0</v>
      </c>
      <c r="G620" t="s">
        <v>186</v>
      </c>
      <c r="H620" t="s">
        <v>187</v>
      </c>
      <c r="K620">
        <v>209</v>
      </c>
      <c r="L620">
        <v>23</v>
      </c>
      <c r="M620">
        <v>3</v>
      </c>
      <c r="N620" t="s">
        <v>3</v>
      </c>
      <c r="O620">
        <v>2</v>
      </c>
    </row>
    <row r="621" spans="1:15" x14ac:dyDescent="0.2">
      <c r="A621">
        <v>50</v>
      </c>
      <c r="B621">
        <v>0</v>
      </c>
      <c r="C621">
        <v>0</v>
      </c>
      <c r="D621">
        <v>1</v>
      </c>
      <c r="E621">
        <v>233</v>
      </c>
      <c r="F621">
        <f>ROUND(Source!BD596,O621)</f>
        <v>0</v>
      </c>
      <c r="G621" t="s">
        <v>188</v>
      </c>
      <c r="H621" t="s">
        <v>189</v>
      </c>
      <c r="K621">
        <v>233</v>
      </c>
      <c r="L621">
        <v>24</v>
      </c>
      <c r="M621">
        <v>3</v>
      </c>
      <c r="N621" t="s">
        <v>3</v>
      </c>
      <c r="O621">
        <v>2</v>
      </c>
    </row>
    <row r="622" spans="1:15" x14ac:dyDescent="0.2">
      <c r="A622">
        <v>50</v>
      </c>
      <c r="B622">
        <v>0</v>
      </c>
      <c r="C622">
        <v>0</v>
      </c>
      <c r="D622">
        <v>1</v>
      </c>
      <c r="E622">
        <v>210</v>
      </c>
      <c r="F622">
        <f>ROUND(Source!X596,O622)</f>
        <v>475.94</v>
      </c>
      <c r="G622" t="s">
        <v>190</v>
      </c>
      <c r="H622" t="s">
        <v>191</v>
      </c>
      <c r="K622">
        <v>210</v>
      </c>
      <c r="L622">
        <v>25</v>
      </c>
      <c r="M622">
        <v>3</v>
      </c>
      <c r="N622" t="s">
        <v>3</v>
      </c>
      <c r="O622">
        <v>2</v>
      </c>
    </row>
    <row r="623" spans="1:15" x14ac:dyDescent="0.2">
      <c r="A623">
        <v>50</v>
      </c>
      <c r="B623">
        <v>0</v>
      </c>
      <c r="C623">
        <v>0</v>
      </c>
      <c r="D623">
        <v>1</v>
      </c>
      <c r="E623">
        <v>211</v>
      </c>
      <c r="F623">
        <f>ROUND(Source!Y596,O623)</f>
        <v>67.989999999999995</v>
      </c>
      <c r="G623" t="s">
        <v>192</v>
      </c>
      <c r="H623" t="s">
        <v>193</v>
      </c>
      <c r="K623">
        <v>211</v>
      </c>
      <c r="L623">
        <v>26</v>
      </c>
      <c r="M623">
        <v>3</v>
      </c>
      <c r="N623" t="s">
        <v>3</v>
      </c>
      <c r="O623">
        <v>2</v>
      </c>
    </row>
    <row r="624" spans="1:15" x14ac:dyDescent="0.2">
      <c r="A624">
        <v>50</v>
      </c>
      <c r="B624">
        <v>0</v>
      </c>
      <c r="C624">
        <v>0</v>
      </c>
      <c r="D624">
        <v>1</v>
      </c>
      <c r="E624">
        <v>224</v>
      </c>
      <c r="F624">
        <f>ROUND(Source!AR596,O624)</f>
        <v>2826145.28</v>
      </c>
      <c r="G624" t="s">
        <v>194</v>
      </c>
      <c r="H624" t="s">
        <v>195</v>
      </c>
      <c r="K624">
        <v>224</v>
      </c>
      <c r="L624">
        <v>27</v>
      </c>
      <c r="M624">
        <v>3</v>
      </c>
      <c r="N624" t="s">
        <v>3</v>
      </c>
      <c r="O624">
        <v>2</v>
      </c>
    </row>
    <row r="626" spans="1:245" x14ac:dyDescent="0.2">
      <c r="A626">
        <v>3</v>
      </c>
      <c r="B626">
        <v>1</v>
      </c>
      <c r="D626">
        <f>ROW(A708)</f>
        <v>708</v>
      </c>
      <c r="F626" t="s">
        <v>12</v>
      </c>
      <c r="G626" t="s">
        <v>527</v>
      </c>
      <c r="H626" t="s">
        <v>3</v>
      </c>
      <c r="I626">
        <v>0</v>
      </c>
      <c r="J626" t="s">
        <v>3</v>
      </c>
      <c r="K626">
        <v>-1</v>
      </c>
      <c r="L626" t="s">
        <v>3</v>
      </c>
      <c r="U626" t="s">
        <v>3</v>
      </c>
      <c r="V626">
        <v>0</v>
      </c>
      <c r="AB626" t="s">
        <v>3</v>
      </c>
      <c r="AC626" t="s">
        <v>3</v>
      </c>
      <c r="AD626" t="s">
        <v>3</v>
      </c>
      <c r="AE626" t="s">
        <v>3</v>
      </c>
      <c r="AF626" t="s">
        <v>3</v>
      </c>
      <c r="AG626" t="s">
        <v>3</v>
      </c>
      <c r="AP626" t="s">
        <v>3</v>
      </c>
      <c r="AQ626" t="s">
        <v>3</v>
      </c>
      <c r="AR626" t="s">
        <v>3</v>
      </c>
      <c r="AZ626" t="s">
        <v>3</v>
      </c>
      <c r="BB626" t="s">
        <v>3</v>
      </c>
      <c r="BC626" t="s">
        <v>3</v>
      </c>
      <c r="BD626" t="s">
        <v>3</v>
      </c>
      <c r="BE626" t="s">
        <v>3</v>
      </c>
      <c r="BF626" t="s">
        <v>3</v>
      </c>
      <c r="BG626" t="s">
        <v>3</v>
      </c>
      <c r="BH626" t="s">
        <v>3</v>
      </c>
      <c r="BI626" t="s">
        <v>3</v>
      </c>
      <c r="BJ626" t="s">
        <v>3</v>
      </c>
      <c r="BK626" t="s">
        <v>3</v>
      </c>
      <c r="BL626" t="s">
        <v>3</v>
      </c>
      <c r="BM626" t="s">
        <v>3</v>
      </c>
      <c r="BN626" t="s">
        <v>3</v>
      </c>
      <c r="BO626" t="s">
        <v>3</v>
      </c>
      <c r="BP626" t="s">
        <v>3</v>
      </c>
      <c r="BX626">
        <v>0</v>
      </c>
      <c r="CF626">
        <v>0</v>
      </c>
      <c r="CG626">
        <v>0</v>
      </c>
      <c r="CI626" t="s">
        <v>3</v>
      </c>
      <c r="CJ626" t="s">
        <v>3</v>
      </c>
      <c r="CK626" t="s">
        <v>3</v>
      </c>
      <c r="CL626" t="s">
        <v>3</v>
      </c>
      <c r="CM626" t="s">
        <v>3</v>
      </c>
      <c r="CN626" t="s">
        <v>3</v>
      </c>
      <c r="CO626" t="s">
        <v>3</v>
      </c>
      <c r="CP626" t="s">
        <v>3</v>
      </c>
    </row>
    <row r="628" spans="1:245" x14ac:dyDescent="0.2">
      <c r="A628">
        <v>52</v>
      </c>
      <c r="B628">
        <f t="shared" ref="B628:G628" si="449">B708</f>
        <v>1</v>
      </c>
      <c r="C628">
        <f t="shared" si="449"/>
        <v>3</v>
      </c>
      <c r="D628">
        <f t="shared" si="449"/>
        <v>626</v>
      </c>
      <c r="E628">
        <f t="shared" si="449"/>
        <v>0</v>
      </c>
      <c r="F628" t="str">
        <f t="shared" si="449"/>
        <v>Новая локальная смета</v>
      </c>
      <c r="G628" t="str">
        <f t="shared" si="449"/>
        <v>ЛС № 02-01-03 Озеленение (ул. Свободы д. 15/10)</v>
      </c>
      <c r="O628">
        <f t="shared" ref="O628:AT628" si="450">O708</f>
        <v>213019.83</v>
      </c>
      <c r="P628">
        <f t="shared" si="450"/>
        <v>101997.15</v>
      </c>
      <c r="Q628">
        <f t="shared" si="450"/>
        <v>24349.82</v>
      </c>
      <c r="R628">
        <f t="shared" si="450"/>
        <v>5989.08</v>
      </c>
      <c r="S628">
        <f t="shared" si="450"/>
        <v>86672.86</v>
      </c>
      <c r="T628">
        <f t="shared" si="450"/>
        <v>0</v>
      </c>
      <c r="U628">
        <f t="shared" si="450"/>
        <v>417.16650000000004</v>
      </c>
      <c r="V628">
        <f t="shared" si="450"/>
        <v>0</v>
      </c>
      <c r="W628">
        <f t="shared" si="450"/>
        <v>0</v>
      </c>
      <c r="X628">
        <f t="shared" si="450"/>
        <v>60671</v>
      </c>
      <c r="Y628">
        <f t="shared" si="450"/>
        <v>8667.2900000000009</v>
      </c>
      <c r="Z628">
        <f t="shared" si="450"/>
        <v>0</v>
      </c>
      <c r="AA628">
        <f t="shared" si="450"/>
        <v>0</v>
      </c>
      <c r="AB628">
        <f t="shared" si="450"/>
        <v>0</v>
      </c>
      <c r="AC628">
        <f t="shared" si="450"/>
        <v>0</v>
      </c>
      <c r="AD628">
        <f t="shared" si="450"/>
        <v>0</v>
      </c>
      <c r="AE628">
        <f t="shared" si="450"/>
        <v>0</v>
      </c>
      <c r="AF628">
        <f t="shared" si="450"/>
        <v>0</v>
      </c>
      <c r="AG628">
        <f t="shared" si="450"/>
        <v>0</v>
      </c>
      <c r="AH628">
        <f t="shared" si="450"/>
        <v>0</v>
      </c>
      <c r="AI628">
        <f t="shared" si="450"/>
        <v>0</v>
      </c>
      <c r="AJ628">
        <f t="shared" si="450"/>
        <v>0</v>
      </c>
      <c r="AK628">
        <f t="shared" si="450"/>
        <v>0</v>
      </c>
      <c r="AL628">
        <f t="shared" si="450"/>
        <v>0</v>
      </c>
      <c r="AM628">
        <f t="shared" si="450"/>
        <v>0</v>
      </c>
      <c r="AN628">
        <f t="shared" si="450"/>
        <v>0</v>
      </c>
      <c r="AO628">
        <f t="shared" si="450"/>
        <v>0</v>
      </c>
      <c r="AP628">
        <f t="shared" si="450"/>
        <v>0</v>
      </c>
      <c r="AQ628">
        <f t="shared" si="450"/>
        <v>0</v>
      </c>
      <c r="AR628">
        <f t="shared" si="450"/>
        <v>288826.32</v>
      </c>
      <c r="AS628">
        <f t="shared" si="450"/>
        <v>0</v>
      </c>
      <c r="AT628">
        <f t="shared" si="450"/>
        <v>0</v>
      </c>
      <c r="AU628">
        <f t="shared" ref="AU628:BZ628" si="451">AU708</f>
        <v>288826.32</v>
      </c>
      <c r="AV628">
        <f t="shared" si="451"/>
        <v>101997.15</v>
      </c>
      <c r="AW628">
        <f t="shared" si="451"/>
        <v>101997.15</v>
      </c>
      <c r="AX628">
        <f t="shared" si="451"/>
        <v>0</v>
      </c>
      <c r="AY628">
        <f t="shared" si="451"/>
        <v>101997.15</v>
      </c>
      <c r="AZ628">
        <f t="shared" si="451"/>
        <v>0</v>
      </c>
      <c r="BA628">
        <f t="shared" si="451"/>
        <v>0</v>
      </c>
      <c r="BB628">
        <f t="shared" si="451"/>
        <v>0</v>
      </c>
      <c r="BC628">
        <f t="shared" si="451"/>
        <v>0</v>
      </c>
      <c r="BD628">
        <f t="shared" si="451"/>
        <v>0</v>
      </c>
      <c r="BE628">
        <f t="shared" si="451"/>
        <v>0</v>
      </c>
      <c r="BF628">
        <f t="shared" si="451"/>
        <v>0</v>
      </c>
      <c r="BG628">
        <f t="shared" si="451"/>
        <v>0</v>
      </c>
      <c r="BH628">
        <f t="shared" si="451"/>
        <v>0</v>
      </c>
      <c r="BI628">
        <f t="shared" si="451"/>
        <v>0</v>
      </c>
      <c r="BJ628">
        <f t="shared" si="451"/>
        <v>0</v>
      </c>
      <c r="BK628">
        <f t="shared" si="451"/>
        <v>0</v>
      </c>
      <c r="BL628">
        <f t="shared" si="451"/>
        <v>0</v>
      </c>
      <c r="BM628">
        <f t="shared" si="451"/>
        <v>0</v>
      </c>
      <c r="BN628">
        <f t="shared" si="451"/>
        <v>0</v>
      </c>
      <c r="BO628">
        <f t="shared" si="451"/>
        <v>0</v>
      </c>
      <c r="BP628">
        <f t="shared" si="451"/>
        <v>0</v>
      </c>
      <c r="BQ628">
        <f t="shared" si="451"/>
        <v>0</v>
      </c>
      <c r="BR628">
        <f t="shared" si="451"/>
        <v>0</v>
      </c>
      <c r="BS628">
        <f t="shared" si="451"/>
        <v>0</v>
      </c>
      <c r="BT628">
        <f t="shared" si="451"/>
        <v>0</v>
      </c>
      <c r="BU628">
        <f t="shared" si="451"/>
        <v>0</v>
      </c>
      <c r="BV628">
        <f t="shared" si="451"/>
        <v>0</v>
      </c>
      <c r="BW628">
        <f t="shared" si="451"/>
        <v>0</v>
      </c>
      <c r="BX628">
        <f t="shared" si="451"/>
        <v>0</v>
      </c>
      <c r="BY628">
        <f t="shared" si="451"/>
        <v>0</v>
      </c>
      <c r="BZ628">
        <f t="shared" si="451"/>
        <v>0</v>
      </c>
      <c r="CA628">
        <f t="shared" ref="CA628:DF628" si="452">CA708</f>
        <v>0</v>
      </c>
      <c r="CB628">
        <f t="shared" si="452"/>
        <v>0</v>
      </c>
      <c r="CC628">
        <f t="shared" si="452"/>
        <v>0</v>
      </c>
      <c r="CD628">
        <f t="shared" si="452"/>
        <v>0</v>
      </c>
      <c r="CE628">
        <f t="shared" si="452"/>
        <v>0</v>
      </c>
      <c r="CF628">
        <f t="shared" si="452"/>
        <v>0</v>
      </c>
      <c r="CG628">
        <f t="shared" si="452"/>
        <v>0</v>
      </c>
      <c r="CH628">
        <f t="shared" si="452"/>
        <v>0</v>
      </c>
      <c r="CI628">
        <f t="shared" si="452"/>
        <v>0</v>
      </c>
      <c r="CJ628">
        <f t="shared" si="452"/>
        <v>0</v>
      </c>
      <c r="CK628">
        <f t="shared" si="452"/>
        <v>0</v>
      </c>
      <c r="CL628">
        <f t="shared" si="452"/>
        <v>0</v>
      </c>
      <c r="CM628">
        <f t="shared" si="452"/>
        <v>0</v>
      </c>
      <c r="CN628">
        <f t="shared" si="452"/>
        <v>0</v>
      </c>
      <c r="CO628">
        <f t="shared" si="452"/>
        <v>0</v>
      </c>
      <c r="CP628">
        <f t="shared" si="452"/>
        <v>0</v>
      </c>
      <c r="CQ628">
        <f t="shared" si="452"/>
        <v>0</v>
      </c>
      <c r="CR628">
        <f t="shared" si="452"/>
        <v>0</v>
      </c>
      <c r="CS628">
        <f t="shared" si="452"/>
        <v>0</v>
      </c>
      <c r="CT628">
        <f t="shared" si="452"/>
        <v>0</v>
      </c>
      <c r="CU628">
        <f t="shared" si="452"/>
        <v>0</v>
      </c>
      <c r="CV628">
        <f t="shared" si="452"/>
        <v>0</v>
      </c>
      <c r="CW628">
        <f t="shared" si="452"/>
        <v>0</v>
      </c>
      <c r="CX628">
        <f t="shared" si="452"/>
        <v>0</v>
      </c>
      <c r="CY628">
        <f t="shared" si="452"/>
        <v>0</v>
      </c>
      <c r="CZ628">
        <f t="shared" si="452"/>
        <v>0</v>
      </c>
      <c r="DA628">
        <f t="shared" si="452"/>
        <v>0</v>
      </c>
      <c r="DB628">
        <f t="shared" si="452"/>
        <v>0</v>
      </c>
      <c r="DC628">
        <f t="shared" si="452"/>
        <v>0</v>
      </c>
      <c r="DD628">
        <f t="shared" si="452"/>
        <v>0</v>
      </c>
      <c r="DE628">
        <f t="shared" si="452"/>
        <v>0</v>
      </c>
      <c r="DF628">
        <f t="shared" si="452"/>
        <v>0</v>
      </c>
      <c r="DG628">
        <f t="shared" ref="DG628:EL628" si="453">DG708</f>
        <v>0</v>
      </c>
      <c r="DH628">
        <f t="shared" si="453"/>
        <v>0</v>
      </c>
      <c r="DI628">
        <f t="shared" si="453"/>
        <v>0</v>
      </c>
      <c r="DJ628">
        <f t="shared" si="453"/>
        <v>0</v>
      </c>
      <c r="DK628">
        <f t="shared" si="453"/>
        <v>0</v>
      </c>
      <c r="DL628">
        <f t="shared" si="453"/>
        <v>0</v>
      </c>
      <c r="DM628">
        <f t="shared" si="453"/>
        <v>0</v>
      </c>
      <c r="DN628">
        <f t="shared" si="453"/>
        <v>0</v>
      </c>
      <c r="DO628">
        <f t="shared" si="453"/>
        <v>0</v>
      </c>
      <c r="DP628">
        <f t="shared" si="453"/>
        <v>0</v>
      </c>
      <c r="DQ628">
        <f t="shared" si="453"/>
        <v>0</v>
      </c>
      <c r="DR628">
        <f t="shared" si="453"/>
        <v>0</v>
      </c>
      <c r="DS628">
        <f t="shared" si="453"/>
        <v>0</v>
      </c>
      <c r="DT628">
        <f t="shared" si="453"/>
        <v>0</v>
      </c>
      <c r="DU628">
        <f t="shared" si="453"/>
        <v>0</v>
      </c>
      <c r="DV628">
        <f t="shared" si="453"/>
        <v>0</v>
      </c>
      <c r="DW628">
        <f t="shared" si="453"/>
        <v>0</v>
      </c>
      <c r="DX628">
        <f t="shared" si="453"/>
        <v>0</v>
      </c>
      <c r="DY628">
        <f t="shared" si="453"/>
        <v>0</v>
      </c>
      <c r="DZ628">
        <f t="shared" si="453"/>
        <v>0</v>
      </c>
      <c r="EA628">
        <f t="shared" si="453"/>
        <v>0</v>
      </c>
      <c r="EB628">
        <f t="shared" si="453"/>
        <v>0</v>
      </c>
      <c r="EC628">
        <f t="shared" si="453"/>
        <v>0</v>
      </c>
      <c r="ED628">
        <f t="shared" si="453"/>
        <v>0</v>
      </c>
      <c r="EE628">
        <f t="shared" si="453"/>
        <v>0</v>
      </c>
      <c r="EF628">
        <f t="shared" si="453"/>
        <v>0</v>
      </c>
      <c r="EG628">
        <f t="shared" si="453"/>
        <v>0</v>
      </c>
      <c r="EH628">
        <f t="shared" si="453"/>
        <v>0</v>
      </c>
      <c r="EI628">
        <f t="shared" si="453"/>
        <v>0</v>
      </c>
      <c r="EJ628">
        <f t="shared" si="453"/>
        <v>0</v>
      </c>
      <c r="EK628">
        <f t="shared" si="453"/>
        <v>0</v>
      </c>
      <c r="EL628">
        <f t="shared" si="453"/>
        <v>0</v>
      </c>
      <c r="EM628">
        <f t="shared" ref="EM628:FR628" si="454">EM708</f>
        <v>0</v>
      </c>
      <c r="EN628">
        <f t="shared" si="454"/>
        <v>0</v>
      </c>
      <c r="EO628">
        <f t="shared" si="454"/>
        <v>0</v>
      </c>
      <c r="EP628">
        <f t="shared" si="454"/>
        <v>0</v>
      </c>
      <c r="EQ628">
        <f t="shared" si="454"/>
        <v>0</v>
      </c>
      <c r="ER628">
        <f t="shared" si="454"/>
        <v>0</v>
      </c>
      <c r="ES628">
        <f t="shared" si="454"/>
        <v>0</v>
      </c>
      <c r="ET628">
        <f t="shared" si="454"/>
        <v>0</v>
      </c>
      <c r="EU628">
        <f t="shared" si="454"/>
        <v>0</v>
      </c>
      <c r="EV628">
        <f t="shared" si="454"/>
        <v>0</v>
      </c>
      <c r="EW628">
        <f t="shared" si="454"/>
        <v>0</v>
      </c>
      <c r="EX628">
        <f t="shared" si="454"/>
        <v>0</v>
      </c>
      <c r="EY628">
        <f t="shared" si="454"/>
        <v>0</v>
      </c>
      <c r="EZ628">
        <f t="shared" si="454"/>
        <v>0</v>
      </c>
      <c r="FA628">
        <f t="shared" si="454"/>
        <v>0</v>
      </c>
      <c r="FB628">
        <f t="shared" si="454"/>
        <v>0</v>
      </c>
      <c r="FC628">
        <f t="shared" si="454"/>
        <v>0</v>
      </c>
      <c r="FD628">
        <f t="shared" si="454"/>
        <v>0</v>
      </c>
      <c r="FE628">
        <f t="shared" si="454"/>
        <v>0</v>
      </c>
      <c r="FF628">
        <f t="shared" si="454"/>
        <v>0</v>
      </c>
      <c r="FG628">
        <f t="shared" si="454"/>
        <v>0</v>
      </c>
      <c r="FH628">
        <f t="shared" si="454"/>
        <v>0</v>
      </c>
      <c r="FI628">
        <f t="shared" si="454"/>
        <v>0</v>
      </c>
      <c r="FJ628">
        <f t="shared" si="454"/>
        <v>0</v>
      </c>
      <c r="FK628">
        <f t="shared" si="454"/>
        <v>0</v>
      </c>
      <c r="FL628">
        <f t="shared" si="454"/>
        <v>0</v>
      </c>
      <c r="FM628">
        <f t="shared" si="454"/>
        <v>0</v>
      </c>
      <c r="FN628">
        <f t="shared" si="454"/>
        <v>0</v>
      </c>
      <c r="FO628">
        <f t="shared" si="454"/>
        <v>0</v>
      </c>
      <c r="FP628">
        <f t="shared" si="454"/>
        <v>0</v>
      </c>
      <c r="FQ628">
        <f t="shared" si="454"/>
        <v>0</v>
      </c>
      <c r="FR628">
        <f t="shared" si="454"/>
        <v>0</v>
      </c>
      <c r="FS628">
        <f t="shared" ref="FS628:GX628" si="455">FS708</f>
        <v>0</v>
      </c>
      <c r="FT628">
        <f t="shared" si="455"/>
        <v>0</v>
      </c>
      <c r="FU628">
        <f t="shared" si="455"/>
        <v>0</v>
      </c>
      <c r="FV628">
        <f t="shared" si="455"/>
        <v>0</v>
      </c>
      <c r="FW628">
        <f t="shared" si="455"/>
        <v>0</v>
      </c>
      <c r="FX628">
        <f t="shared" si="455"/>
        <v>0</v>
      </c>
      <c r="FY628">
        <f t="shared" si="455"/>
        <v>0</v>
      </c>
      <c r="FZ628">
        <f t="shared" si="455"/>
        <v>0</v>
      </c>
      <c r="GA628">
        <f t="shared" si="455"/>
        <v>0</v>
      </c>
      <c r="GB628">
        <f t="shared" si="455"/>
        <v>0</v>
      </c>
      <c r="GC628">
        <f t="shared" si="455"/>
        <v>0</v>
      </c>
      <c r="GD628">
        <f t="shared" si="455"/>
        <v>0</v>
      </c>
      <c r="GE628">
        <f t="shared" si="455"/>
        <v>0</v>
      </c>
      <c r="GF628">
        <f t="shared" si="455"/>
        <v>0</v>
      </c>
      <c r="GG628">
        <f t="shared" si="455"/>
        <v>0</v>
      </c>
      <c r="GH628">
        <f t="shared" si="455"/>
        <v>0</v>
      </c>
      <c r="GI628">
        <f t="shared" si="455"/>
        <v>0</v>
      </c>
      <c r="GJ628">
        <f t="shared" si="455"/>
        <v>0</v>
      </c>
      <c r="GK628">
        <f t="shared" si="455"/>
        <v>0</v>
      </c>
      <c r="GL628">
        <f t="shared" si="455"/>
        <v>0</v>
      </c>
      <c r="GM628">
        <f t="shared" si="455"/>
        <v>0</v>
      </c>
      <c r="GN628">
        <f t="shared" si="455"/>
        <v>0</v>
      </c>
      <c r="GO628">
        <f t="shared" si="455"/>
        <v>0</v>
      </c>
      <c r="GP628">
        <f t="shared" si="455"/>
        <v>0</v>
      </c>
      <c r="GQ628">
        <f t="shared" si="455"/>
        <v>0</v>
      </c>
      <c r="GR628">
        <f t="shared" si="455"/>
        <v>0</v>
      </c>
      <c r="GS628">
        <f t="shared" si="455"/>
        <v>0</v>
      </c>
      <c r="GT628">
        <f t="shared" si="455"/>
        <v>0</v>
      </c>
      <c r="GU628">
        <f t="shared" si="455"/>
        <v>0</v>
      </c>
      <c r="GV628">
        <f t="shared" si="455"/>
        <v>0</v>
      </c>
      <c r="GW628">
        <f t="shared" si="455"/>
        <v>0</v>
      </c>
      <c r="GX628">
        <f t="shared" si="455"/>
        <v>0</v>
      </c>
    </row>
    <row r="630" spans="1:245" x14ac:dyDescent="0.2">
      <c r="A630">
        <v>4</v>
      </c>
      <c r="B630">
        <v>1</v>
      </c>
      <c r="D630">
        <f>ROW(A639)</f>
        <v>639</v>
      </c>
      <c r="F630" t="s">
        <v>14</v>
      </c>
      <c r="G630" t="s">
        <v>528</v>
      </c>
      <c r="H630" t="s">
        <v>3</v>
      </c>
      <c r="I630">
        <v>0</v>
      </c>
      <c r="K630">
        <v>0</v>
      </c>
      <c r="U630" t="s">
        <v>3</v>
      </c>
      <c r="V630">
        <v>0</v>
      </c>
      <c r="AB630" t="s">
        <v>3</v>
      </c>
      <c r="AC630" t="s">
        <v>3</v>
      </c>
      <c r="AD630" t="s">
        <v>3</v>
      </c>
      <c r="AE630" t="s">
        <v>3</v>
      </c>
      <c r="AF630" t="s">
        <v>3</v>
      </c>
      <c r="AG630" t="s">
        <v>3</v>
      </c>
      <c r="AP630" t="s">
        <v>3</v>
      </c>
      <c r="AQ630" t="s">
        <v>3</v>
      </c>
      <c r="AR630" t="s">
        <v>3</v>
      </c>
      <c r="AZ630" t="s">
        <v>3</v>
      </c>
      <c r="BB630" t="s">
        <v>3</v>
      </c>
      <c r="BC630" t="s">
        <v>3</v>
      </c>
      <c r="BD630" t="s">
        <v>3</v>
      </c>
      <c r="BE630" t="s">
        <v>3</v>
      </c>
      <c r="BF630" t="s">
        <v>3</v>
      </c>
      <c r="BG630" t="s">
        <v>3</v>
      </c>
      <c r="BH630" t="s">
        <v>3</v>
      </c>
      <c r="BI630" t="s">
        <v>3</v>
      </c>
      <c r="BJ630" t="s">
        <v>3</v>
      </c>
      <c r="BK630" t="s">
        <v>3</v>
      </c>
      <c r="BL630" t="s">
        <v>3</v>
      </c>
      <c r="BM630" t="s">
        <v>3</v>
      </c>
      <c r="BN630" t="s">
        <v>3</v>
      </c>
      <c r="BO630" t="s">
        <v>3</v>
      </c>
      <c r="BP630" t="s">
        <v>3</v>
      </c>
      <c r="BX630">
        <v>0</v>
      </c>
      <c r="CJ630">
        <v>0</v>
      </c>
    </row>
    <row r="632" spans="1:245" x14ac:dyDescent="0.2">
      <c r="A632">
        <v>52</v>
      </c>
      <c r="B632">
        <f t="shared" ref="B632:G632" si="456">B639</f>
        <v>1</v>
      </c>
      <c r="C632">
        <f t="shared" si="456"/>
        <v>4</v>
      </c>
      <c r="D632">
        <f t="shared" si="456"/>
        <v>630</v>
      </c>
      <c r="E632">
        <f t="shared" si="456"/>
        <v>0</v>
      </c>
      <c r="F632" t="str">
        <f t="shared" si="456"/>
        <v>Новый раздел</v>
      </c>
      <c r="G632" t="str">
        <f t="shared" si="456"/>
        <v>Посадка лиственных кустарников в группы D=0,25; h=0,2</v>
      </c>
      <c r="O632">
        <f t="shared" ref="O632:AT632" si="457">O639</f>
        <v>205372.84</v>
      </c>
      <c r="P632">
        <f t="shared" si="457"/>
        <v>97537.38</v>
      </c>
      <c r="Q632">
        <f t="shared" si="457"/>
        <v>24327.49</v>
      </c>
      <c r="R632">
        <f t="shared" si="457"/>
        <v>5980.91</v>
      </c>
      <c r="S632">
        <f t="shared" si="457"/>
        <v>83507.97</v>
      </c>
      <c r="T632">
        <f t="shared" si="457"/>
        <v>0</v>
      </c>
      <c r="U632">
        <f t="shared" si="457"/>
        <v>400.33500000000004</v>
      </c>
      <c r="V632">
        <f t="shared" si="457"/>
        <v>0</v>
      </c>
      <c r="W632">
        <f t="shared" si="457"/>
        <v>0</v>
      </c>
      <c r="X632">
        <f t="shared" si="457"/>
        <v>58455.58</v>
      </c>
      <c r="Y632">
        <f t="shared" si="457"/>
        <v>8350.81</v>
      </c>
      <c r="Z632">
        <f t="shared" si="457"/>
        <v>0</v>
      </c>
      <c r="AA632">
        <f t="shared" si="457"/>
        <v>0</v>
      </c>
      <c r="AB632">
        <f t="shared" si="457"/>
        <v>205372.84</v>
      </c>
      <c r="AC632">
        <f t="shared" si="457"/>
        <v>97537.38</v>
      </c>
      <c r="AD632">
        <f t="shared" si="457"/>
        <v>24327.49</v>
      </c>
      <c r="AE632">
        <f t="shared" si="457"/>
        <v>5980.91</v>
      </c>
      <c r="AF632">
        <f t="shared" si="457"/>
        <v>83507.97</v>
      </c>
      <c r="AG632">
        <f t="shared" si="457"/>
        <v>0</v>
      </c>
      <c r="AH632">
        <f t="shared" si="457"/>
        <v>400.33500000000004</v>
      </c>
      <c r="AI632">
        <f t="shared" si="457"/>
        <v>0</v>
      </c>
      <c r="AJ632">
        <f t="shared" si="457"/>
        <v>0</v>
      </c>
      <c r="AK632">
        <f t="shared" si="457"/>
        <v>58455.58</v>
      </c>
      <c r="AL632">
        <f t="shared" si="457"/>
        <v>8350.81</v>
      </c>
      <c r="AM632">
        <f t="shared" si="457"/>
        <v>0</v>
      </c>
      <c r="AN632">
        <f t="shared" si="457"/>
        <v>0</v>
      </c>
      <c r="AO632">
        <f t="shared" si="457"/>
        <v>0</v>
      </c>
      <c r="AP632">
        <f t="shared" si="457"/>
        <v>0</v>
      </c>
      <c r="AQ632">
        <f t="shared" si="457"/>
        <v>0</v>
      </c>
      <c r="AR632">
        <f t="shared" si="457"/>
        <v>278638.61</v>
      </c>
      <c r="AS632">
        <f t="shared" si="457"/>
        <v>0</v>
      </c>
      <c r="AT632">
        <f t="shared" si="457"/>
        <v>0</v>
      </c>
      <c r="AU632">
        <f t="shared" ref="AU632:BZ632" si="458">AU639</f>
        <v>278638.61</v>
      </c>
      <c r="AV632">
        <f t="shared" si="458"/>
        <v>97537.38</v>
      </c>
      <c r="AW632">
        <f t="shared" si="458"/>
        <v>97537.38</v>
      </c>
      <c r="AX632">
        <f t="shared" si="458"/>
        <v>0</v>
      </c>
      <c r="AY632">
        <f t="shared" si="458"/>
        <v>97537.38</v>
      </c>
      <c r="AZ632">
        <f t="shared" si="458"/>
        <v>0</v>
      </c>
      <c r="BA632">
        <f t="shared" si="458"/>
        <v>0</v>
      </c>
      <c r="BB632">
        <f t="shared" si="458"/>
        <v>0</v>
      </c>
      <c r="BC632">
        <f t="shared" si="458"/>
        <v>0</v>
      </c>
      <c r="BD632">
        <f t="shared" si="458"/>
        <v>0</v>
      </c>
      <c r="BE632">
        <f t="shared" si="458"/>
        <v>0</v>
      </c>
      <c r="BF632">
        <f t="shared" si="458"/>
        <v>0</v>
      </c>
      <c r="BG632">
        <f t="shared" si="458"/>
        <v>0</v>
      </c>
      <c r="BH632">
        <f t="shared" si="458"/>
        <v>0</v>
      </c>
      <c r="BI632">
        <f t="shared" si="458"/>
        <v>0</v>
      </c>
      <c r="BJ632">
        <f t="shared" si="458"/>
        <v>0</v>
      </c>
      <c r="BK632">
        <f t="shared" si="458"/>
        <v>0</v>
      </c>
      <c r="BL632">
        <f t="shared" si="458"/>
        <v>0</v>
      </c>
      <c r="BM632">
        <f t="shared" si="458"/>
        <v>0</v>
      </c>
      <c r="BN632">
        <f t="shared" si="458"/>
        <v>0</v>
      </c>
      <c r="BO632">
        <f t="shared" si="458"/>
        <v>0</v>
      </c>
      <c r="BP632">
        <f t="shared" si="458"/>
        <v>0</v>
      </c>
      <c r="BQ632">
        <f t="shared" si="458"/>
        <v>0</v>
      </c>
      <c r="BR632">
        <f t="shared" si="458"/>
        <v>0</v>
      </c>
      <c r="BS632">
        <f t="shared" si="458"/>
        <v>0</v>
      </c>
      <c r="BT632">
        <f t="shared" si="458"/>
        <v>0</v>
      </c>
      <c r="BU632">
        <f t="shared" si="458"/>
        <v>0</v>
      </c>
      <c r="BV632">
        <f t="shared" si="458"/>
        <v>0</v>
      </c>
      <c r="BW632">
        <f t="shared" si="458"/>
        <v>0</v>
      </c>
      <c r="BX632">
        <f t="shared" si="458"/>
        <v>0</v>
      </c>
      <c r="BY632">
        <f t="shared" si="458"/>
        <v>0</v>
      </c>
      <c r="BZ632">
        <f t="shared" si="458"/>
        <v>0</v>
      </c>
      <c r="CA632">
        <f t="shared" ref="CA632:DF632" si="459">CA639</f>
        <v>278638.61</v>
      </c>
      <c r="CB632">
        <f t="shared" si="459"/>
        <v>0</v>
      </c>
      <c r="CC632">
        <f t="shared" si="459"/>
        <v>0</v>
      </c>
      <c r="CD632">
        <f t="shared" si="459"/>
        <v>278638.61</v>
      </c>
      <c r="CE632">
        <f t="shared" si="459"/>
        <v>97537.38</v>
      </c>
      <c r="CF632">
        <f t="shared" si="459"/>
        <v>97537.38</v>
      </c>
      <c r="CG632">
        <f t="shared" si="459"/>
        <v>0</v>
      </c>
      <c r="CH632">
        <f t="shared" si="459"/>
        <v>97537.38</v>
      </c>
      <c r="CI632">
        <f t="shared" si="459"/>
        <v>0</v>
      </c>
      <c r="CJ632">
        <f t="shared" si="459"/>
        <v>0</v>
      </c>
      <c r="CK632">
        <f t="shared" si="459"/>
        <v>0</v>
      </c>
      <c r="CL632">
        <f t="shared" si="459"/>
        <v>0</v>
      </c>
      <c r="CM632">
        <f t="shared" si="459"/>
        <v>0</v>
      </c>
      <c r="CN632">
        <f t="shared" si="459"/>
        <v>0</v>
      </c>
      <c r="CO632">
        <f t="shared" si="459"/>
        <v>0</v>
      </c>
      <c r="CP632">
        <f t="shared" si="459"/>
        <v>0</v>
      </c>
      <c r="CQ632">
        <f t="shared" si="459"/>
        <v>0</v>
      </c>
      <c r="CR632">
        <f t="shared" si="459"/>
        <v>0</v>
      </c>
      <c r="CS632">
        <f t="shared" si="459"/>
        <v>0</v>
      </c>
      <c r="CT632">
        <f t="shared" si="459"/>
        <v>0</v>
      </c>
      <c r="CU632">
        <f t="shared" si="459"/>
        <v>0</v>
      </c>
      <c r="CV632">
        <f t="shared" si="459"/>
        <v>0</v>
      </c>
      <c r="CW632">
        <f t="shared" si="459"/>
        <v>0</v>
      </c>
      <c r="CX632">
        <f t="shared" si="459"/>
        <v>0</v>
      </c>
      <c r="CY632">
        <f t="shared" si="459"/>
        <v>0</v>
      </c>
      <c r="CZ632">
        <f t="shared" si="459"/>
        <v>0</v>
      </c>
      <c r="DA632">
        <f t="shared" si="459"/>
        <v>0</v>
      </c>
      <c r="DB632">
        <f t="shared" si="459"/>
        <v>0</v>
      </c>
      <c r="DC632">
        <f t="shared" si="459"/>
        <v>0</v>
      </c>
      <c r="DD632">
        <f t="shared" si="459"/>
        <v>0</v>
      </c>
      <c r="DE632">
        <f t="shared" si="459"/>
        <v>0</v>
      </c>
      <c r="DF632">
        <f t="shared" si="459"/>
        <v>0</v>
      </c>
      <c r="DG632">
        <f t="shared" ref="DG632:EL632" si="460">DG639</f>
        <v>0</v>
      </c>
      <c r="DH632">
        <f t="shared" si="460"/>
        <v>0</v>
      </c>
      <c r="DI632">
        <f t="shared" si="460"/>
        <v>0</v>
      </c>
      <c r="DJ632">
        <f t="shared" si="460"/>
        <v>0</v>
      </c>
      <c r="DK632">
        <f t="shared" si="460"/>
        <v>0</v>
      </c>
      <c r="DL632">
        <f t="shared" si="460"/>
        <v>0</v>
      </c>
      <c r="DM632">
        <f t="shared" si="460"/>
        <v>0</v>
      </c>
      <c r="DN632">
        <f t="shared" si="460"/>
        <v>0</v>
      </c>
      <c r="DO632">
        <f t="shared" si="460"/>
        <v>0</v>
      </c>
      <c r="DP632">
        <f t="shared" si="460"/>
        <v>0</v>
      </c>
      <c r="DQ632">
        <f t="shared" si="460"/>
        <v>0</v>
      </c>
      <c r="DR632">
        <f t="shared" si="460"/>
        <v>0</v>
      </c>
      <c r="DS632">
        <f t="shared" si="460"/>
        <v>0</v>
      </c>
      <c r="DT632">
        <f t="shared" si="460"/>
        <v>0</v>
      </c>
      <c r="DU632">
        <f t="shared" si="460"/>
        <v>0</v>
      </c>
      <c r="DV632">
        <f t="shared" si="460"/>
        <v>0</v>
      </c>
      <c r="DW632">
        <f t="shared" si="460"/>
        <v>0</v>
      </c>
      <c r="DX632">
        <f t="shared" si="460"/>
        <v>0</v>
      </c>
      <c r="DY632">
        <f t="shared" si="460"/>
        <v>0</v>
      </c>
      <c r="DZ632">
        <f t="shared" si="460"/>
        <v>0</v>
      </c>
      <c r="EA632">
        <f t="shared" si="460"/>
        <v>0</v>
      </c>
      <c r="EB632">
        <f t="shared" si="460"/>
        <v>0</v>
      </c>
      <c r="EC632">
        <f t="shared" si="460"/>
        <v>0</v>
      </c>
      <c r="ED632">
        <f t="shared" si="460"/>
        <v>0</v>
      </c>
      <c r="EE632">
        <f t="shared" si="460"/>
        <v>0</v>
      </c>
      <c r="EF632">
        <f t="shared" si="460"/>
        <v>0</v>
      </c>
      <c r="EG632">
        <f t="shared" si="460"/>
        <v>0</v>
      </c>
      <c r="EH632">
        <f t="shared" si="460"/>
        <v>0</v>
      </c>
      <c r="EI632">
        <f t="shared" si="460"/>
        <v>0</v>
      </c>
      <c r="EJ632">
        <f t="shared" si="460"/>
        <v>0</v>
      </c>
      <c r="EK632">
        <f t="shared" si="460"/>
        <v>0</v>
      </c>
      <c r="EL632">
        <f t="shared" si="460"/>
        <v>0</v>
      </c>
      <c r="EM632">
        <f t="shared" ref="EM632:FR632" si="461">EM639</f>
        <v>0</v>
      </c>
      <c r="EN632">
        <f t="shared" si="461"/>
        <v>0</v>
      </c>
      <c r="EO632">
        <f t="shared" si="461"/>
        <v>0</v>
      </c>
      <c r="EP632">
        <f t="shared" si="461"/>
        <v>0</v>
      </c>
      <c r="EQ632">
        <f t="shared" si="461"/>
        <v>0</v>
      </c>
      <c r="ER632">
        <f t="shared" si="461"/>
        <v>0</v>
      </c>
      <c r="ES632">
        <f t="shared" si="461"/>
        <v>0</v>
      </c>
      <c r="ET632">
        <f t="shared" si="461"/>
        <v>0</v>
      </c>
      <c r="EU632">
        <f t="shared" si="461"/>
        <v>0</v>
      </c>
      <c r="EV632">
        <f t="shared" si="461"/>
        <v>0</v>
      </c>
      <c r="EW632">
        <f t="shared" si="461"/>
        <v>0</v>
      </c>
      <c r="EX632">
        <f t="shared" si="461"/>
        <v>0</v>
      </c>
      <c r="EY632">
        <f t="shared" si="461"/>
        <v>0</v>
      </c>
      <c r="EZ632">
        <f t="shared" si="461"/>
        <v>0</v>
      </c>
      <c r="FA632">
        <f t="shared" si="461"/>
        <v>0</v>
      </c>
      <c r="FB632">
        <f t="shared" si="461"/>
        <v>0</v>
      </c>
      <c r="FC632">
        <f t="shared" si="461"/>
        <v>0</v>
      </c>
      <c r="FD632">
        <f t="shared" si="461"/>
        <v>0</v>
      </c>
      <c r="FE632">
        <f t="shared" si="461"/>
        <v>0</v>
      </c>
      <c r="FF632">
        <f t="shared" si="461"/>
        <v>0</v>
      </c>
      <c r="FG632">
        <f t="shared" si="461"/>
        <v>0</v>
      </c>
      <c r="FH632">
        <f t="shared" si="461"/>
        <v>0</v>
      </c>
      <c r="FI632">
        <f t="shared" si="461"/>
        <v>0</v>
      </c>
      <c r="FJ632">
        <f t="shared" si="461"/>
        <v>0</v>
      </c>
      <c r="FK632">
        <f t="shared" si="461"/>
        <v>0</v>
      </c>
      <c r="FL632">
        <f t="shared" si="461"/>
        <v>0</v>
      </c>
      <c r="FM632">
        <f t="shared" si="461"/>
        <v>0</v>
      </c>
      <c r="FN632">
        <f t="shared" si="461"/>
        <v>0</v>
      </c>
      <c r="FO632">
        <f t="shared" si="461"/>
        <v>0</v>
      </c>
      <c r="FP632">
        <f t="shared" si="461"/>
        <v>0</v>
      </c>
      <c r="FQ632">
        <f t="shared" si="461"/>
        <v>0</v>
      </c>
      <c r="FR632">
        <f t="shared" si="461"/>
        <v>0</v>
      </c>
      <c r="FS632">
        <f t="shared" ref="FS632:GX632" si="462">FS639</f>
        <v>0</v>
      </c>
      <c r="FT632">
        <f t="shared" si="462"/>
        <v>0</v>
      </c>
      <c r="FU632">
        <f t="shared" si="462"/>
        <v>0</v>
      </c>
      <c r="FV632">
        <f t="shared" si="462"/>
        <v>0</v>
      </c>
      <c r="FW632">
        <f t="shared" si="462"/>
        <v>0</v>
      </c>
      <c r="FX632">
        <f t="shared" si="462"/>
        <v>0</v>
      </c>
      <c r="FY632">
        <f t="shared" si="462"/>
        <v>0</v>
      </c>
      <c r="FZ632">
        <f t="shared" si="462"/>
        <v>0</v>
      </c>
      <c r="GA632">
        <f t="shared" si="462"/>
        <v>0</v>
      </c>
      <c r="GB632">
        <f t="shared" si="462"/>
        <v>0</v>
      </c>
      <c r="GC632">
        <f t="shared" si="462"/>
        <v>0</v>
      </c>
      <c r="GD632">
        <f t="shared" si="462"/>
        <v>0</v>
      </c>
      <c r="GE632">
        <f t="shared" si="462"/>
        <v>0</v>
      </c>
      <c r="GF632">
        <f t="shared" si="462"/>
        <v>0</v>
      </c>
      <c r="GG632">
        <f t="shared" si="462"/>
        <v>0</v>
      </c>
      <c r="GH632">
        <f t="shared" si="462"/>
        <v>0</v>
      </c>
      <c r="GI632">
        <f t="shared" si="462"/>
        <v>0</v>
      </c>
      <c r="GJ632">
        <f t="shared" si="462"/>
        <v>0</v>
      </c>
      <c r="GK632">
        <f t="shared" si="462"/>
        <v>0</v>
      </c>
      <c r="GL632">
        <f t="shared" si="462"/>
        <v>0</v>
      </c>
      <c r="GM632">
        <f t="shared" si="462"/>
        <v>0</v>
      </c>
      <c r="GN632">
        <f t="shared" si="462"/>
        <v>0</v>
      </c>
      <c r="GO632">
        <f t="shared" si="462"/>
        <v>0</v>
      </c>
      <c r="GP632">
        <f t="shared" si="462"/>
        <v>0</v>
      </c>
      <c r="GQ632">
        <f t="shared" si="462"/>
        <v>0</v>
      </c>
      <c r="GR632">
        <f t="shared" si="462"/>
        <v>0</v>
      </c>
      <c r="GS632">
        <f t="shared" si="462"/>
        <v>0</v>
      </c>
      <c r="GT632">
        <f t="shared" si="462"/>
        <v>0</v>
      </c>
      <c r="GU632">
        <f t="shared" si="462"/>
        <v>0</v>
      </c>
      <c r="GV632">
        <f t="shared" si="462"/>
        <v>0</v>
      </c>
      <c r="GW632">
        <f t="shared" si="462"/>
        <v>0</v>
      </c>
      <c r="GX632">
        <f t="shared" si="462"/>
        <v>0</v>
      </c>
    </row>
    <row r="634" spans="1:245" x14ac:dyDescent="0.2">
      <c r="A634">
        <v>17</v>
      </c>
      <c r="B634">
        <v>1</v>
      </c>
      <c r="C634">
        <f>ROW(SmtRes!A87)</f>
        <v>87</v>
      </c>
      <c r="D634">
        <f>ROW(EtalonRes!A521)</f>
        <v>521</v>
      </c>
      <c r="E634" t="s">
        <v>95</v>
      </c>
      <c r="F634" t="s">
        <v>529</v>
      </c>
      <c r="G634" t="s">
        <v>530</v>
      </c>
      <c r="H634" t="s">
        <v>531</v>
      </c>
      <c r="I634">
        <f>ROUND(F740*0.4/10,9)</f>
        <v>13</v>
      </c>
      <c r="J634">
        <v>0</v>
      </c>
      <c r="O634">
        <f>ROUND(CP634,2)</f>
        <v>23675.86</v>
      </c>
      <c r="P634">
        <f>ROUND(CQ634*I634,2)</f>
        <v>8965.19</v>
      </c>
      <c r="Q634">
        <f>ROUND(CR634*I634,2)</f>
        <v>3313.31</v>
      </c>
      <c r="R634">
        <f>ROUND(CS634*I634,2)</f>
        <v>1211.8599999999999</v>
      </c>
      <c r="S634">
        <f>ROUND(CT634*I634,2)</f>
        <v>11397.36</v>
      </c>
      <c r="T634">
        <f>ROUND(CU634*I634,2)</f>
        <v>0</v>
      </c>
      <c r="U634">
        <f>CV634*I634</f>
        <v>72.41</v>
      </c>
      <c r="V634">
        <f>CW634*I634</f>
        <v>0</v>
      </c>
      <c r="W634">
        <f>ROUND(CX634*I634,2)</f>
        <v>0</v>
      </c>
      <c r="X634">
        <f t="shared" ref="X634:Y637" si="463">ROUND(CY634,2)</f>
        <v>7978.15</v>
      </c>
      <c r="Y634">
        <f t="shared" si="463"/>
        <v>1139.74</v>
      </c>
      <c r="AA634">
        <v>71209905</v>
      </c>
      <c r="AB634">
        <f>ROUND((AC634+AD634+AF634),6)</f>
        <v>1821.22</v>
      </c>
      <c r="AC634">
        <f>ROUND((ES634),6)</f>
        <v>689.63</v>
      </c>
      <c r="AD634">
        <f>ROUND((((ET634)-(EU634))+AE634),6)</f>
        <v>254.87</v>
      </c>
      <c r="AE634">
        <f t="shared" ref="AE634:AF637" si="464">ROUND((EU634),6)</f>
        <v>93.22</v>
      </c>
      <c r="AF634">
        <f t="shared" si="464"/>
        <v>876.72</v>
      </c>
      <c r="AG634">
        <f>ROUND((AP634),6)</f>
        <v>0</v>
      </c>
      <c r="AH634">
        <f t="shared" ref="AH634:AI637" si="465">(EW634)</f>
        <v>5.57</v>
      </c>
      <c r="AI634">
        <f t="shared" si="465"/>
        <v>0</v>
      </c>
      <c r="AJ634">
        <f>(AS634)</f>
        <v>0</v>
      </c>
      <c r="AK634">
        <v>1821.22</v>
      </c>
      <c r="AL634">
        <v>689.63</v>
      </c>
      <c r="AM634">
        <v>254.87</v>
      </c>
      <c r="AN634">
        <v>93.22</v>
      </c>
      <c r="AO634">
        <v>876.72</v>
      </c>
      <c r="AP634">
        <v>0</v>
      </c>
      <c r="AQ634">
        <v>5.57</v>
      </c>
      <c r="AR634">
        <v>0</v>
      </c>
      <c r="AS634">
        <v>0</v>
      </c>
      <c r="AT634">
        <v>70</v>
      </c>
      <c r="AU634">
        <v>10</v>
      </c>
      <c r="AV634">
        <v>1</v>
      </c>
      <c r="AW634">
        <v>1</v>
      </c>
      <c r="AZ634">
        <v>1</v>
      </c>
      <c r="BA634">
        <v>1</v>
      </c>
      <c r="BB634">
        <v>1</v>
      </c>
      <c r="BC634">
        <v>1</v>
      </c>
      <c r="BD634" t="s">
        <v>3</v>
      </c>
      <c r="BE634" t="s">
        <v>3</v>
      </c>
      <c r="BF634" t="s">
        <v>3</v>
      </c>
      <c r="BG634" t="s">
        <v>3</v>
      </c>
      <c r="BH634">
        <v>0</v>
      </c>
      <c r="BI634">
        <v>4</v>
      </c>
      <c r="BJ634" t="s">
        <v>532</v>
      </c>
      <c r="BM634">
        <v>0</v>
      </c>
      <c r="BN634">
        <v>0</v>
      </c>
      <c r="BO634" t="s">
        <v>3</v>
      </c>
      <c r="BP634">
        <v>0</v>
      </c>
      <c r="BQ634">
        <v>1</v>
      </c>
      <c r="BR634">
        <v>0</v>
      </c>
      <c r="BS634">
        <v>1</v>
      </c>
      <c r="BT634">
        <v>1</v>
      </c>
      <c r="BU634">
        <v>1</v>
      </c>
      <c r="BV634">
        <v>1</v>
      </c>
      <c r="BW634">
        <v>1</v>
      </c>
      <c r="BX634">
        <v>1</v>
      </c>
      <c r="BY634" t="s">
        <v>3</v>
      </c>
      <c r="BZ634">
        <v>70</v>
      </c>
      <c r="CA634">
        <v>10</v>
      </c>
      <c r="CE634">
        <v>0</v>
      </c>
      <c r="CF634">
        <v>0</v>
      </c>
      <c r="CG634">
        <v>0</v>
      </c>
      <c r="CM634">
        <v>0</v>
      </c>
      <c r="CN634" t="s">
        <v>3</v>
      </c>
      <c r="CO634">
        <v>0</v>
      </c>
      <c r="CP634">
        <f>(P634+Q634+S634)</f>
        <v>23675.86</v>
      </c>
      <c r="CQ634">
        <f>(AC634*BC634*AW634)</f>
        <v>689.63</v>
      </c>
      <c r="CR634">
        <f>((((ET634)*BB634-(EU634)*BS634)+AE634*BS634)*AV634)</f>
        <v>254.87</v>
      </c>
      <c r="CS634">
        <f>(AE634*BS634*AV634)</f>
        <v>93.22</v>
      </c>
      <c r="CT634">
        <f>(AF634*BA634*AV634)</f>
        <v>876.72</v>
      </c>
      <c r="CU634">
        <f>AG634</f>
        <v>0</v>
      </c>
      <c r="CV634">
        <f>(AH634*AV634)</f>
        <v>5.57</v>
      </c>
      <c r="CW634">
        <f t="shared" ref="CW634:CX637" si="466">AI634</f>
        <v>0</v>
      </c>
      <c r="CX634">
        <f t="shared" si="466"/>
        <v>0</v>
      </c>
      <c r="CY634">
        <f>((S634*BZ634)/100)</f>
        <v>7978.152000000001</v>
      </c>
      <c r="CZ634">
        <f>((S634*CA634)/100)</f>
        <v>1139.7360000000001</v>
      </c>
      <c r="DC634" t="s">
        <v>3</v>
      </c>
      <c r="DD634" t="s">
        <v>3</v>
      </c>
      <c r="DE634" t="s">
        <v>3</v>
      </c>
      <c r="DF634" t="s">
        <v>3</v>
      </c>
      <c r="DG634" t="s">
        <v>3</v>
      </c>
      <c r="DH634" t="s">
        <v>3</v>
      </c>
      <c r="DI634" t="s">
        <v>3</v>
      </c>
      <c r="DJ634" t="s">
        <v>3</v>
      </c>
      <c r="DK634" t="s">
        <v>3</v>
      </c>
      <c r="DL634" t="s">
        <v>3</v>
      </c>
      <c r="DM634" t="s">
        <v>3</v>
      </c>
      <c r="DN634">
        <v>0</v>
      </c>
      <c r="DO634">
        <v>0</v>
      </c>
      <c r="DP634">
        <v>1</v>
      </c>
      <c r="DQ634">
        <v>1</v>
      </c>
      <c r="DU634">
        <v>1013</v>
      </c>
      <c r="DV634" t="s">
        <v>531</v>
      </c>
      <c r="DW634" t="s">
        <v>531</v>
      </c>
      <c r="DX634">
        <v>1</v>
      </c>
      <c r="EE634">
        <v>67874524</v>
      </c>
      <c r="EF634">
        <v>1</v>
      </c>
      <c r="EG634" t="s">
        <v>20</v>
      </c>
      <c r="EH634">
        <v>0</v>
      </c>
      <c r="EI634" t="s">
        <v>3</v>
      </c>
      <c r="EJ634">
        <v>4</v>
      </c>
      <c r="EK634">
        <v>0</v>
      </c>
      <c r="EL634" t="s">
        <v>21</v>
      </c>
      <c r="EM634" t="s">
        <v>22</v>
      </c>
      <c r="EO634" t="s">
        <v>3</v>
      </c>
      <c r="EQ634">
        <v>0</v>
      </c>
      <c r="ER634">
        <v>1821.22</v>
      </c>
      <c r="ES634">
        <v>689.63</v>
      </c>
      <c r="ET634">
        <v>254.87</v>
      </c>
      <c r="EU634">
        <v>93.22</v>
      </c>
      <c r="EV634">
        <v>876.72</v>
      </c>
      <c r="EW634">
        <v>5.57</v>
      </c>
      <c r="EX634">
        <v>0</v>
      </c>
      <c r="EY634">
        <v>0</v>
      </c>
      <c r="FQ634">
        <v>0</v>
      </c>
      <c r="FR634">
        <f>ROUND(IF(AND(BH634=3,BI634=3),P634,0),2)</f>
        <v>0</v>
      </c>
      <c r="FS634">
        <v>0</v>
      </c>
      <c r="FX634">
        <v>70</v>
      </c>
      <c r="FY634">
        <v>10</v>
      </c>
      <c r="GA634" t="s">
        <v>3</v>
      </c>
      <c r="GD634">
        <v>0</v>
      </c>
      <c r="GF634">
        <v>1946061946</v>
      </c>
      <c r="GG634">
        <v>2</v>
      </c>
      <c r="GH634">
        <v>1</v>
      </c>
      <c r="GI634">
        <v>-2</v>
      </c>
      <c r="GJ634">
        <v>0</v>
      </c>
      <c r="GK634">
        <f>ROUND(R634*(R12)/100,2)</f>
        <v>1308.81</v>
      </c>
      <c r="GL634">
        <f>ROUND(IF(AND(BH634=3,BI634=3,FS634&lt;&gt;0),P634,0),2)</f>
        <v>0</v>
      </c>
      <c r="GM634">
        <f>ROUND(O634+X634+Y634+GK634,2)+GX634</f>
        <v>34102.559999999998</v>
      </c>
      <c r="GN634">
        <f>IF(OR(BI634=0,BI634=1),ROUND(O634+X634+Y634+GK634,2),0)</f>
        <v>0</v>
      </c>
      <c r="GO634">
        <f>IF(BI634=2,ROUND(O634+X634+Y634+GK634,2),0)</f>
        <v>0</v>
      </c>
      <c r="GP634">
        <f>IF(BI634=4,ROUND(O634+X634+Y634+GK634,2)+GX634,0)</f>
        <v>34102.559999999998</v>
      </c>
      <c r="GR634">
        <v>0</v>
      </c>
      <c r="GS634">
        <v>3</v>
      </c>
      <c r="GT634">
        <v>0</v>
      </c>
      <c r="GU634" t="s">
        <v>3</v>
      </c>
      <c r="GV634">
        <f>ROUND((GT634),6)</f>
        <v>0</v>
      </c>
      <c r="GW634">
        <v>1</v>
      </c>
      <c r="GX634">
        <f>ROUND(HC634*I634,2)</f>
        <v>0</v>
      </c>
      <c r="HA634">
        <v>0</v>
      </c>
      <c r="HB634">
        <v>0</v>
      </c>
      <c r="HC634">
        <f>GV634*GW634</f>
        <v>0</v>
      </c>
      <c r="IK634">
        <v>0</v>
      </c>
    </row>
    <row r="635" spans="1:245" x14ac:dyDescent="0.2">
      <c r="A635">
        <v>17</v>
      </c>
      <c r="B635">
        <v>1</v>
      </c>
      <c r="C635">
        <f>ROW(SmtRes!A90)</f>
        <v>90</v>
      </c>
      <c r="D635">
        <f>ROW(EtalonRes!A524)</f>
        <v>524</v>
      </c>
      <c r="E635" t="s">
        <v>96</v>
      </c>
      <c r="F635" t="s">
        <v>533</v>
      </c>
      <c r="G635" t="s">
        <v>534</v>
      </c>
      <c r="H635" t="s">
        <v>531</v>
      </c>
      <c r="I635">
        <f>ROUND(F740*0.6/10,9)</f>
        <v>19.5</v>
      </c>
      <c r="J635">
        <v>0</v>
      </c>
      <c r="O635">
        <f>ROUND(CP635,2)</f>
        <v>46224.95</v>
      </c>
      <c r="P635">
        <f>ROUND(CQ635*I635,2)</f>
        <v>13447.79</v>
      </c>
      <c r="Q635">
        <f>ROUND(CR635*I635,2)</f>
        <v>0</v>
      </c>
      <c r="R635">
        <f>ROUND(CS635*I635,2)</f>
        <v>0</v>
      </c>
      <c r="S635">
        <f>ROUND(CT635*I635,2)</f>
        <v>32777.160000000003</v>
      </c>
      <c r="T635">
        <f>ROUND(CU635*I635,2)</f>
        <v>0</v>
      </c>
      <c r="U635">
        <f>CV635*I635</f>
        <v>181.35000000000002</v>
      </c>
      <c r="V635">
        <f>CW635*I635</f>
        <v>0</v>
      </c>
      <c r="W635">
        <f>ROUND(CX635*I635,2)</f>
        <v>0</v>
      </c>
      <c r="X635">
        <f t="shared" si="463"/>
        <v>22944.01</v>
      </c>
      <c r="Y635">
        <f t="shared" si="463"/>
        <v>3277.72</v>
      </c>
      <c r="AA635">
        <v>71209905</v>
      </c>
      <c r="AB635">
        <f>ROUND((AC635+AD635+AF635),6)</f>
        <v>2370.5100000000002</v>
      </c>
      <c r="AC635">
        <f>ROUND((ES635),6)</f>
        <v>689.63</v>
      </c>
      <c r="AD635">
        <f>ROUND((((ET635)-(EU635))+AE635),6)</f>
        <v>0</v>
      </c>
      <c r="AE635">
        <f t="shared" si="464"/>
        <v>0</v>
      </c>
      <c r="AF635">
        <f t="shared" si="464"/>
        <v>1680.88</v>
      </c>
      <c r="AG635">
        <f>ROUND((AP635),6)</f>
        <v>0</v>
      </c>
      <c r="AH635">
        <f t="shared" si="465"/>
        <v>9.3000000000000007</v>
      </c>
      <c r="AI635">
        <f t="shared" si="465"/>
        <v>0</v>
      </c>
      <c r="AJ635">
        <f>(AS635)</f>
        <v>0</v>
      </c>
      <c r="AK635">
        <v>2370.5100000000002</v>
      </c>
      <c r="AL635">
        <v>689.63</v>
      </c>
      <c r="AM635">
        <v>0</v>
      </c>
      <c r="AN635">
        <v>0</v>
      </c>
      <c r="AO635">
        <v>1680.88</v>
      </c>
      <c r="AP635">
        <v>0</v>
      </c>
      <c r="AQ635">
        <v>9.3000000000000007</v>
      </c>
      <c r="AR635">
        <v>0</v>
      </c>
      <c r="AS635">
        <v>0</v>
      </c>
      <c r="AT635">
        <v>70</v>
      </c>
      <c r="AU635">
        <v>10</v>
      </c>
      <c r="AV635">
        <v>1</v>
      </c>
      <c r="AW635">
        <v>1</v>
      </c>
      <c r="AZ635">
        <v>1</v>
      </c>
      <c r="BA635">
        <v>1</v>
      </c>
      <c r="BB635">
        <v>1</v>
      </c>
      <c r="BC635">
        <v>1</v>
      </c>
      <c r="BD635" t="s">
        <v>3</v>
      </c>
      <c r="BE635" t="s">
        <v>3</v>
      </c>
      <c r="BF635" t="s">
        <v>3</v>
      </c>
      <c r="BG635" t="s">
        <v>3</v>
      </c>
      <c r="BH635">
        <v>0</v>
      </c>
      <c r="BI635">
        <v>4</v>
      </c>
      <c r="BJ635" t="s">
        <v>535</v>
      </c>
      <c r="BM635">
        <v>0</v>
      </c>
      <c r="BN635">
        <v>0</v>
      </c>
      <c r="BO635" t="s">
        <v>3</v>
      </c>
      <c r="BP635">
        <v>0</v>
      </c>
      <c r="BQ635">
        <v>1</v>
      </c>
      <c r="BR635">
        <v>0</v>
      </c>
      <c r="BS635">
        <v>1</v>
      </c>
      <c r="BT635">
        <v>1</v>
      </c>
      <c r="BU635">
        <v>1</v>
      </c>
      <c r="BV635">
        <v>1</v>
      </c>
      <c r="BW635">
        <v>1</v>
      </c>
      <c r="BX635">
        <v>1</v>
      </c>
      <c r="BY635" t="s">
        <v>3</v>
      </c>
      <c r="BZ635">
        <v>70</v>
      </c>
      <c r="CA635">
        <v>10</v>
      </c>
      <c r="CE635">
        <v>0</v>
      </c>
      <c r="CF635">
        <v>0</v>
      </c>
      <c r="CG635">
        <v>0</v>
      </c>
      <c r="CM635">
        <v>0</v>
      </c>
      <c r="CN635" t="s">
        <v>3</v>
      </c>
      <c r="CO635">
        <v>0</v>
      </c>
      <c r="CP635">
        <f>(P635+Q635+S635)</f>
        <v>46224.950000000004</v>
      </c>
      <c r="CQ635">
        <f>(AC635*BC635*AW635)</f>
        <v>689.63</v>
      </c>
      <c r="CR635">
        <f>((((ET635)*BB635-(EU635)*BS635)+AE635*BS635)*AV635)</f>
        <v>0</v>
      </c>
      <c r="CS635">
        <f>(AE635*BS635*AV635)</f>
        <v>0</v>
      </c>
      <c r="CT635">
        <f>(AF635*BA635*AV635)</f>
        <v>1680.88</v>
      </c>
      <c r="CU635">
        <f>AG635</f>
        <v>0</v>
      </c>
      <c r="CV635">
        <f>(AH635*AV635)</f>
        <v>9.3000000000000007</v>
      </c>
      <c r="CW635">
        <f t="shared" si="466"/>
        <v>0</v>
      </c>
      <c r="CX635">
        <f t="shared" si="466"/>
        <v>0</v>
      </c>
      <c r="CY635">
        <f>((S635*BZ635)/100)</f>
        <v>22944.012000000002</v>
      </c>
      <c r="CZ635">
        <f>((S635*CA635)/100)</f>
        <v>3277.7160000000003</v>
      </c>
      <c r="DC635" t="s">
        <v>3</v>
      </c>
      <c r="DD635" t="s">
        <v>3</v>
      </c>
      <c r="DE635" t="s">
        <v>3</v>
      </c>
      <c r="DF635" t="s">
        <v>3</v>
      </c>
      <c r="DG635" t="s">
        <v>3</v>
      </c>
      <c r="DH635" t="s">
        <v>3</v>
      </c>
      <c r="DI635" t="s">
        <v>3</v>
      </c>
      <c r="DJ635" t="s">
        <v>3</v>
      </c>
      <c r="DK635" t="s">
        <v>3</v>
      </c>
      <c r="DL635" t="s">
        <v>3</v>
      </c>
      <c r="DM635" t="s">
        <v>3</v>
      </c>
      <c r="DN635">
        <v>0</v>
      </c>
      <c r="DO635">
        <v>0</v>
      </c>
      <c r="DP635">
        <v>1</v>
      </c>
      <c r="DQ635">
        <v>1</v>
      </c>
      <c r="DU635">
        <v>1013</v>
      </c>
      <c r="DV635" t="s">
        <v>531</v>
      </c>
      <c r="DW635" t="s">
        <v>531</v>
      </c>
      <c r="DX635">
        <v>1</v>
      </c>
      <c r="EE635">
        <v>67874524</v>
      </c>
      <c r="EF635">
        <v>1</v>
      </c>
      <c r="EG635" t="s">
        <v>20</v>
      </c>
      <c r="EH635">
        <v>0</v>
      </c>
      <c r="EI635" t="s">
        <v>3</v>
      </c>
      <c r="EJ635">
        <v>4</v>
      </c>
      <c r="EK635">
        <v>0</v>
      </c>
      <c r="EL635" t="s">
        <v>21</v>
      </c>
      <c r="EM635" t="s">
        <v>22</v>
      </c>
      <c r="EO635" t="s">
        <v>3</v>
      </c>
      <c r="EQ635">
        <v>0</v>
      </c>
      <c r="ER635">
        <v>2370.5100000000002</v>
      </c>
      <c r="ES635">
        <v>689.63</v>
      </c>
      <c r="ET635">
        <v>0</v>
      </c>
      <c r="EU635">
        <v>0</v>
      </c>
      <c r="EV635">
        <v>1680.88</v>
      </c>
      <c r="EW635">
        <v>9.3000000000000007</v>
      </c>
      <c r="EX635">
        <v>0</v>
      </c>
      <c r="EY635">
        <v>0</v>
      </c>
      <c r="FQ635">
        <v>0</v>
      </c>
      <c r="FR635">
        <f>ROUND(IF(AND(BH635=3,BI635=3),P635,0),2)</f>
        <v>0</v>
      </c>
      <c r="FS635">
        <v>0</v>
      </c>
      <c r="FX635">
        <v>70</v>
      </c>
      <c r="FY635">
        <v>10</v>
      </c>
      <c r="GA635" t="s">
        <v>3</v>
      </c>
      <c r="GD635">
        <v>0</v>
      </c>
      <c r="GF635">
        <v>1315125602</v>
      </c>
      <c r="GG635">
        <v>2</v>
      </c>
      <c r="GH635">
        <v>1</v>
      </c>
      <c r="GI635">
        <v>-2</v>
      </c>
      <c r="GJ635">
        <v>0</v>
      </c>
      <c r="GK635">
        <f>ROUND(R635*(R12)/100,2)</f>
        <v>0</v>
      </c>
      <c r="GL635">
        <f>ROUND(IF(AND(BH635=3,BI635=3,FS635&lt;&gt;0),P635,0),2)</f>
        <v>0</v>
      </c>
      <c r="GM635">
        <f>ROUND(O635+X635+Y635+GK635,2)+GX635</f>
        <v>72446.679999999993</v>
      </c>
      <c r="GN635">
        <f>IF(OR(BI635=0,BI635=1),ROUND(O635+X635+Y635+GK635,2),0)</f>
        <v>0</v>
      </c>
      <c r="GO635">
        <f>IF(BI635=2,ROUND(O635+X635+Y635+GK635,2),0)</f>
        <v>0</v>
      </c>
      <c r="GP635">
        <f>IF(BI635=4,ROUND(O635+X635+Y635+GK635,2)+GX635,0)</f>
        <v>72446.679999999993</v>
      </c>
      <c r="GR635">
        <v>0</v>
      </c>
      <c r="GS635">
        <v>3</v>
      </c>
      <c r="GT635">
        <v>0</v>
      </c>
      <c r="GU635" t="s">
        <v>3</v>
      </c>
      <c r="GV635">
        <f>ROUND((GT635),6)</f>
        <v>0</v>
      </c>
      <c r="GW635">
        <v>1</v>
      </c>
      <c r="GX635">
        <f>ROUND(HC635*I635,2)</f>
        <v>0</v>
      </c>
      <c r="HA635">
        <v>0</v>
      </c>
      <c r="HB635">
        <v>0</v>
      </c>
      <c r="HC635">
        <f>GV635*GW635</f>
        <v>0</v>
      </c>
      <c r="IK635">
        <v>0</v>
      </c>
    </row>
    <row r="636" spans="1:245" x14ac:dyDescent="0.2">
      <c r="A636">
        <v>17</v>
      </c>
      <c r="B636">
        <v>1</v>
      </c>
      <c r="C636">
        <f>ROW(SmtRes!A94)</f>
        <v>94</v>
      </c>
      <c r="D636">
        <f>ROW(EtalonRes!A528)</f>
        <v>528</v>
      </c>
      <c r="E636" t="s">
        <v>100</v>
      </c>
      <c r="F636" t="s">
        <v>536</v>
      </c>
      <c r="G636" t="s">
        <v>537</v>
      </c>
      <c r="H636" t="s">
        <v>381</v>
      </c>
      <c r="I636">
        <f>ROUND((F740)/10,9)</f>
        <v>32.5</v>
      </c>
      <c r="J636">
        <v>0</v>
      </c>
      <c r="O636">
        <f>ROUND(CP636,2)</f>
        <v>61573.53</v>
      </c>
      <c r="P636">
        <f>ROUND(CQ636*I636,2)</f>
        <v>1225.9000000000001</v>
      </c>
      <c r="Q636">
        <f>ROUND(CR636*I636,2)</f>
        <v>21014.18</v>
      </c>
      <c r="R636">
        <f>ROUND(CS636*I636,2)</f>
        <v>4769.05</v>
      </c>
      <c r="S636">
        <f>ROUND(CT636*I636,2)</f>
        <v>39333.449999999997</v>
      </c>
      <c r="T636">
        <f>ROUND(CU636*I636,2)</f>
        <v>0</v>
      </c>
      <c r="U636">
        <f>CV636*I636</f>
        <v>146.57499999999999</v>
      </c>
      <c r="V636">
        <f>CW636*I636</f>
        <v>0</v>
      </c>
      <c r="W636">
        <f>ROUND(CX636*I636,2)</f>
        <v>0</v>
      </c>
      <c r="X636">
        <f t="shared" si="463"/>
        <v>27533.42</v>
      </c>
      <c r="Y636">
        <f t="shared" si="463"/>
        <v>3933.35</v>
      </c>
      <c r="AA636">
        <v>71209905</v>
      </c>
      <c r="AB636">
        <f>ROUND((AC636+AD636+AF636),6)</f>
        <v>1894.57</v>
      </c>
      <c r="AC636">
        <f>ROUND((ES636),6)</f>
        <v>37.72</v>
      </c>
      <c r="AD636">
        <f>ROUND((((ET636)-(EU636))+AE636),6)</f>
        <v>646.59</v>
      </c>
      <c r="AE636">
        <f t="shared" si="464"/>
        <v>146.74</v>
      </c>
      <c r="AF636">
        <f t="shared" si="464"/>
        <v>1210.26</v>
      </c>
      <c r="AG636">
        <f>ROUND((AP636),6)</f>
        <v>0</v>
      </c>
      <c r="AH636">
        <f t="shared" si="465"/>
        <v>4.51</v>
      </c>
      <c r="AI636">
        <f t="shared" si="465"/>
        <v>0</v>
      </c>
      <c r="AJ636">
        <f>(AS636)</f>
        <v>0</v>
      </c>
      <c r="AK636">
        <v>1894.57</v>
      </c>
      <c r="AL636">
        <v>37.72</v>
      </c>
      <c r="AM636">
        <v>646.59</v>
      </c>
      <c r="AN636">
        <v>146.74</v>
      </c>
      <c r="AO636">
        <v>1210.26</v>
      </c>
      <c r="AP636">
        <v>0</v>
      </c>
      <c r="AQ636">
        <v>4.51</v>
      </c>
      <c r="AR636">
        <v>0</v>
      </c>
      <c r="AS636">
        <v>0</v>
      </c>
      <c r="AT636">
        <v>70</v>
      </c>
      <c r="AU636">
        <v>10</v>
      </c>
      <c r="AV636">
        <v>1</v>
      </c>
      <c r="AW636">
        <v>1</v>
      </c>
      <c r="AZ636">
        <v>1</v>
      </c>
      <c r="BA636">
        <v>1</v>
      </c>
      <c r="BB636">
        <v>1</v>
      </c>
      <c r="BC636">
        <v>1</v>
      </c>
      <c r="BD636" t="s">
        <v>3</v>
      </c>
      <c r="BE636" t="s">
        <v>3</v>
      </c>
      <c r="BF636" t="s">
        <v>3</v>
      </c>
      <c r="BG636" t="s">
        <v>3</v>
      </c>
      <c r="BH636">
        <v>0</v>
      </c>
      <c r="BI636">
        <v>4</v>
      </c>
      <c r="BJ636" t="s">
        <v>538</v>
      </c>
      <c r="BM636">
        <v>0</v>
      </c>
      <c r="BN636">
        <v>0</v>
      </c>
      <c r="BO636" t="s">
        <v>3</v>
      </c>
      <c r="BP636">
        <v>0</v>
      </c>
      <c r="BQ636">
        <v>1</v>
      </c>
      <c r="BR636">
        <v>0</v>
      </c>
      <c r="BS636">
        <v>1</v>
      </c>
      <c r="BT636">
        <v>1</v>
      </c>
      <c r="BU636">
        <v>1</v>
      </c>
      <c r="BV636">
        <v>1</v>
      </c>
      <c r="BW636">
        <v>1</v>
      </c>
      <c r="BX636">
        <v>1</v>
      </c>
      <c r="BY636" t="s">
        <v>3</v>
      </c>
      <c r="BZ636">
        <v>70</v>
      </c>
      <c r="CA636">
        <v>10</v>
      </c>
      <c r="CE636">
        <v>0</v>
      </c>
      <c r="CF636">
        <v>0</v>
      </c>
      <c r="CG636">
        <v>0</v>
      </c>
      <c r="CM636">
        <v>0</v>
      </c>
      <c r="CN636" t="s">
        <v>3</v>
      </c>
      <c r="CO636">
        <v>0</v>
      </c>
      <c r="CP636">
        <f>(P636+Q636+S636)</f>
        <v>61573.53</v>
      </c>
      <c r="CQ636">
        <f>(AC636*BC636*AW636)</f>
        <v>37.72</v>
      </c>
      <c r="CR636">
        <f>((((ET636)*BB636-(EU636)*BS636)+AE636*BS636)*AV636)</f>
        <v>646.59</v>
      </c>
      <c r="CS636">
        <f>(AE636*BS636*AV636)</f>
        <v>146.74</v>
      </c>
      <c r="CT636">
        <f>(AF636*BA636*AV636)</f>
        <v>1210.26</v>
      </c>
      <c r="CU636">
        <f>AG636</f>
        <v>0</v>
      </c>
      <c r="CV636">
        <f>(AH636*AV636)</f>
        <v>4.51</v>
      </c>
      <c r="CW636">
        <f t="shared" si="466"/>
        <v>0</v>
      </c>
      <c r="CX636">
        <f t="shared" si="466"/>
        <v>0</v>
      </c>
      <c r="CY636">
        <f>((S636*BZ636)/100)</f>
        <v>27533.415000000001</v>
      </c>
      <c r="CZ636">
        <f>((S636*CA636)/100)</f>
        <v>3933.3449999999998</v>
      </c>
      <c r="DC636" t="s">
        <v>3</v>
      </c>
      <c r="DD636" t="s">
        <v>3</v>
      </c>
      <c r="DE636" t="s">
        <v>3</v>
      </c>
      <c r="DF636" t="s">
        <v>3</v>
      </c>
      <c r="DG636" t="s">
        <v>3</v>
      </c>
      <c r="DH636" t="s">
        <v>3</v>
      </c>
      <c r="DI636" t="s">
        <v>3</v>
      </c>
      <c r="DJ636" t="s">
        <v>3</v>
      </c>
      <c r="DK636" t="s">
        <v>3</v>
      </c>
      <c r="DL636" t="s">
        <v>3</v>
      </c>
      <c r="DM636" t="s">
        <v>3</v>
      </c>
      <c r="DN636">
        <v>0</v>
      </c>
      <c r="DO636">
        <v>0</v>
      </c>
      <c r="DP636">
        <v>1</v>
      </c>
      <c r="DQ636">
        <v>1</v>
      </c>
      <c r="DU636">
        <v>1010</v>
      </c>
      <c r="DV636" t="s">
        <v>381</v>
      </c>
      <c r="DW636" t="s">
        <v>381</v>
      </c>
      <c r="DX636">
        <v>10</v>
      </c>
      <c r="EE636">
        <v>67874524</v>
      </c>
      <c r="EF636">
        <v>1</v>
      </c>
      <c r="EG636" t="s">
        <v>20</v>
      </c>
      <c r="EH636">
        <v>0</v>
      </c>
      <c r="EI636" t="s">
        <v>3</v>
      </c>
      <c r="EJ636">
        <v>4</v>
      </c>
      <c r="EK636">
        <v>0</v>
      </c>
      <c r="EL636" t="s">
        <v>21</v>
      </c>
      <c r="EM636" t="s">
        <v>22</v>
      </c>
      <c r="EO636" t="s">
        <v>3</v>
      </c>
      <c r="EQ636">
        <v>0</v>
      </c>
      <c r="ER636">
        <v>1894.57</v>
      </c>
      <c r="ES636">
        <v>37.72</v>
      </c>
      <c r="ET636">
        <v>646.59</v>
      </c>
      <c r="EU636">
        <v>146.74</v>
      </c>
      <c r="EV636">
        <v>1210.26</v>
      </c>
      <c r="EW636">
        <v>4.51</v>
      </c>
      <c r="EX636">
        <v>0</v>
      </c>
      <c r="EY636">
        <v>0</v>
      </c>
      <c r="FQ636">
        <v>0</v>
      </c>
      <c r="FR636">
        <f>ROUND(IF(AND(BH636=3,BI636=3),P636,0),2)</f>
        <v>0</v>
      </c>
      <c r="FS636">
        <v>0</v>
      </c>
      <c r="FX636">
        <v>70</v>
      </c>
      <c r="FY636">
        <v>10</v>
      </c>
      <c r="GA636" t="s">
        <v>3</v>
      </c>
      <c r="GD636">
        <v>0</v>
      </c>
      <c r="GF636">
        <v>-255230917</v>
      </c>
      <c r="GG636">
        <v>2</v>
      </c>
      <c r="GH636">
        <v>1</v>
      </c>
      <c r="GI636">
        <v>-2</v>
      </c>
      <c r="GJ636">
        <v>0</v>
      </c>
      <c r="GK636">
        <f>ROUND(R636*(R12)/100,2)</f>
        <v>5150.57</v>
      </c>
      <c r="GL636">
        <f>ROUND(IF(AND(BH636=3,BI636=3,FS636&lt;&gt;0),P636,0),2)</f>
        <v>0</v>
      </c>
      <c r="GM636">
        <f>ROUND(O636+X636+Y636+GK636,2)+GX636</f>
        <v>98190.87</v>
      </c>
      <c r="GN636">
        <f>IF(OR(BI636=0,BI636=1),ROUND(O636+X636+Y636+GK636,2),0)</f>
        <v>0</v>
      </c>
      <c r="GO636">
        <f>IF(BI636=2,ROUND(O636+X636+Y636+GK636,2),0)</f>
        <v>0</v>
      </c>
      <c r="GP636">
        <f>IF(BI636=4,ROUND(O636+X636+Y636+GK636,2)+GX636,0)</f>
        <v>98190.87</v>
      </c>
      <c r="GR636">
        <v>0</v>
      </c>
      <c r="GS636">
        <v>3</v>
      </c>
      <c r="GT636">
        <v>0</v>
      </c>
      <c r="GU636" t="s">
        <v>3</v>
      </c>
      <c r="GV636">
        <f>ROUND((GT636),6)</f>
        <v>0</v>
      </c>
      <c r="GW636">
        <v>1</v>
      </c>
      <c r="GX636">
        <f>ROUND(HC636*I636,2)</f>
        <v>0</v>
      </c>
      <c r="HA636">
        <v>0</v>
      </c>
      <c r="HB636">
        <v>0</v>
      </c>
      <c r="HC636">
        <f>GV636*GW636</f>
        <v>0</v>
      </c>
      <c r="IK636">
        <v>0</v>
      </c>
    </row>
    <row r="637" spans="1:245" x14ac:dyDescent="0.2">
      <c r="A637">
        <v>18</v>
      </c>
      <c r="B637">
        <v>1</v>
      </c>
      <c r="C637">
        <v>94</v>
      </c>
      <c r="E637" t="s">
        <v>539</v>
      </c>
      <c r="F637" t="s">
        <v>540</v>
      </c>
      <c r="G637" t="s">
        <v>541</v>
      </c>
      <c r="H637" t="s">
        <v>232</v>
      </c>
      <c r="I637">
        <f>I636*J637</f>
        <v>325</v>
      </c>
      <c r="J637">
        <v>10</v>
      </c>
      <c r="O637">
        <f>ROUND(CP637,2)</f>
        <v>73898.5</v>
      </c>
      <c r="P637">
        <f>ROUND(CQ637*I637,2)</f>
        <v>73898.5</v>
      </c>
      <c r="Q637">
        <f>ROUND(CR637*I637,2)</f>
        <v>0</v>
      </c>
      <c r="R637">
        <f>ROUND(CS637*I637,2)</f>
        <v>0</v>
      </c>
      <c r="S637">
        <f>ROUND(CT637*I637,2)</f>
        <v>0</v>
      </c>
      <c r="T637">
        <f>ROUND(CU637*I637,2)</f>
        <v>0</v>
      </c>
      <c r="U637">
        <f>CV637*I637</f>
        <v>0</v>
      </c>
      <c r="V637">
        <f>CW637*I637</f>
        <v>0</v>
      </c>
      <c r="W637">
        <f>ROUND(CX637*I637,2)</f>
        <v>0</v>
      </c>
      <c r="X637">
        <f t="shared" si="463"/>
        <v>0</v>
      </c>
      <c r="Y637">
        <f t="shared" si="463"/>
        <v>0</v>
      </c>
      <c r="AA637">
        <v>71209905</v>
      </c>
      <c r="AB637">
        <f>ROUND((AC637+AD637+AF637),6)</f>
        <v>227.38</v>
      </c>
      <c r="AC637">
        <f>ROUND((ES637),6)</f>
        <v>227.38</v>
      </c>
      <c r="AD637">
        <f>ROUND((((ET637)-(EU637))+AE637),6)</f>
        <v>0</v>
      </c>
      <c r="AE637">
        <f t="shared" si="464"/>
        <v>0</v>
      </c>
      <c r="AF637">
        <f t="shared" si="464"/>
        <v>0</v>
      </c>
      <c r="AG637">
        <f>ROUND((AP637),6)</f>
        <v>0</v>
      </c>
      <c r="AH637">
        <f t="shared" si="465"/>
        <v>0</v>
      </c>
      <c r="AI637">
        <f t="shared" si="465"/>
        <v>0</v>
      </c>
      <c r="AJ637">
        <f>(AS637)</f>
        <v>0</v>
      </c>
      <c r="AK637">
        <v>227.38</v>
      </c>
      <c r="AL637">
        <v>227.38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70</v>
      </c>
      <c r="AU637">
        <v>10</v>
      </c>
      <c r="AV637">
        <v>1</v>
      </c>
      <c r="AW637">
        <v>1</v>
      </c>
      <c r="AZ637">
        <v>1</v>
      </c>
      <c r="BA637">
        <v>1</v>
      </c>
      <c r="BB637">
        <v>1</v>
      </c>
      <c r="BC637">
        <v>1</v>
      </c>
      <c r="BD637" t="s">
        <v>3</v>
      </c>
      <c r="BE637" t="s">
        <v>3</v>
      </c>
      <c r="BF637" t="s">
        <v>3</v>
      </c>
      <c r="BG637" t="s">
        <v>3</v>
      </c>
      <c r="BH637">
        <v>3</v>
      </c>
      <c r="BI637">
        <v>4</v>
      </c>
      <c r="BJ637" t="s">
        <v>542</v>
      </c>
      <c r="BM637">
        <v>0</v>
      </c>
      <c r="BN637">
        <v>0</v>
      </c>
      <c r="BO637" t="s">
        <v>3</v>
      </c>
      <c r="BP637">
        <v>0</v>
      </c>
      <c r="BQ637">
        <v>1</v>
      </c>
      <c r="BR637">
        <v>0</v>
      </c>
      <c r="BS637">
        <v>1</v>
      </c>
      <c r="BT637">
        <v>1</v>
      </c>
      <c r="BU637">
        <v>1</v>
      </c>
      <c r="BV637">
        <v>1</v>
      </c>
      <c r="BW637">
        <v>1</v>
      </c>
      <c r="BX637">
        <v>1</v>
      </c>
      <c r="BY637" t="s">
        <v>3</v>
      </c>
      <c r="BZ637">
        <v>70</v>
      </c>
      <c r="CA637">
        <v>10</v>
      </c>
      <c r="CE637">
        <v>0</v>
      </c>
      <c r="CF637">
        <v>0</v>
      </c>
      <c r="CG637">
        <v>0</v>
      </c>
      <c r="CM637">
        <v>0</v>
      </c>
      <c r="CN637" t="s">
        <v>3</v>
      </c>
      <c r="CO637">
        <v>0</v>
      </c>
      <c r="CP637">
        <f>(P637+Q637+S637)</f>
        <v>73898.5</v>
      </c>
      <c r="CQ637">
        <f>(AC637*BC637*AW637)</f>
        <v>227.38</v>
      </c>
      <c r="CR637">
        <f>((((ET637)*BB637-(EU637)*BS637)+AE637*BS637)*AV637)</f>
        <v>0</v>
      </c>
      <c r="CS637">
        <f>(AE637*BS637*AV637)</f>
        <v>0</v>
      </c>
      <c r="CT637">
        <f>(AF637*BA637*AV637)</f>
        <v>0</v>
      </c>
      <c r="CU637">
        <f>AG637</f>
        <v>0</v>
      </c>
      <c r="CV637">
        <f>(AH637*AV637)</f>
        <v>0</v>
      </c>
      <c r="CW637">
        <f t="shared" si="466"/>
        <v>0</v>
      </c>
      <c r="CX637">
        <f t="shared" si="466"/>
        <v>0</v>
      </c>
      <c r="CY637">
        <f>((S637*BZ637)/100)</f>
        <v>0</v>
      </c>
      <c r="CZ637">
        <f>((S637*CA637)/100)</f>
        <v>0</v>
      </c>
      <c r="DC637" t="s">
        <v>3</v>
      </c>
      <c r="DD637" t="s">
        <v>3</v>
      </c>
      <c r="DE637" t="s">
        <v>3</v>
      </c>
      <c r="DF637" t="s">
        <v>3</v>
      </c>
      <c r="DG637" t="s">
        <v>3</v>
      </c>
      <c r="DH637" t="s">
        <v>3</v>
      </c>
      <c r="DI637" t="s">
        <v>3</v>
      </c>
      <c r="DJ637" t="s">
        <v>3</v>
      </c>
      <c r="DK637" t="s">
        <v>3</v>
      </c>
      <c r="DL637" t="s">
        <v>3</v>
      </c>
      <c r="DM637" t="s">
        <v>3</v>
      </c>
      <c r="DN637">
        <v>0</v>
      </c>
      <c r="DO637">
        <v>0</v>
      </c>
      <c r="DP637">
        <v>1</v>
      </c>
      <c r="DQ637">
        <v>1</v>
      </c>
      <c r="DU637">
        <v>1010</v>
      </c>
      <c r="DV637" t="s">
        <v>232</v>
      </c>
      <c r="DW637" t="s">
        <v>232</v>
      </c>
      <c r="DX637">
        <v>1</v>
      </c>
      <c r="EE637">
        <v>67874524</v>
      </c>
      <c r="EF637">
        <v>1</v>
      </c>
      <c r="EG637" t="s">
        <v>20</v>
      </c>
      <c r="EH637">
        <v>0</v>
      </c>
      <c r="EI637" t="s">
        <v>3</v>
      </c>
      <c r="EJ637">
        <v>4</v>
      </c>
      <c r="EK637">
        <v>0</v>
      </c>
      <c r="EL637" t="s">
        <v>21</v>
      </c>
      <c r="EM637" t="s">
        <v>22</v>
      </c>
      <c r="EO637" t="s">
        <v>3</v>
      </c>
      <c r="EQ637">
        <v>0</v>
      </c>
      <c r="ER637">
        <v>227.38</v>
      </c>
      <c r="ES637">
        <v>227.38</v>
      </c>
      <c r="ET637">
        <v>0</v>
      </c>
      <c r="EU637">
        <v>0</v>
      </c>
      <c r="EV637">
        <v>0</v>
      </c>
      <c r="EW637">
        <v>0</v>
      </c>
      <c r="EX637">
        <v>0</v>
      </c>
      <c r="FQ637">
        <v>0</v>
      </c>
      <c r="FR637">
        <f>ROUND(IF(AND(BH637=3,BI637=3),P637,0),2)</f>
        <v>0</v>
      </c>
      <c r="FS637">
        <v>0</v>
      </c>
      <c r="FX637">
        <v>70</v>
      </c>
      <c r="FY637">
        <v>10</v>
      </c>
      <c r="GA637" t="s">
        <v>3</v>
      </c>
      <c r="GD637">
        <v>0</v>
      </c>
      <c r="GF637">
        <v>1695214232</v>
      </c>
      <c r="GG637">
        <v>2</v>
      </c>
      <c r="GH637">
        <v>1</v>
      </c>
      <c r="GI637">
        <v>-2</v>
      </c>
      <c r="GJ637">
        <v>0</v>
      </c>
      <c r="GK637">
        <f>ROUND(R637*(R12)/100,2)</f>
        <v>0</v>
      </c>
      <c r="GL637">
        <f>ROUND(IF(AND(BH637=3,BI637=3,FS637&lt;&gt;0),P637,0),2)</f>
        <v>0</v>
      </c>
      <c r="GM637">
        <f>ROUND(O637+X637+Y637+GK637,2)+GX637</f>
        <v>73898.5</v>
      </c>
      <c r="GN637">
        <f>IF(OR(BI637=0,BI637=1),ROUND(O637+X637+Y637+GK637,2),0)</f>
        <v>0</v>
      </c>
      <c r="GO637">
        <f>IF(BI637=2,ROUND(O637+X637+Y637+GK637,2),0)</f>
        <v>0</v>
      </c>
      <c r="GP637">
        <f>IF(BI637=4,ROUND(O637+X637+Y637+GK637,2)+GX637,0)</f>
        <v>73898.5</v>
      </c>
      <c r="GR637">
        <v>0</v>
      </c>
      <c r="GS637">
        <v>3</v>
      </c>
      <c r="GT637">
        <v>0</v>
      </c>
      <c r="GU637" t="s">
        <v>3</v>
      </c>
      <c r="GV637">
        <f>ROUND((GT637),6)</f>
        <v>0</v>
      </c>
      <c r="GW637">
        <v>1</v>
      </c>
      <c r="GX637">
        <f>ROUND(HC637*I637,2)</f>
        <v>0</v>
      </c>
      <c r="HA637">
        <v>0</v>
      </c>
      <c r="HB637">
        <v>0</v>
      </c>
      <c r="HC637">
        <f>GV637*GW637</f>
        <v>0</v>
      </c>
      <c r="IK637">
        <v>0</v>
      </c>
    </row>
    <row r="639" spans="1:245" x14ac:dyDescent="0.2">
      <c r="A639">
        <v>51</v>
      </c>
      <c r="B639">
        <f>B630</f>
        <v>1</v>
      </c>
      <c r="C639">
        <f>A630</f>
        <v>4</v>
      </c>
      <c r="D639">
        <f>ROW(A630)</f>
        <v>630</v>
      </c>
      <c r="F639" t="str">
        <f>IF(F630&lt;&gt;"",F630,"")</f>
        <v>Новый раздел</v>
      </c>
      <c r="G639" t="str">
        <f>IF(G630&lt;&gt;"",G630,"")</f>
        <v>Посадка лиственных кустарников в группы D=0,25; h=0,2</v>
      </c>
      <c r="H639">
        <v>0</v>
      </c>
      <c r="O639">
        <f t="shared" ref="O639:T639" si="467">ROUND(AB639,2)</f>
        <v>205372.84</v>
      </c>
      <c r="P639">
        <f t="shared" si="467"/>
        <v>97537.38</v>
      </c>
      <c r="Q639">
        <f t="shared" si="467"/>
        <v>24327.49</v>
      </c>
      <c r="R639">
        <f t="shared" si="467"/>
        <v>5980.91</v>
      </c>
      <c r="S639">
        <f t="shared" si="467"/>
        <v>83507.97</v>
      </c>
      <c r="T639">
        <f t="shared" si="467"/>
        <v>0</v>
      </c>
      <c r="U639">
        <f>AH639</f>
        <v>400.33500000000004</v>
      </c>
      <c r="V639">
        <f>AI639</f>
        <v>0</v>
      </c>
      <c r="W639">
        <f>ROUND(AJ639,2)</f>
        <v>0</v>
      </c>
      <c r="X639">
        <f>ROUND(AK639,2)</f>
        <v>58455.58</v>
      </c>
      <c r="Y639">
        <f>ROUND(AL639,2)</f>
        <v>8350.81</v>
      </c>
      <c r="AB639">
        <f>ROUND(SUMIF(AA634:AA637,"=71209905",O634:O637),2)</f>
        <v>205372.84</v>
      </c>
      <c r="AC639">
        <f>ROUND(SUMIF(AA634:AA637,"=71209905",P634:P637),2)</f>
        <v>97537.38</v>
      </c>
      <c r="AD639">
        <f>ROUND(SUMIF(AA634:AA637,"=71209905",Q634:Q637),2)</f>
        <v>24327.49</v>
      </c>
      <c r="AE639">
        <f>ROUND(SUMIF(AA634:AA637,"=71209905",R634:R637),2)</f>
        <v>5980.91</v>
      </c>
      <c r="AF639">
        <f>ROUND(SUMIF(AA634:AA637,"=71209905",S634:S637),2)</f>
        <v>83507.97</v>
      </c>
      <c r="AG639">
        <f>ROUND(SUMIF(AA634:AA637,"=71209905",T634:T637),2)</f>
        <v>0</v>
      </c>
      <c r="AH639">
        <f>SUMIF(AA634:AA637,"=71209905",U634:U637)</f>
        <v>400.33500000000004</v>
      </c>
      <c r="AI639">
        <f>SUMIF(AA634:AA637,"=71209905",V634:V637)</f>
        <v>0</v>
      </c>
      <c r="AJ639">
        <f>ROUND(SUMIF(AA634:AA637,"=71209905",W634:W637),2)</f>
        <v>0</v>
      </c>
      <c r="AK639">
        <f>ROUND(SUMIF(AA634:AA637,"=71209905",X634:X637),2)</f>
        <v>58455.58</v>
      </c>
      <c r="AL639">
        <f>ROUND(SUMIF(AA634:AA637,"=71209905",Y634:Y637),2)</f>
        <v>8350.81</v>
      </c>
      <c r="AO639">
        <f t="shared" ref="AO639:BD639" si="468">ROUND(BX639,2)</f>
        <v>0</v>
      </c>
      <c r="AP639">
        <f t="shared" si="468"/>
        <v>0</v>
      </c>
      <c r="AQ639">
        <f t="shared" si="468"/>
        <v>0</v>
      </c>
      <c r="AR639">
        <f t="shared" si="468"/>
        <v>278638.61</v>
      </c>
      <c r="AS639">
        <f t="shared" si="468"/>
        <v>0</v>
      </c>
      <c r="AT639">
        <f t="shared" si="468"/>
        <v>0</v>
      </c>
      <c r="AU639">
        <f t="shared" si="468"/>
        <v>278638.61</v>
      </c>
      <c r="AV639">
        <f t="shared" si="468"/>
        <v>97537.38</v>
      </c>
      <c r="AW639">
        <f t="shared" si="468"/>
        <v>97537.38</v>
      </c>
      <c r="AX639">
        <f t="shared" si="468"/>
        <v>0</v>
      </c>
      <c r="AY639">
        <f t="shared" si="468"/>
        <v>97537.38</v>
      </c>
      <c r="AZ639">
        <f t="shared" si="468"/>
        <v>0</v>
      </c>
      <c r="BA639">
        <f t="shared" si="468"/>
        <v>0</v>
      </c>
      <c r="BB639">
        <f t="shared" si="468"/>
        <v>0</v>
      </c>
      <c r="BC639">
        <f t="shared" si="468"/>
        <v>0</v>
      </c>
      <c r="BD639">
        <f t="shared" si="468"/>
        <v>0</v>
      </c>
      <c r="BX639">
        <f>ROUND(SUMIF(AA634:AA637,"=71209905",FQ634:FQ637),2)</f>
        <v>0</v>
      </c>
      <c r="BY639">
        <f>ROUND(SUMIF(AA634:AA637,"=71209905",FR634:FR637),2)</f>
        <v>0</v>
      </c>
      <c r="BZ639">
        <f>ROUND(SUMIF(AA634:AA637,"=71209905",GL634:GL637),2)</f>
        <v>0</v>
      </c>
      <c r="CA639">
        <f>ROUND(SUMIF(AA634:AA637,"=71209905",GM634:GM637),2)</f>
        <v>278638.61</v>
      </c>
      <c r="CB639">
        <f>ROUND(SUMIF(AA634:AA637,"=71209905",GN634:GN637),2)</f>
        <v>0</v>
      </c>
      <c r="CC639">
        <f>ROUND(SUMIF(AA634:AA637,"=71209905",GO634:GO637),2)</f>
        <v>0</v>
      </c>
      <c r="CD639">
        <f>ROUND(SUMIF(AA634:AA637,"=71209905",GP634:GP637),2)</f>
        <v>278638.61</v>
      </c>
      <c r="CE639">
        <f>AC639-BX639</f>
        <v>97537.38</v>
      </c>
      <c r="CF639">
        <f>AC639-BY639</f>
        <v>97537.38</v>
      </c>
      <c r="CG639">
        <f>BX639-BZ639</f>
        <v>0</v>
      </c>
      <c r="CH639">
        <f>AC639-BX639-BY639+BZ639</f>
        <v>97537.38</v>
      </c>
      <c r="CI639">
        <f>BY639-BZ639</f>
        <v>0</v>
      </c>
      <c r="CJ639">
        <f>ROUND(SUMIF(AA634:AA637,"=71209905",GX634:GX637),2)</f>
        <v>0</v>
      </c>
      <c r="CK639">
        <f>ROUND(SUMIF(AA634:AA637,"=71209905",GY634:GY637),2)</f>
        <v>0</v>
      </c>
      <c r="CL639">
        <f>ROUND(SUMIF(AA634:AA637,"=71209905",GZ634:GZ637),2)</f>
        <v>0</v>
      </c>
      <c r="CM639">
        <f>ROUND(SUMIF(AA634:AA637,"=71209905",HD634:HD637),2)</f>
        <v>0</v>
      </c>
      <c r="GX639">
        <v>0</v>
      </c>
    </row>
    <row r="641" spans="1:15" x14ac:dyDescent="0.2">
      <c r="A641">
        <v>50</v>
      </c>
      <c r="B641">
        <v>0</v>
      </c>
      <c r="C641">
        <v>0</v>
      </c>
      <c r="D641">
        <v>1</v>
      </c>
      <c r="E641">
        <v>201</v>
      </c>
      <c r="F641">
        <f>ROUND(Source!O639,O641)</f>
        <v>205372.84</v>
      </c>
      <c r="G641" t="s">
        <v>142</v>
      </c>
      <c r="H641" t="s">
        <v>143</v>
      </c>
      <c r="K641">
        <v>201</v>
      </c>
      <c r="L641">
        <v>1</v>
      </c>
      <c r="M641">
        <v>3</v>
      </c>
      <c r="N641" t="s">
        <v>3</v>
      </c>
      <c r="O641">
        <v>2</v>
      </c>
    </row>
    <row r="642" spans="1:15" x14ac:dyDescent="0.2">
      <c r="A642">
        <v>50</v>
      </c>
      <c r="B642">
        <v>0</v>
      </c>
      <c r="C642">
        <v>0</v>
      </c>
      <c r="D642">
        <v>1</v>
      </c>
      <c r="E642">
        <v>202</v>
      </c>
      <c r="F642">
        <f>ROUND(Source!P639,O642)</f>
        <v>97537.38</v>
      </c>
      <c r="G642" t="s">
        <v>144</v>
      </c>
      <c r="H642" t="s">
        <v>145</v>
      </c>
      <c r="K642">
        <v>202</v>
      </c>
      <c r="L642">
        <v>2</v>
      </c>
      <c r="M642">
        <v>3</v>
      </c>
      <c r="N642" t="s">
        <v>3</v>
      </c>
      <c r="O642">
        <v>2</v>
      </c>
    </row>
    <row r="643" spans="1:15" x14ac:dyDescent="0.2">
      <c r="A643">
        <v>50</v>
      </c>
      <c r="B643">
        <v>0</v>
      </c>
      <c r="C643">
        <v>0</v>
      </c>
      <c r="D643">
        <v>1</v>
      </c>
      <c r="E643">
        <v>222</v>
      </c>
      <c r="F643">
        <f>ROUND(Source!AO639,O643)</f>
        <v>0</v>
      </c>
      <c r="G643" t="s">
        <v>146</v>
      </c>
      <c r="H643" t="s">
        <v>147</v>
      </c>
      <c r="K643">
        <v>222</v>
      </c>
      <c r="L643">
        <v>3</v>
      </c>
      <c r="M643">
        <v>3</v>
      </c>
      <c r="N643" t="s">
        <v>3</v>
      </c>
      <c r="O643">
        <v>2</v>
      </c>
    </row>
    <row r="644" spans="1:15" x14ac:dyDescent="0.2">
      <c r="A644">
        <v>50</v>
      </c>
      <c r="B644">
        <v>0</v>
      </c>
      <c r="C644">
        <v>0</v>
      </c>
      <c r="D644">
        <v>1</v>
      </c>
      <c r="E644">
        <v>225</v>
      </c>
      <c r="F644">
        <f>ROUND(Source!AV639,O644)</f>
        <v>97537.38</v>
      </c>
      <c r="G644" t="s">
        <v>148</v>
      </c>
      <c r="H644" t="s">
        <v>149</v>
      </c>
      <c r="K644">
        <v>225</v>
      </c>
      <c r="L644">
        <v>4</v>
      </c>
      <c r="M644">
        <v>3</v>
      </c>
      <c r="N644" t="s">
        <v>3</v>
      </c>
      <c r="O644">
        <v>2</v>
      </c>
    </row>
    <row r="645" spans="1:15" x14ac:dyDescent="0.2">
      <c r="A645">
        <v>50</v>
      </c>
      <c r="B645">
        <v>0</v>
      </c>
      <c r="C645">
        <v>0</v>
      </c>
      <c r="D645">
        <v>1</v>
      </c>
      <c r="E645">
        <v>226</v>
      </c>
      <c r="F645">
        <f>ROUND(Source!AW639,O645)</f>
        <v>97537.38</v>
      </c>
      <c r="G645" t="s">
        <v>150</v>
      </c>
      <c r="H645" t="s">
        <v>151</v>
      </c>
      <c r="K645">
        <v>226</v>
      </c>
      <c r="L645">
        <v>5</v>
      </c>
      <c r="M645">
        <v>3</v>
      </c>
      <c r="N645" t="s">
        <v>3</v>
      </c>
      <c r="O645">
        <v>2</v>
      </c>
    </row>
    <row r="646" spans="1:15" x14ac:dyDescent="0.2">
      <c r="A646">
        <v>50</v>
      </c>
      <c r="B646">
        <v>0</v>
      </c>
      <c r="C646">
        <v>0</v>
      </c>
      <c r="D646">
        <v>1</v>
      </c>
      <c r="E646">
        <v>227</v>
      </c>
      <c r="F646">
        <f>ROUND(Source!AX639,O646)</f>
        <v>0</v>
      </c>
      <c r="G646" t="s">
        <v>152</v>
      </c>
      <c r="H646" t="s">
        <v>153</v>
      </c>
      <c r="K646">
        <v>227</v>
      </c>
      <c r="L646">
        <v>6</v>
      </c>
      <c r="M646">
        <v>3</v>
      </c>
      <c r="N646" t="s">
        <v>3</v>
      </c>
      <c r="O646">
        <v>2</v>
      </c>
    </row>
    <row r="647" spans="1:15" x14ac:dyDescent="0.2">
      <c r="A647">
        <v>50</v>
      </c>
      <c r="B647">
        <v>0</v>
      </c>
      <c r="C647">
        <v>0</v>
      </c>
      <c r="D647">
        <v>1</v>
      </c>
      <c r="E647">
        <v>228</v>
      </c>
      <c r="F647">
        <f>ROUND(Source!AY639,O647)</f>
        <v>97537.38</v>
      </c>
      <c r="G647" t="s">
        <v>154</v>
      </c>
      <c r="H647" t="s">
        <v>155</v>
      </c>
      <c r="K647">
        <v>228</v>
      </c>
      <c r="L647">
        <v>7</v>
      </c>
      <c r="M647">
        <v>3</v>
      </c>
      <c r="N647" t="s">
        <v>3</v>
      </c>
      <c r="O647">
        <v>2</v>
      </c>
    </row>
    <row r="648" spans="1:15" x14ac:dyDescent="0.2">
      <c r="A648">
        <v>50</v>
      </c>
      <c r="B648">
        <v>0</v>
      </c>
      <c r="C648">
        <v>0</v>
      </c>
      <c r="D648">
        <v>1</v>
      </c>
      <c r="E648">
        <v>216</v>
      </c>
      <c r="F648">
        <f>ROUND(Source!AP639,O648)</f>
        <v>0</v>
      </c>
      <c r="G648" t="s">
        <v>156</v>
      </c>
      <c r="H648" t="s">
        <v>157</v>
      </c>
      <c r="K648">
        <v>216</v>
      </c>
      <c r="L648">
        <v>8</v>
      </c>
      <c r="M648">
        <v>3</v>
      </c>
      <c r="N648" t="s">
        <v>3</v>
      </c>
      <c r="O648">
        <v>2</v>
      </c>
    </row>
    <row r="649" spans="1:15" x14ac:dyDescent="0.2">
      <c r="A649">
        <v>50</v>
      </c>
      <c r="B649">
        <v>0</v>
      </c>
      <c r="C649">
        <v>0</v>
      </c>
      <c r="D649">
        <v>1</v>
      </c>
      <c r="E649">
        <v>223</v>
      </c>
      <c r="F649">
        <f>ROUND(Source!AQ639,O649)</f>
        <v>0</v>
      </c>
      <c r="G649" t="s">
        <v>158</v>
      </c>
      <c r="H649" t="s">
        <v>159</v>
      </c>
      <c r="K649">
        <v>223</v>
      </c>
      <c r="L649">
        <v>9</v>
      </c>
      <c r="M649">
        <v>3</v>
      </c>
      <c r="N649" t="s">
        <v>3</v>
      </c>
      <c r="O649">
        <v>2</v>
      </c>
    </row>
    <row r="650" spans="1:15" x14ac:dyDescent="0.2">
      <c r="A650">
        <v>50</v>
      </c>
      <c r="B650">
        <v>0</v>
      </c>
      <c r="C650">
        <v>0</v>
      </c>
      <c r="D650">
        <v>1</v>
      </c>
      <c r="E650">
        <v>229</v>
      </c>
      <c r="F650">
        <f>ROUND(Source!AZ639,O650)</f>
        <v>0</v>
      </c>
      <c r="G650" t="s">
        <v>160</v>
      </c>
      <c r="H650" t="s">
        <v>161</v>
      </c>
      <c r="K650">
        <v>229</v>
      </c>
      <c r="L650">
        <v>10</v>
      </c>
      <c r="M650">
        <v>3</v>
      </c>
      <c r="N650" t="s">
        <v>3</v>
      </c>
      <c r="O650">
        <v>2</v>
      </c>
    </row>
    <row r="651" spans="1:15" x14ac:dyDescent="0.2">
      <c r="A651">
        <v>50</v>
      </c>
      <c r="B651">
        <v>0</v>
      </c>
      <c r="C651">
        <v>0</v>
      </c>
      <c r="D651">
        <v>1</v>
      </c>
      <c r="E651">
        <v>203</v>
      </c>
      <c r="F651">
        <f>ROUND(Source!Q639,O651)</f>
        <v>24327.49</v>
      </c>
      <c r="G651" t="s">
        <v>162</v>
      </c>
      <c r="H651" t="s">
        <v>163</v>
      </c>
      <c r="K651">
        <v>203</v>
      </c>
      <c r="L651">
        <v>11</v>
      </c>
      <c r="M651">
        <v>3</v>
      </c>
      <c r="N651" t="s">
        <v>3</v>
      </c>
      <c r="O651">
        <v>2</v>
      </c>
    </row>
    <row r="652" spans="1:15" x14ac:dyDescent="0.2">
      <c r="A652">
        <v>50</v>
      </c>
      <c r="B652">
        <v>0</v>
      </c>
      <c r="C652">
        <v>0</v>
      </c>
      <c r="D652">
        <v>1</v>
      </c>
      <c r="E652">
        <v>231</v>
      </c>
      <c r="F652">
        <f>ROUND(Source!BB639,O652)</f>
        <v>0</v>
      </c>
      <c r="G652" t="s">
        <v>164</v>
      </c>
      <c r="H652" t="s">
        <v>165</v>
      </c>
      <c r="K652">
        <v>231</v>
      </c>
      <c r="L652">
        <v>12</v>
      </c>
      <c r="M652">
        <v>3</v>
      </c>
      <c r="N652" t="s">
        <v>3</v>
      </c>
      <c r="O652">
        <v>2</v>
      </c>
    </row>
    <row r="653" spans="1:15" x14ac:dyDescent="0.2">
      <c r="A653">
        <v>50</v>
      </c>
      <c r="B653">
        <v>0</v>
      </c>
      <c r="C653">
        <v>0</v>
      </c>
      <c r="D653">
        <v>1</v>
      </c>
      <c r="E653">
        <v>204</v>
      </c>
      <c r="F653">
        <f>ROUND(Source!R639,O653)</f>
        <v>5980.91</v>
      </c>
      <c r="G653" t="s">
        <v>166</v>
      </c>
      <c r="H653" t="s">
        <v>167</v>
      </c>
      <c r="K653">
        <v>204</v>
      </c>
      <c r="L653">
        <v>13</v>
      </c>
      <c r="M653">
        <v>3</v>
      </c>
      <c r="N653" t="s">
        <v>3</v>
      </c>
      <c r="O653">
        <v>2</v>
      </c>
    </row>
    <row r="654" spans="1:15" x14ac:dyDescent="0.2">
      <c r="A654">
        <v>50</v>
      </c>
      <c r="B654">
        <v>0</v>
      </c>
      <c r="C654">
        <v>0</v>
      </c>
      <c r="D654">
        <v>1</v>
      </c>
      <c r="E654">
        <v>205</v>
      </c>
      <c r="F654">
        <f>ROUND(Source!S639,O654)</f>
        <v>83507.97</v>
      </c>
      <c r="G654" t="s">
        <v>168</v>
      </c>
      <c r="H654" t="s">
        <v>169</v>
      </c>
      <c r="K654">
        <v>205</v>
      </c>
      <c r="L654">
        <v>14</v>
      </c>
      <c r="M654">
        <v>3</v>
      </c>
      <c r="N654" t="s">
        <v>3</v>
      </c>
      <c r="O654">
        <v>2</v>
      </c>
    </row>
    <row r="655" spans="1:15" x14ac:dyDescent="0.2">
      <c r="A655">
        <v>50</v>
      </c>
      <c r="B655">
        <v>0</v>
      </c>
      <c r="C655">
        <v>0</v>
      </c>
      <c r="D655">
        <v>1</v>
      </c>
      <c r="E655">
        <v>232</v>
      </c>
      <c r="F655">
        <f>ROUND(Source!BC639,O655)</f>
        <v>0</v>
      </c>
      <c r="G655" t="s">
        <v>170</v>
      </c>
      <c r="H655" t="s">
        <v>171</v>
      </c>
      <c r="K655">
        <v>232</v>
      </c>
      <c r="L655">
        <v>15</v>
      </c>
      <c r="M655">
        <v>3</v>
      </c>
      <c r="N655" t="s">
        <v>3</v>
      </c>
      <c r="O655">
        <v>2</v>
      </c>
    </row>
    <row r="656" spans="1:15" x14ac:dyDescent="0.2">
      <c r="A656">
        <v>50</v>
      </c>
      <c r="B656">
        <v>0</v>
      </c>
      <c r="C656">
        <v>0</v>
      </c>
      <c r="D656">
        <v>1</v>
      </c>
      <c r="E656">
        <v>214</v>
      </c>
      <c r="F656">
        <f>ROUND(Source!AS639,O656)</f>
        <v>0</v>
      </c>
      <c r="G656" t="s">
        <v>172</v>
      </c>
      <c r="H656" t="s">
        <v>173</v>
      </c>
      <c r="K656">
        <v>214</v>
      </c>
      <c r="L656">
        <v>16</v>
      </c>
      <c r="M656">
        <v>3</v>
      </c>
      <c r="N656" t="s">
        <v>3</v>
      </c>
      <c r="O656">
        <v>2</v>
      </c>
    </row>
    <row r="657" spans="1:206" x14ac:dyDescent="0.2">
      <c r="A657">
        <v>50</v>
      </c>
      <c r="B657">
        <v>0</v>
      </c>
      <c r="C657">
        <v>0</v>
      </c>
      <c r="D657">
        <v>1</v>
      </c>
      <c r="E657">
        <v>215</v>
      </c>
      <c r="F657">
        <f>ROUND(Source!AT639,O657)</f>
        <v>0</v>
      </c>
      <c r="G657" t="s">
        <v>174</v>
      </c>
      <c r="H657" t="s">
        <v>175</v>
      </c>
      <c r="K657">
        <v>215</v>
      </c>
      <c r="L657">
        <v>17</v>
      </c>
      <c r="M657">
        <v>3</v>
      </c>
      <c r="N657" t="s">
        <v>3</v>
      </c>
      <c r="O657">
        <v>2</v>
      </c>
    </row>
    <row r="658" spans="1:206" x14ac:dyDescent="0.2">
      <c r="A658">
        <v>50</v>
      </c>
      <c r="B658">
        <v>0</v>
      </c>
      <c r="C658">
        <v>0</v>
      </c>
      <c r="D658">
        <v>1</v>
      </c>
      <c r="E658">
        <v>217</v>
      </c>
      <c r="F658">
        <f>ROUND(Source!AU639,O658)</f>
        <v>278638.61</v>
      </c>
      <c r="G658" t="s">
        <v>176</v>
      </c>
      <c r="H658" t="s">
        <v>177</v>
      </c>
      <c r="K658">
        <v>217</v>
      </c>
      <c r="L658">
        <v>18</v>
      </c>
      <c r="M658">
        <v>3</v>
      </c>
      <c r="N658" t="s">
        <v>3</v>
      </c>
      <c r="O658">
        <v>2</v>
      </c>
    </row>
    <row r="659" spans="1:206" x14ac:dyDescent="0.2">
      <c r="A659">
        <v>50</v>
      </c>
      <c r="B659">
        <v>0</v>
      </c>
      <c r="C659">
        <v>0</v>
      </c>
      <c r="D659">
        <v>1</v>
      </c>
      <c r="E659">
        <v>230</v>
      </c>
      <c r="F659">
        <f>ROUND(Source!BA639,O659)</f>
        <v>0</v>
      </c>
      <c r="G659" t="s">
        <v>178</v>
      </c>
      <c r="H659" t="s">
        <v>179</v>
      </c>
      <c r="K659">
        <v>230</v>
      </c>
      <c r="L659">
        <v>19</v>
      </c>
      <c r="M659">
        <v>3</v>
      </c>
      <c r="N659" t="s">
        <v>3</v>
      </c>
      <c r="O659">
        <v>2</v>
      </c>
    </row>
    <row r="660" spans="1:206" x14ac:dyDescent="0.2">
      <c r="A660">
        <v>50</v>
      </c>
      <c r="B660">
        <v>0</v>
      </c>
      <c r="C660">
        <v>0</v>
      </c>
      <c r="D660">
        <v>1</v>
      </c>
      <c r="E660">
        <v>206</v>
      </c>
      <c r="F660">
        <f>ROUND(Source!T639,O660)</f>
        <v>0</v>
      </c>
      <c r="G660" t="s">
        <v>180</v>
      </c>
      <c r="H660" t="s">
        <v>181</v>
      </c>
      <c r="K660">
        <v>206</v>
      </c>
      <c r="L660">
        <v>20</v>
      </c>
      <c r="M660">
        <v>3</v>
      </c>
      <c r="N660" t="s">
        <v>3</v>
      </c>
      <c r="O660">
        <v>2</v>
      </c>
    </row>
    <row r="661" spans="1:206" x14ac:dyDescent="0.2">
      <c r="A661">
        <v>50</v>
      </c>
      <c r="B661">
        <v>0</v>
      </c>
      <c r="C661">
        <v>0</v>
      </c>
      <c r="D661">
        <v>1</v>
      </c>
      <c r="E661">
        <v>207</v>
      </c>
      <c r="F661">
        <f>Source!U639</f>
        <v>400.33500000000004</v>
      </c>
      <c r="G661" t="s">
        <v>182</v>
      </c>
      <c r="H661" t="s">
        <v>183</v>
      </c>
      <c r="K661">
        <v>207</v>
      </c>
      <c r="L661">
        <v>21</v>
      </c>
      <c r="M661">
        <v>3</v>
      </c>
      <c r="N661" t="s">
        <v>3</v>
      </c>
      <c r="O661">
        <v>-1</v>
      </c>
    </row>
    <row r="662" spans="1:206" x14ac:dyDescent="0.2">
      <c r="A662">
        <v>50</v>
      </c>
      <c r="B662">
        <v>0</v>
      </c>
      <c r="C662">
        <v>0</v>
      </c>
      <c r="D662">
        <v>1</v>
      </c>
      <c r="E662">
        <v>208</v>
      </c>
      <c r="F662">
        <f>Source!V639</f>
        <v>0</v>
      </c>
      <c r="G662" t="s">
        <v>184</v>
      </c>
      <c r="H662" t="s">
        <v>185</v>
      </c>
      <c r="K662">
        <v>208</v>
      </c>
      <c r="L662">
        <v>22</v>
      </c>
      <c r="M662">
        <v>3</v>
      </c>
      <c r="N662" t="s">
        <v>3</v>
      </c>
      <c r="O662">
        <v>-1</v>
      </c>
    </row>
    <row r="663" spans="1:206" x14ac:dyDescent="0.2">
      <c r="A663">
        <v>50</v>
      </c>
      <c r="B663">
        <v>0</v>
      </c>
      <c r="C663">
        <v>0</v>
      </c>
      <c r="D663">
        <v>1</v>
      </c>
      <c r="E663">
        <v>209</v>
      </c>
      <c r="F663">
        <f>ROUND(Source!W639,O663)</f>
        <v>0</v>
      </c>
      <c r="G663" t="s">
        <v>186</v>
      </c>
      <c r="H663" t="s">
        <v>187</v>
      </c>
      <c r="K663">
        <v>209</v>
      </c>
      <c r="L663">
        <v>23</v>
      </c>
      <c r="M663">
        <v>3</v>
      </c>
      <c r="N663" t="s">
        <v>3</v>
      </c>
      <c r="O663">
        <v>2</v>
      </c>
    </row>
    <row r="664" spans="1:206" x14ac:dyDescent="0.2">
      <c r="A664">
        <v>50</v>
      </c>
      <c r="B664">
        <v>0</v>
      </c>
      <c r="C664">
        <v>0</v>
      </c>
      <c r="D664">
        <v>1</v>
      </c>
      <c r="E664">
        <v>233</v>
      </c>
      <c r="F664">
        <f>ROUND(Source!BD639,O664)</f>
        <v>0</v>
      </c>
      <c r="G664" t="s">
        <v>188</v>
      </c>
      <c r="H664" t="s">
        <v>189</v>
      </c>
      <c r="K664">
        <v>233</v>
      </c>
      <c r="L664">
        <v>24</v>
      </c>
      <c r="M664">
        <v>3</v>
      </c>
      <c r="N664" t="s">
        <v>3</v>
      </c>
      <c r="O664">
        <v>2</v>
      </c>
    </row>
    <row r="665" spans="1:206" x14ac:dyDescent="0.2">
      <c r="A665">
        <v>50</v>
      </c>
      <c r="B665">
        <v>0</v>
      </c>
      <c r="C665">
        <v>0</v>
      </c>
      <c r="D665">
        <v>1</v>
      </c>
      <c r="E665">
        <v>210</v>
      </c>
      <c r="F665">
        <f>ROUND(Source!X639,O665)</f>
        <v>58455.58</v>
      </c>
      <c r="G665" t="s">
        <v>190</v>
      </c>
      <c r="H665" t="s">
        <v>191</v>
      </c>
      <c r="K665">
        <v>210</v>
      </c>
      <c r="L665">
        <v>25</v>
      </c>
      <c r="M665">
        <v>3</v>
      </c>
      <c r="N665" t="s">
        <v>3</v>
      </c>
      <c r="O665">
        <v>2</v>
      </c>
    </row>
    <row r="666" spans="1:206" x14ac:dyDescent="0.2">
      <c r="A666">
        <v>50</v>
      </c>
      <c r="B666">
        <v>0</v>
      </c>
      <c r="C666">
        <v>0</v>
      </c>
      <c r="D666">
        <v>1</v>
      </c>
      <c r="E666">
        <v>211</v>
      </c>
      <c r="F666">
        <f>ROUND(Source!Y639,O666)</f>
        <v>8350.81</v>
      </c>
      <c r="G666" t="s">
        <v>192</v>
      </c>
      <c r="H666" t="s">
        <v>193</v>
      </c>
      <c r="K666">
        <v>211</v>
      </c>
      <c r="L666">
        <v>26</v>
      </c>
      <c r="M666">
        <v>3</v>
      </c>
      <c r="N666" t="s">
        <v>3</v>
      </c>
      <c r="O666">
        <v>2</v>
      </c>
    </row>
    <row r="667" spans="1:206" x14ac:dyDescent="0.2">
      <c r="A667">
        <v>50</v>
      </c>
      <c r="B667">
        <v>0</v>
      </c>
      <c r="C667">
        <v>0</v>
      </c>
      <c r="D667">
        <v>1</v>
      </c>
      <c r="E667">
        <v>224</v>
      </c>
      <c r="F667">
        <f>ROUND(Source!AR639,O667)</f>
        <v>278638.61</v>
      </c>
      <c r="G667" t="s">
        <v>194</v>
      </c>
      <c r="H667" t="s">
        <v>195</v>
      </c>
      <c r="K667">
        <v>224</v>
      </c>
      <c r="L667">
        <v>27</v>
      </c>
      <c r="M667">
        <v>3</v>
      </c>
      <c r="N667" t="s">
        <v>3</v>
      </c>
      <c r="O667">
        <v>2</v>
      </c>
    </row>
    <row r="669" spans="1:206" x14ac:dyDescent="0.2">
      <c r="A669">
        <v>4</v>
      </c>
      <c r="B669">
        <v>1</v>
      </c>
      <c r="D669">
        <f>ROW(A678)</f>
        <v>678</v>
      </c>
      <c r="F669" t="s">
        <v>14</v>
      </c>
      <c r="G669" t="s">
        <v>543</v>
      </c>
      <c r="H669" t="s">
        <v>3</v>
      </c>
      <c r="I669">
        <v>0</v>
      </c>
      <c r="K669">
        <v>-1</v>
      </c>
      <c r="U669" t="s">
        <v>3</v>
      </c>
      <c r="V669">
        <v>0</v>
      </c>
      <c r="AB669" t="s">
        <v>3</v>
      </c>
      <c r="AC669" t="s">
        <v>3</v>
      </c>
      <c r="AD669" t="s">
        <v>3</v>
      </c>
      <c r="AE669" t="s">
        <v>3</v>
      </c>
      <c r="AF669" t="s">
        <v>3</v>
      </c>
      <c r="AG669" t="s">
        <v>3</v>
      </c>
      <c r="AP669" t="s">
        <v>3</v>
      </c>
      <c r="AQ669" t="s">
        <v>3</v>
      </c>
      <c r="AR669" t="s">
        <v>3</v>
      </c>
      <c r="AZ669" t="s">
        <v>3</v>
      </c>
      <c r="BB669" t="s">
        <v>3</v>
      </c>
      <c r="BC669" t="s">
        <v>3</v>
      </c>
      <c r="BD669" t="s">
        <v>3</v>
      </c>
      <c r="BE669" t="s">
        <v>3</v>
      </c>
      <c r="BF669" t="s">
        <v>3</v>
      </c>
      <c r="BG669" t="s">
        <v>3</v>
      </c>
      <c r="BH669" t="s">
        <v>3</v>
      </c>
      <c r="BI669" t="s">
        <v>3</v>
      </c>
      <c r="BJ669" t="s">
        <v>3</v>
      </c>
      <c r="BK669" t="s">
        <v>3</v>
      </c>
      <c r="BL669" t="s">
        <v>3</v>
      </c>
      <c r="BM669" t="s">
        <v>3</v>
      </c>
      <c r="BN669" t="s">
        <v>3</v>
      </c>
      <c r="BO669" t="s">
        <v>3</v>
      </c>
      <c r="BP669" t="s">
        <v>3</v>
      </c>
      <c r="BX669">
        <v>0</v>
      </c>
      <c r="CJ669">
        <v>0</v>
      </c>
    </row>
    <row r="671" spans="1:206" x14ac:dyDescent="0.2">
      <c r="A671">
        <v>52</v>
      </c>
      <c r="B671">
        <f t="shared" ref="B671:G671" si="469">B678</f>
        <v>1</v>
      </c>
      <c r="C671">
        <f t="shared" si="469"/>
        <v>4</v>
      </c>
      <c r="D671">
        <f t="shared" si="469"/>
        <v>669</v>
      </c>
      <c r="E671">
        <f t="shared" si="469"/>
        <v>0</v>
      </c>
      <c r="F671" t="str">
        <f t="shared" si="469"/>
        <v>Новый раздел</v>
      </c>
      <c r="G671" t="str">
        <f t="shared" si="469"/>
        <v>Устройство газона</v>
      </c>
      <c r="O671">
        <f t="shared" ref="O671:AT671" si="470">O678</f>
        <v>7646.99</v>
      </c>
      <c r="P671">
        <f t="shared" si="470"/>
        <v>4459.7700000000004</v>
      </c>
      <c r="Q671">
        <f t="shared" si="470"/>
        <v>22.33</v>
      </c>
      <c r="R671">
        <f t="shared" si="470"/>
        <v>8.17</v>
      </c>
      <c r="S671">
        <f t="shared" si="470"/>
        <v>3164.89</v>
      </c>
      <c r="T671">
        <f t="shared" si="470"/>
        <v>0</v>
      </c>
      <c r="U671">
        <f t="shared" si="470"/>
        <v>16.831499999999998</v>
      </c>
      <c r="V671">
        <f t="shared" si="470"/>
        <v>0</v>
      </c>
      <c r="W671">
        <f t="shared" si="470"/>
        <v>0</v>
      </c>
      <c r="X671">
        <f t="shared" si="470"/>
        <v>2215.42</v>
      </c>
      <c r="Y671">
        <f t="shared" si="470"/>
        <v>316.48</v>
      </c>
      <c r="Z671">
        <f t="shared" si="470"/>
        <v>0</v>
      </c>
      <c r="AA671">
        <f t="shared" si="470"/>
        <v>0</v>
      </c>
      <c r="AB671">
        <f t="shared" si="470"/>
        <v>7646.99</v>
      </c>
      <c r="AC671">
        <f t="shared" si="470"/>
        <v>4459.7700000000004</v>
      </c>
      <c r="AD671">
        <f t="shared" si="470"/>
        <v>22.33</v>
      </c>
      <c r="AE671">
        <f t="shared" si="470"/>
        <v>8.17</v>
      </c>
      <c r="AF671">
        <f t="shared" si="470"/>
        <v>3164.89</v>
      </c>
      <c r="AG671">
        <f t="shared" si="470"/>
        <v>0</v>
      </c>
      <c r="AH671">
        <f t="shared" si="470"/>
        <v>16.831499999999998</v>
      </c>
      <c r="AI671">
        <f t="shared" si="470"/>
        <v>0</v>
      </c>
      <c r="AJ671">
        <f t="shared" si="470"/>
        <v>0</v>
      </c>
      <c r="AK671">
        <f t="shared" si="470"/>
        <v>2215.42</v>
      </c>
      <c r="AL671">
        <f t="shared" si="470"/>
        <v>316.48</v>
      </c>
      <c r="AM671">
        <f t="shared" si="470"/>
        <v>0</v>
      </c>
      <c r="AN671">
        <f t="shared" si="470"/>
        <v>0</v>
      </c>
      <c r="AO671">
        <f t="shared" si="470"/>
        <v>0</v>
      </c>
      <c r="AP671">
        <f t="shared" si="470"/>
        <v>0</v>
      </c>
      <c r="AQ671">
        <f t="shared" si="470"/>
        <v>0</v>
      </c>
      <c r="AR671">
        <f t="shared" si="470"/>
        <v>10187.709999999999</v>
      </c>
      <c r="AS671">
        <f t="shared" si="470"/>
        <v>0</v>
      </c>
      <c r="AT671">
        <f t="shared" si="470"/>
        <v>0</v>
      </c>
      <c r="AU671">
        <f t="shared" ref="AU671:BZ671" si="471">AU678</f>
        <v>10187.709999999999</v>
      </c>
      <c r="AV671">
        <f t="shared" si="471"/>
        <v>4459.7700000000004</v>
      </c>
      <c r="AW671">
        <f t="shared" si="471"/>
        <v>4459.7700000000004</v>
      </c>
      <c r="AX671">
        <f t="shared" si="471"/>
        <v>0</v>
      </c>
      <c r="AY671">
        <f t="shared" si="471"/>
        <v>4459.7700000000004</v>
      </c>
      <c r="AZ671">
        <f t="shared" si="471"/>
        <v>0</v>
      </c>
      <c r="BA671">
        <f t="shared" si="471"/>
        <v>0</v>
      </c>
      <c r="BB671">
        <f t="shared" si="471"/>
        <v>0</v>
      </c>
      <c r="BC671">
        <f t="shared" si="471"/>
        <v>0</v>
      </c>
      <c r="BD671">
        <f t="shared" si="471"/>
        <v>0</v>
      </c>
      <c r="BE671">
        <f t="shared" si="471"/>
        <v>0</v>
      </c>
      <c r="BF671">
        <f t="shared" si="471"/>
        <v>0</v>
      </c>
      <c r="BG671">
        <f t="shared" si="471"/>
        <v>0</v>
      </c>
      <c r="BH671">
        <f t="shared" si="471"/>
        <v>0</v>
      </c>
      <c r="BI671">
        <f t="shared" si="471"/>
        <v>0</v>
      </c>
      <c r="BJ671">
        <f t="shared" si="471"/>
        <v>0</v>
      </c>
      <c r="BK671">
        <f t="shared" si="471"/>
        <v>0</v>
      </c>
      <c r="BL671">
        <f t="shared" si="471"/>
        <v>0</v>
      </c>
      <c r="BM671">
        <f t="shared" si="471"/>
        <v>0</v>
      </c>
      <c r="BN671">
        <f t="shared" si="471"/>
        <v>0</v>
      </c>
      <c r="BO671">
        <f t="shared" si="471"/>
        <v>0</v>
      </c>
      <c r="BP671">
        <f t="shared" si="471"/>
        <v>0</v>
      </c>
      <c r="BQ671">
        <f t="shared" si="471"/>
        <v>0</v>
      </c>
      <c r="BR671">
        <f t="shared" si="471"/>
        <v>0</v>
      </c>
      <c r="BS671">
        <f t="shared" si="471"/>
        <v>0</v>
      </c>
      <c r="BT671">
        <f t="shared" si="471"/>
        <v>0</v>
      </c>
      <c r="BU671">
        <f t="shared" si="471"/>
        <v>0</v>
      </c>
      <c r="BV671">
        <f t="shared" si="471"/>
        <v>0</v>
      </c>
      <c r="BW671">
        <f t="shared" si="471"/>
        <v>0</v>
      </c>
      <c r="BX671">
        <f t="shared" si="471"/>
        <v>0</v>
      </c>
      <c r="BY671">
        <f t="shared" si="471"/>
        <v>0</v>
      </c>
      <c r="BZ671">
        <f t="shared" si="471"/>
        <v>0</v>
      </c>
      <c r="CA671">
        <f t="shared" ref="CA671:DF671" si="472">CA678</f>
        <v>10187.709999999999</v>
      </c>
      <c r="CB671">
        <f t="shared" si="472"/>
        <v>0</v>
      </c>
      <c r="CC671">
        <f t="shared" si="472"/>
        <v>0</v>
      </c>
      <c r="CD671">
        <f t="shared" si="472"/>
        <v>10187.709999999999</v>
      </c>
      <c r="CE671">
        <f t="shared" si="472"/>
        <v>4459.7700000000004</v>
      </c>
      <c r="CF671">
        <f t="shared" si="472"/>
        <v>4459.7700000000004</v>
      </c>
      <c r="CG671">
        <f t="shared" si="472"/>
        <v>0</v>
      </c>
      <c r="CH671">
        <f t="shared" si="472"/>
        <v>4459.7700000000004</v>
      </c>
      <c r="CI671">
        <f t="shared" si="472"/>
        <v>0</v>
      </c>
      <c r="CJ671">
        <f t="shared" si="472"/>
        <v>0</v>
      </c>
      <c r="CK671">
        <f t="shared" si="472"/>
        <v>0</v>
      </c>
      <c r="CL671">
        <f t="shared" si="472"/>
        <v>0</v>
      </c>
      <c r="CM671">
        <f t="shared" si="472"/>
        <v>0</v>
      </c>
      <c r="CN671">
        <f t="shared" si="472"/>
        <v>0</v>
      </c>
      <c r="CO671">
        <f t="shared" si="472"/>
        <v>0</v>
      </c>
      <c r="CP671">
        <f t="shared" si="472"/>
        <v>0</v>
      </c>
      <c r="CQ671">
        <f t="shared" si="472"/>
        <v>0</v>
      </c>
      <c r="CR671">
        <f t="shared" si="472"/>
        <v>0</v>
      </c>
      <c r="CS671">
        <f t="shared" si="472"/>
        <v>0</v>
      </c>
      <c r="CT671">
        <f t="shared" si="472"/>
        <v>0</v>
      </c>
      <c r="CU671">
        <f t="shared" si="472"/>
        <v>0</v>
      </c>
      <c r="CV671">
        <f t="shared" si="472"/>
        <v>0</v>
      </c>
      <c r="CW671">
        <f t="shared" si="472"/>
        <v>0</v>
      </c>
      <c r="CX671">
        <f t="shared" si="472"/>
        <v>0</v>
      </c>
      <c r="CY671">
        <f t="shared" si="472"/>
        <v>0</v>
      </c>
      <c r="CZ671">
        <f t="shared" si="472"/>
        <v>0</v>
      </c>
      <c r="DA671">
        <f t="shared" si="472"/>
        <v>0</v>
      </c>
      <c r="DB671">
        <f t="shared" si="472"/>
        <v>0</v>
      </c>
      <c r="DC671">
        <f t="shared" si="472"/>
        <v>0</v>
      </c>
      <c r="DD671">
        <f t="shared" si="472"/>
        <v>0</v>
      </c>
      <c r="DE671">
        <f t="shared" si="472"/>
        <v>0</v>
      </c>
      <c r="DF671">
        <f t="shared" si="472"/>
        <v>0</v>
      </c>
      <c r="DG671">
        <f t="shared" ref="DG671:EL671" si="473">DG678</f>
        <v>0</v>
      </c>
      <c r="DH671">
        <f t="shared" si="473"/>
        <v>0</v>
      </c>
      <c r="DI671">
        <f t="shared" si="473"/>
        <v>0</v>
      </c>
      <c r="DJ671">
        <f t="shared" si="473"/>
        <v>0</v>
      </c>
      <c r="DK671">
        <f t="shared" si="473"/>
        <v>0</v>
      </c>
      <c r="DL671">
        <f t="shared" si="473"/>
        <v>0</v>
      </c>
      <c r="DM671">
        <f t="shared" si="473"/>
        <v>0</v>
      </c>
      <c r="DN671">
        <f t="shared" si="473"/>
        <v>0</v>
      </c>
      <c r="DO671">
        <f t="shared" si="473"/>
        <v>0</v>
      </c>
      <c r="DP671">
        <f t="shared" si="473"/>
        <v>0</v>
      </c>
      <c r="DQ671">
        <f t="shared" si="473"/>
        <v>0</v>
      </c>
      <c r="DR671">
        <f t="shared" si="473"/>
        <v>0</v>
      </c>
      <c r="DS671">
        <f t="shared" si="473"/>
        <v>0</v>
      </c>
      <c r="DT671">
        <f t="shared" si="473"/>
        <v>0</v>
      </c>
      <c r="DU671">
        <f t="shared" si="473"/>
        <v>0</v>
      </c>
      <c r="DV671">
        <f t="shared" si="473"/>
        <v>0</v>
      </c>
      <c r="DW671">
        <f t="shared" si="473"/>
        <v>0</v>
      </c>
      <c r="DX671">
        <f t="shared" si="473"/>
        <v>0</v>
      </c>
      <c r="DY671">
        <f t="shared" si="473"/>
        <v>0</v>
      </c>
      <c r="DZ671">
        <f t="shared" si="473"/>
        <v>0</v>
      </c>
      <c r="EA671">
        <f t="shared" si="473"/>
        <v>0</v>
      </c>
      <c r="EB671">
        <f t="shared" si="473"/>
        <v>0</v>
      </c>
      <c r="EC671">
        <f t="shared" si="473"/>
        <v>0</v>
      </c>
      <c r="ED671">
        <f t="shared" si="473"/>
        <v>0</v>
      </c>
      <c r="EE671">
        <f t="shared" si="473"/>
        <v>0</v>
      </c>
      <c r="EF671">
        <f t="shared" si="473"/>
        <v>0</v>
      </c>
      <c r="EG671">
        <f t="shared" si="473"/>
        <v>0</v>
      </c>
      <c r="EH671">
        <f t="shared" si="473"/>
        <v>0</v>
      </c>
      <c r="EI671">
        <f t="shared" si="473"/>
        <v>0</v>
      </c>
      <c r="EJ671">
        <f t="shared" si="473"/>
        <v>0</v>
      </c>
      <c r="EK671">
        <f t="shared" si="473"/>
        <v>0</v>
      </c>
      <c r="EL671">
        <f t="shared" si="473"/>
        <v>0</v>
      </c>
      <c r="EM671">
        <f t="shared" ref="EM671:FR671" si="474">EM678</f>
        <v>0</v>
      </c>
      <c r="EN671">
        <f t="shared" si="474"/>
        <v>0</v>
      </c>
      <c r="EO671">
        <f t="shared" si="474"/>
        <v>0</v>
      </c>
      <c r="EP671">
        <f t="shared" si="474"/>
        <v>0</v>
      </c>
      <c r="EQ671">
        <f t="shared" si="474"/>
        <v>0</v>
      </c>
      <c r="ER671">
        <f t="shared" si="474"/>
        <v>0</v>
      </c>
      <c r="ES671">
        <f t="shared" si="474"/>
        <v>0</v>
      </c>
      <c r="ET671">
        <f t="shared" si="474"/>
        <v>0</v>
      </c>
      <c r="EU671">
        <f t="shared" si="474"/>
        <v>0</v>
      </c>
      <c r="EV671">
        <f t="shared" si="474"/>
        <v>0</v>
      </c>
      <c r="EW671">
        <f t="shared" si="474"/>
        <v>0</v>
      </c>
      <c r="EX671">
        <f t="shared" si="474"/>
        <v>0</v>
      </c>
      <c r="EY671">
        <f t="shared" si="474"/>
        <v>0</v>
      </c>
      <c r="EZ671">
        <f t="shared" si="474"/>
        <v>0</v>
      </c>
      <c r="FA671">
        <f t="shared" si="474"/>
        <v>0</v>
      </c>
      <c r="FB671">
        <f t="shared" si="474"/>
        <v>0</v>
      </c>
      <c r="FC671">
        <f t="shared" si="474"/>
        <v>0</v>
      </c>
      <c r="FD671">
        <f t="shared" si="474"/>
        <v>0</v>
      </c>
      <c r="FE671">
        <f t="shared" si="474"/>
        <v>0</v>
      </c>
      <c r="FF671">
        <f t="shared" si="474"/>
        <v>0</v>
      </c>
      <c r="FG671">
        <f t="shared" si="474"/>
        <v>0</v>
      </c>
      <c r="FH671">
        <f t="shared" si="474"/>
        <v>0</v>
      </c>
      <c r="FI671">
        <f t="shared" si="474"/>
        <v>0</v>
      </c>
      <c r="FJ671">
        <f t="shared" si="474"/>
        <v>0</v>
      </c>
      <c r="FK671">
        <f t="shared" si="474"/>
        <v>0</v>
      </c>
      <c r="FL671">
        <f t="shared" si="474"/>
        <v>0</v>
      </c>
      <c r="FM671">
        <f t="shared" si="474"/>
        <v>0</v>
      </c>
      <c r="FN671">
        <f t="shared" si="474"/>
        <v>0</v>
      </c>
      <c r="FO671">
        <f t="shared" si="474"/>
        <v>0</v>
      </c>
      <c r="FP671">
        <f t="shared" si="474"/>
        <v>0</v>
      </c>
      <c r="FQ671">
        <f t="shared" si="474"/>
        <v>0</v>
      </c>
      <c r="FR671">
        <f t="shared" si="474"/>
        <v>0</v>
      </c>
      <c r="FS671">
        <f t="shared" ref="FS671:GX671" si="475">FS678</f>
        <v>0</v>
      </c>
      <c r="FT671">
        <f t="shared" si="475"/>
        <v>0</v>
      </c>
      <c r="FU671">
        <f t="shared" si="475"/>
        <v>0</v>
      </c>
      <c r="FV671">
        <f t="shared" si="475"/>
        <v>0</v>
      </c>
      <c r="FW671">
        <f t="shared" si="475"/>
        <v>0</v>
      </c>
      <c r="FX671">
        <f t="shared" si="475"/>
        <v>0</v>
      </c>
      <c r="FY671">
        <f t="shared" si="475"/>
        <v>0</v>
      </c>
      <c r="FZ671">
        <f t="shared" si="475"/>
        <v>0</v>
      </c>
      <c r="GA671">
        <f t="shared" si="475"/>
        <v>0</v>
      </c>
      <c r="GB671">
        <f t="shared" si="475"/>
        <v>0</v>
      </c>
      <c r="GC671">
        <f t="shared" si="475"/>
        <v>0</v>
      </c>
      <c r="GD671">
        <f t="shared" si="475"/>
        <v>0</v>
      </c>
      <c r="GE671">
        <f t="shared" si="475"/>
        <v>0</v>
      </c>
      <c r="GF671">
        <f t="shared" si="475"/>
        <v>0</v>
      </c>
      <c r="GG671">
        <f t="shared" si="475"/>
        <v>0</v>
      </c>
      <c r="GH671">
        <f t="shared" si="475"/>
        <v>0</v>
      </c>
      <c r="GI671">
        <f t="shared" si="475"/>
        <v>0</v>
      </c>
      <c r="GJ671">
        <f t="shared" si="475"/>
        <v>0</v>
      </c>
      <c r="GK671">
        <f t="shared" si="475"/>
        <v>0</v>
      </c>
      <c r="GL671">
        <f t="shared" si="475"/>
        <v>0</v>
      </c>
      <c r="GM671">
        <f t="shared" si="475"/>
        <v>0</v>
      </c>
      <c r="GN671">
        <f t="shared" si="475"/>
        <v>0</v>
      </c>
      <c r="GO671">
        <f t="shared" si="475"/>
        <v>0</v>
      </c>
      <c r="GP671">
        <f t="shared" si="475"/>
        <v>0</v>
      </c>
      <c r="GQ671">
        <f t="shared" si="475"/>
        <v>0</v>
      </c>
      <c r="GR671">
        <f t="shared" si="475"/>
        <v>0</v>
      </c>
      <c r="GS671">
        <f t="shared" si="475"/>
        <v>0</v>
      </c>
      <c r="GT671">
        <f t="shared" si="475"/>
        <v>0</v>
      </c>
      <c r="GU671">
        <f t="shared" si="475"/>
        <v>0</v>
      </c>
      <c r="GV671">
        <f t="shared" si="475"/>
        <v>0</v>
      </c>
      <c r="GW671">
        <f t="shared" si="475"/>
        <v>0</v>
      </c>
      <c r="GX671">
        <f t="shared" si="475"/>
        <v>0</v>
      </c>
    </row>
    <row r="673" spans="1:245" x14ac:dyDescent="0.2">
      <c r="A673">
        <v>17</v>
      </c>
      <c r="B673">
        <v>1</v>
      </c>
      <c r="D673">
        <f>ROW(EtalonRes!A532)</f>
        <v>532</v>
      </c>
      <c r="E673" t="s">
        <v>105</v>
      </c>
      <c r="F673" t="s">
        <v>544</v>
      </c>
      <c r="G673" t="s">
        <v>545</v>
      </c>
      <c r="H673" t="s">
        <v>28</v>
      </c>
      <c r="I673">
        <f>ROUND(F738*0.75/100,9)</f>
        <v>0.36749999999999999</v>
      </c>
      <c r="J673">
        <v>0</v>
      </c>
      <c r="O673">
        <f>ROUND(CP673,2)</f>
        <v>6271.18</v>
      </c>
      <c r="P673">
        <f>ROUND(CQ673*I673,2)</f>
        <v>4154.6099999999997</v>
      </c>
      <c r="Q673">
        <f>ROUND(CR673*I673,2)</f>
        <v>22.33</v>
      </c>
      <c r="R673">
        <f>ROUND(CS673*I673,2)</f>
        <v>8.17</v>
      </c>
      <c r="S673">
        <f>ROUND(CT673*I673,2)</f>
        <v>2094.2399999999998</v>
      </c>
      <c r="T673">
        <f>ROUND(CU673*I673,2)</f>
        <v>0</v>
      </c>
      <c r="U673">
        <f>CV673*I673</f>
        <v>11.319000000000001</v>
      </c>
      <c r="V673">
        <f>CW673*I673</f>
        <v>0</v>
      </c>
      <c r="W673">
        <f>ROUND(CX673*I673,2)</f>
        <v>0</v>
      </c>
      <c r="X673">
        <f t="shared" ref="X673:Y676" si="476">ROUND(CY673,2)</f>
        <v>1465.97</v>
      </c>
      <c r="Y673">
        <f t="shared" si="476"/>
        <v>209.42</v>
      </c>
      <c r="AA673">
        <v>71209905</v>
      </c>
      <c r="AB673">
        <f>ROUND((AC673+AD673+AF673),6)</f>
        <v>17064.43</v>
      </c>
      <c r="AC673">
        <f>ROUND((ES673),6)</f>
        <v>11305.05</v>
      </c>
      <c r="AD673">
        <f>ROUND((((ET673)-(EU673))+AE673),6)</f>
        <v>60.76</v>
      </c>
      <c r="AE673">
        <f t="shared" ref="AE673:AF676" si="477">ROUND((EU673),6)</f>
        <v>22.23</v>
      </c>
      <c r="AF673">
        <f t="shared" si="477"/>
        <v>5698.62</v>
      </c>
      <c r="AG673">
        <f>ROUND((AP673),6)</f>
        <v>0</v>
      </c>
      <c r="AH673">
        <f t="shared" ref="AH673:AI676" si="478">(EW673)</f>
        <v>30.8</v>
      </c>
      <c r="AI673">
        <f t="shared" si="478"/>
        <v>0</v>
      </c>
      <c r="AJ673">
        <f>(AS673)</f>
        <v>0</v>
      </c>
      <c r="AK673">
        <v>17064.43</v>
      </c>
      <c r="AL673">
        <v>11305.05</v>
      </c>
      <c r="AM673">
        <v>60.76</v>
      </c>
      <c r="AN673">
        <v>22.23</v>
      </c>
      <c r="AO673">
        <v>5698.62</v>
      </c>
      <c r="AP673">
        <v>0</v>
      </c>
      <c r="AQ673">
        <v>30.8</v>
      </c>
      <c r="AR673">
        <v>0</v>
      </c>
      <c r="AS673">
        <v>0</v>
      </c>
      <c r="AT673">
        <v>70</v>
      </c>
      <c r="AU673">
        <v>10</v>
      </c>
      <c r="AV673">
        <v>1</v>
      </c>
      <c r="AW673">
        <v>1</v>
      </c>
      <c r="AZ673">
        <v>1</v>
      </c>
      <c r="BA673">
        <v>1</v>
      </c>
      <c r="BB673">
        <v>1</v>
      </c>
      <c r="BC673">
        <v>1</v>
      </c>
      <c r="BD673" t="s">
        <v>3</v>
      </c>
      <c r="BE673" t="s">
        <v>3</v>
      </c>
      <c r="BF673" t="s">
        <v>3</v>
      </c>
      <c r="BG673" t="s">
        <v>3</v>
      </c>
      <c r="BH673">
        <v>0</v>
      </c>
      <c r="BI673">
        <v>4</v>
      </c>
      <c r="BJ673" t="s">
        <v>546</v>
      </c>
      <c r="BM673">
        <v>0</v>
      </c>
      <c r="BN673">
        <v>0</v>
      </c>
      <c r="BO673" t="s">
        <v>3</v>
      </c>
      <c r="BP673">
        <v>0</v>
      </c>
      <c r="BQ673">
        <v>1</v>
      </c>
      <c r="BR673">
        <v>0</v>
      </c>
      <c r="BS673">
        <v>1</v>
      </c>
      <c r="BT673">
        <v>1</v>
      </c>
      <c r="BU673">
        <v>1</v>
      </c>
      <c r="BV673">
        <v>1</v>
      </c>
      <c r="BW673">
        <v>1</v>
      </c>
      <c r="BX673">
        <v>1</v>
      </c>
      <c r="BY673" t="s">
        <v>3</v>
      </c>
      <c r="BZ673">
        <v>70</v>
      </c>
      <c r="CA673">
        <v>10</v>
      </c>
      <c r="CE673">
        <v>0</v>
      </c>
      <c r="CF673">
        <v>0</v>
      </c>
      <c r="CG673">
        <v>0</v>
      </c>
      <c r="CM673">
        <v>0</v>
      </c>
      <c r="CN673" t="s">
        <v>3</v>
      </c>
      <c r="CO673">
        <v>0</v>
      </c>
      <c r="CP673">
        <f>(P673+Q673+S673)</f>
        <v>6271.1799999999994</v>
      </c>
      <c r="CQ673">
        <f>(AC673*BC673*AW673)</f>
        <v>11305.05</v>
      </c>
      <c r="CR673">
        <f>((((ET673)*BB673-(EU673)*BS673)+AE673*BS673)*AV673)</f>
        <v>60.760000000000005</v>
      </c>
      <c r="CS673">
        <f>(AE673*BS673*AV673)</f>
        <v>22.23</v>
      </c>
      <c r="CT673">
        <f>(AF673*BA673*AV673)</f>
        <v>5698.62</v>
      </c>
      <c r="CU673">
        <f>AG673</f>
        <v>0</v>
      </c>
      <c r="CV673">
        <f>(AH673*AV673)</f>
        <v>30.8</v>
      </c>
      <c r="CW673">
        <f t="shared" ref="CW673:CX676" si="479">AI673</f>
        <v>0</v>
      </c>
      <c r="CX673">
        <f t="shared" si="479"/>
        <v>0</v>
      </c>
      <c r="CY673">
        <f>((S673*BZ673)/100)</f>
        <v>1465.9679999999998</v>
      </c>
      <c r="CZ673">
        <f>((S673*CA673)/100)</f>
        <v>209.42399999999998</v>
      </c>
      <c r="DC673" t="s">
        <v>3</v>
      </c>
      <c r="DD673" t="s">
        <v>3</v>
      </c>
      <c r="DE673" t="s">
        <v>3</v>
      </c>
      <c r="DF673" t="s">
        <v>3</v>
      </c>
      <c r="DG673" t="s">
        <v>3</v>
      </c>
      <c r="DH673" t="s">
        <v>3</v>
      </c>
      <c r="DI673" t="s">
        <v>3</v>
      </c>
      <c r="DJ673" t="s">
        <v>3</v>
      </c>
      <c r="DK673" t="s">
        <v>3</v>
      </c>
      <c r="DL673" t="s">
        <v>3</v>
      </c>
      <c r="DM673" t="s">
        <v>3</v>
      </c>
      <c r="DN673">
        <v>0</v>
      </c>
      <c r="DO673">
        <v>0</v>
      </c>
      <c r="DP673">
        <v>1</v>
      </c>
      <c r="DQ673">
        <v>1</v>
      </c>
      <c r="DU673">
        <v>1005</v>
      </c>
      <c r="DV673" t="s">
        <v>28</v>
      </c>
      <c r="DW673" t="s">
        <v>28</v>
      </c>
      <c r="DX673">
        <v>100</v>
      </c>
      <c r="EE673">
        <v>67874524</v>
      </c>
      <c r="EF673">
        <v>1</v>
      </c>
      <c r="EG673" t="s">
        <v>20</v>
      </c>
      <c r="EH673">
        <v>0</v>
      </c>
      <c r="EI673" t="s">
        <v>3</v>
      </c>
      <c r="EJ673">
        <v>4</v>
      </c>
      <c r="EK673">
        <v>0</v>
      </c>
      <c r="EL673" t="s">
        <v>21</v>
      </c>
      <c r="EM673" t="s">
        <v>22</v>
      </c>
      <c r="EO673" t="s">
        <v>3</v>
      </c>
      <c r="EQ673">
        <v>131072</v>
      </c>
      <c r="ER673">
        <v>17064.43</v>
      </c>
      <c r="ES673">
        <v>11305.05</v>
      </c>
      <c r="ET673">
        <v>60.76</v>
      </c>
      <c r="EU673">
        <v>22.23</v>
      </c>
      <c r="EV673">
        <v>5698.62</v>
      </c>
      <c r="EW673">
        <v>30.8</v>
      </c>
      <c r="EX673">
        <v>0</v>
      </c>
      <c r="EY673">
        <v>0</v>
      </c>
      <c r="FQ673">
        <v>0</v>
      </c>
      <c r="FR673">
        <f>ROUND(IF(AND(BH673=3,BI673=3),P673,0),2)</f>
        <v>0</v>
      </c>
      <c r="FS673">
        <v>0</v>
      </c>
      <c r="FX673">
        <v>70</v>
      </c>
      <c r="FY673">
        <v>10</v>
      </c>
      <c r="GA673" t="s">
        <v>3</v>
      </c>
      <c r="GD673">
        <v>0</v>
      </c>
      <c r="GF673">
        <v>92011487</v>
      </c>
      <c r="GG673">
        <v>2</v>
      </c>
      <c r="GH673">
        <v>1</v>
      </c>
      <c r="GI673">
        <v>-2</v>
      </c>
      <c r="GJ673">
        <v>0</v>
      </c>
      <c r="GK673">
        <f>ROUND(R673*(R12)/100,2)</f>
        <v>8.82</v>
      </c>
      <c r="GL673">
        <f>ROUND(IF(AND(BH673=3,BI673=3,FS673&lt;&gt;0),P673,0),2)</f>
        <v>0</v>
      </c>
      <c r="GM673">
        <f>ROUND(O673+X673+Y673+GK673,2)+GX673</f>
        <v>7955.39</v>
      </c>
      <c r="GN673">
        <f>IF(OR(BI673=0,BI673=1),ROUND(O673+X673+Y673+GK673,2),0)</f>
        <v>0</v>
      </c>
      <c r="GO673">
        <f>IF(BI673=2,ROUND(O673+X673+Y673+GK673,2),0)</f>
        <v>0</v>
      </c>
      <c r="GP673">
        <f>IF(BI673=4,ROUND(O673+X673+Y673+GK673,2)+GX673,0)</f>
        <v>7955.39</v>
      </c>
      <c r="GR673">
        <v>0</v>
      </c>
      <c r="GS673">
        <v>3</v>
      </c>
      <c r="GT673">
        <v>0</v>
      </c>
      <c r="GU673" t="s">
        <v>3</v>
      </c>
      <c r="GV673">
        <f>ROUND((GT673),6)</f>
        <v>0</v>
      </c>
      <c r="GW673">
        <v>1</v>
      </c>
      <c r="GX673">
        <f>ROUND(HC673*I673,2)</f>
        <v>0</v>
      </c>
      <c r="HA673">
        <v>0</v>
      </c>
      <c r="HB673">
        <v>0</v>
      </c>
      <c r="HC673">
        <f>GV673*GW673</f>
        <v>0</v>
      </c>
      <c r="IK673">
        <v>0</v>
      </c>
    </row>
    <row r="674" spans="1:245" x14ac:dyDescent="0.2">
      <c r="A674">
        <v>17</v>
      </c>
      <c r="B674">
        <v>1</v>
      </c>
      <c r="D674">
        <f>ROW(EtalonRes!A534)</f>
        <v>534</v>
      </c>
      <c r="E674" t="s">
        <v>109</v>
      </c>
      <c r="F674" t="s">
        <v>547</v>
      </c>
      <c r="G674" t="s">
        <v>548</v>
      </c>
      <c r="H674" t="s">
        <v>28</v>
      </c>
      <c r="I674">
        <f>ROUND(F738*0.25/100,9)</f>
        <v>0.1225</v>
      </c>
      <c r="J674">
        <v>0</v>
      </c>
      <c r="O674">
        <f>ROUND(CP674,2)</f>
        <v>2427.46</v>
      </c>
      <c r="P674">
        <f>ROUND(CQ674*I674,2)</f>
        <v>1384.87</v>
      </c>
      <c r="Q674">
        <f>ROUND(CR674*I674,2)</f>
        <v>0</v>
      </c>
      <c r="R674">
        <f>ROUND(CS674*I674,2)</f>
        <v>0</v>
      </c>
      <c r="S674">
        <f>ROUND(CT674*I674,2)</f>
        <v>1042.5899999999999</v>
      </c>
      <c r="T674">
        <f>ROUND(CU674*I674,2)</f>
        <v>0</v>
      </c>
      <c r="U674">
        <f>CV674*I674</f>
        <v>5.6349999999999998</v>
      </c>
      <c r="V674">
        <f>CW674*I674</f>
        <v>0</v>
      </c>
      <c r="W674">
        <f>ROUND(CX674*I674,2)</f>
        <v>0</v>
      </c>
      <c r="X674">
        <f t="shared" si="476"/>
        <v>729.81</v>
      </c>
      <c r="Y674">
        <f t="shared" si="476"/>
        <v>104.26</v>
      </c>
      <c r="AA674">
        <v>71209905</v>
      </c>
      <c r="AB674">
        <f>ROUND((AC674+AD674+AF674),6)</f>
        <v>19815.97</v>
      </c>
      <c r="AC674">
        <f>ROUND((ES674),6)</f>
        <v>11305.05</v>
      </c>
      <c r="AD674">
        <f>ROUND((((ET674)-(EU674))+AE674),6)</f>
        <v>0</v>
      </c>
      <c r="AE674">
        <f t="shared" si="477"/>
        <v>0</v>
      </c>
      <c r="AF674">
        <f t="shared" si="477"/>
        <v>8510.92</v>
      </c>
      <c r="AG674">
        <f>ROUND((AP674),6)</f>
        <v>0</v>
      </c>
      <c r="AH674">
        <f t="shared" si="478"/>
        <v>46</v>
      </c>
      <c r="AI674">
        <f t="shared" si="478"/>
        <v>0</v>
      </c>
      <c r="AJ674">
        <f>(AS674)</f>
        <v>0</v>
      </c>
      <c r="AK674">
        <v>19815.97</v>
      </c>
      <c r="AL674">
        <v>11305.05</v>
      </c>
      <c r="AM674">
        <v>0</v>
      </c>
      <c r="AN674">
        <v>0</v>
      </c>
      <c r="AO674">
        <v>8510.92</v>
      </c>
      <c r="AP674">
        <v>0</v>
      </c>
      <c r="AQ674">
        <v>46</v>
      </c>
      <c r="AR674">
        <v>0</v>
      </c>
      <c r="AS674">
        <v>0</v>
      </c>
      <c r="AT674">
        <v>70</v>
      </c>
      <c r="AU674">
        <v>10</v>
      </c>
      <c r="AV674">
        <v>1</v>
      </c>
      <c r="AW674">
        <v>1</v>
      </c>
      <c r="AZ674">
        <v>1</v>
      </c>
      <c r="BA674">
        <v>1</v>
      </c>
      <c r="BB674">
        <v>1</v>
      </c>
      <c r="BC674">
        <v>1</v>
      </c>
      <c r="BD674" t="s">
        <v>3</v>
      </c>
      <c r="BE674" t="s">
        <v>3</v>
      </c>
      <c r="BF674" t="s">
        <v>3</v>
      </c>
      <c r="BG674" t="s">
        <v>3</v>
      </c>
      <c r="BH674">
        <v>0</v>
      </c>
      <c r="BI674">
        <v>4</v>
      </c>
      <c r="BJ674" t="s">
        <v>549</v>
      </c>
      <c r="BM674">
        <v>0</v>
      </c>
      <c r="BN674">
        <v>0</v>
      </c>
      <c r="BO674" t="s">
        <v>3</v>
      </c>
      <c r="BP674">
        <v>0</v>
      </c>
      <c r="BQ674">
        <v>1</v>
      </c>
      <c r="BR674">
        <v>0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 t="s">
        <v>3</v>
      </c>
      <c r="BZ674">
        <v>70</v>
      </c>
      <c r="CA674">
        <v>10</v>
      </c>
      <c r="CE674">
        <v>0</v>
      </c>
      <c r="CF674">
        <v>0</v>
      </c>
      <c r="CG674">
        <v>0</v>
      </c>
      <c r="CM674">
        <v>0</v>
      </c>
      <c r="CN674" t="s">
        <v>3</v>
      </c>
      <c r="CO674">
        <v>0</v>
      </c>
      <c r="CP674">
        <f>(P674+Q674+S674)</f>
        <v>2427.46</v>
      </c>
      <c r="CQ674">
        <f>(AC674*BC674*AW674)</f>
        <v>11305.05</v>
      </c>
      <c r="CR674">
        <f>((((ET674)*BB674-(EU674)*BS674)+AE674*BS674)*AV674)</f>
        <v>0</v>
      </c>
      <c r="CS674">
        <f>(AE674*BS674*AV674)</f>
        <v>0</v>
      </c>
      <c r="CT674">
        <f>(AF674*BA674*AV674)</f>
        <v>8510.92</v>
      </c>
      <c r="CU674">
        <f>AG674</f>
        <v>0</v>
      </c>
      <c r="CV674">
        <f>(AH674*AV674)</f>
        <v>46</v>
      </c>
      <c r="CW674">
        <f t="shared" si="479"/>
        <v>0</v>
      </c>
      <c r="CX674">
        <f t="shared" si="479"/>
        <v>0</v>
      </c>
      <c r="CY674">
        <f>((S674*BZ674)/100)</f>
        <v>729.81299999999987</v>
      </c>
      <c r="CZ674">
        <f>((S674*CA674)/100)</f>
        <v>104.259</v>
      </c>
      <c r="DC674" t="s">
        <v>3</v>
      </c>
      <c r="DD674" t="s">
        <v>3</v>
      </c>
      <c r="DE674" t="s">
        <v>3</v>
      </c>
      <c r="DF674" t="s">
        <v>3</v>
      </c>
      <c r="DG674" t="s">
        <v>3</v>
      </c>
      <c r="DH674" t="s">
        <v>3</v>
      </c>
      <c r="DI674" t="s">
        <v>3</v>
      </c>
      <c r="DJ674" t="s">
        <v>3</v>
      </c>
      <c r="DK674" t="s">
        <v>3</v>
      </c>
      <c r="DL674" t="s">
        <v>3</v>
      </c>
      <c r="DM674" t="s">
        <v>3</v>
      </c>
      <c r="DN674">
        <v>0</v>
      </c>
      <c r="DO674">
        <v>0</v>
      </c>
      <c r="DP674">
        <v>1</v>
      </c>
      <c r="DQ674">
        <v>1</v>
      </c>
      <c r="DU674">
        <v>1005</v>
      </c>
      <c r="DV674" t="s">
        <v>28</v>
      </c>
      <c r="DW674" t="s">
        <v>28</v>
      </c>
      <c r="DX674">
        <v>100</v>
      </c>
      <c r="EE674">
        <v>67874524</v>
      </c>
      <c r="EF674">
        <v>1</v>
      </c>
      <c r="EG674" t="s">
        <v>20</v>
      </c>
      <c r="EH674">
        <v>0</v>
      </c>
      <c r="EI674" t="s">
        <v>3</v>
      </c>
      <c r="EJ674">
        <v>4</v>
      </c>
      <c r="EK674">
        <v>0</v>
      </c>
      <c r="EL674" t="s">
        <v>21</v>
      </c>
      <c r="EM674" t="s">
        <v>22</v>
      </c>
      <c r="EO674" t="s">
        <v>3</v>
      </c>
      <c r="EQ674">
        <v>131072</v>
      </c>
      <c r="ER674">
        <v>19815.97</v>
      </c>
      <c r="ES674">
        <v>11305.05</v>
      </c>
      <c r="ET674">
        <v>0</v>
      </c>
      <c r="EU674">
        <v>0</v>
      </c>
      <c r="EV674">
        <v>8510.92</v>
      </c>
      <c r="EW674">
        <v>46</v>
      </c>
      <c r="EX674">
        <v>0</v>
      </c>
      <c r="EY674">
        <v>0</v>
      </c>
      <c r="FQ674">
        <v>0</v>
      </c>
      <c r="FR674">
        <f>ROUND(IF(AND(BH674=3,BI674=3),P674,0),2)</f>
        <v>0</v>
      </c>
      <c r="FS674">
        <v>0</v>
      </c>
      <c r="FX674">
        <v>70</v>
      </c>
      <c r="FY674">
        <v>10</v>
      </c>
      <c r="GA674" t="s">
        <v>3</v>
      </c>
      <c r="GD674">
        <v>0</v>
      </c>
      <c r="GF674">
        <v>14238252</v>
      </c>
      <c r="GG674">
        <v>2</v>
      </c>
      <c r="GH674">
        <v>1</v>
      </c>
      <c r="GI674">
        <v>-2</v>
      </c>
      <c r="GJ674">
        <v>0</v>
      </c>
      <c r="GK674">
        <f>ROUND(R674*(R12)/100,2)</f>
        <v>0</v>
      </c>
      <c r="GL674">
        <f>ROUND(IF(AND(BH674=3,BI674=3,FS674&lt;&gt;0),P674,0),2)</f>
        <v>0</v>
      </c>
      <c r="GM674">
        <f>ROUND(O674+X674+Y674+GK674,2)+GX674</f>
        <v>3261.53</v>
      </c>
      <c r="GN674">
        <f>IF(OR(BI674=0,BI674=1),ROUND(O674+X674+Y674+GK674,2),0)</f>
        <v>0</v>
      </c>
      <c r="GO674">
        <f>IF(BI674=2,ROUND(O674+X674+Y674+GK674,2),0)</f>
        <v>0</v>
      </c>
      <c r="GP674">
        <f>IF(BI674=4,ROUND(O674+X674+Y674+GK674,2)+GX674,0)</f>
        <v>3261.53</v>
      </c>
      <c r="GR674">
        <v>0</v>
      </c>
      <c r="GS674">
        <v>3</v>
      </c>
      <c r="GT674">
        <v>0</v>
      </c>
      <c r="GU674" t="s">
        <v>3</v>
      </c>
      <c r="GV674">
        <f>ROUND((GT674),6)</f>
        <v>0</v>
      </c>
      <c r="GW674">
        <v>1</v>
      </c>
      <c r="GX674">
        <f>ROUND(HC674*I674,2)</f>
        <v>0</v>
      </c>
      <c r="HA674">
        <v>0</v>
      </c>
      <c r="HB674">
        <v>0</v>
      </c>
      <c r="HC674">
        <f>GV674*GW674</f>
        <v>0</v>
      </c>
      <c r="IK674">
        <v>0</v>
      </c>
    </row>
    <row r="675" spans="1:245" x14ac:dyDescent="0.2">
      <c r="A675">
        <v>17</v>
      </c>
      <c r="B675">
        <v>1</v>
      </c>
      <c r="D675">
        <f>ROW(EtalonRes!A536)</f>
        <v>536</v>
      </c>
      <c r="E675" t="s">
        <v>111</v>
      </c>
      <c r="F675" t="s">
        <v>550</v>
      </c>
      <c r="G675" t="s">
        <v>551</v>
      </c>
      <c r="H675" t="s">
        <v>28</v>
      </c>
      <c r="I675">
        <f>ROUND(-F738/100,9)</f>
        <v>-0.49</v>
      </c>
      <c r="J675">
        <v>0</v>
      </c>
      <c r="O675">
        <f>ROUND(CP675,2)</f>
        <v>-2416.7399999999998</v>
      </c>
      <c r="P675">
        <f>ROUND(CQ675*I675,2)</f>
        <v>-1846.49</v>
      </c>
      <c r="Q675">
        <f>ROUND(CR675*I675,2)</f>
        <v>0</v>
      </c>
      <c r="R675">
        <f>ROUND(CS675*I675,2)</f>
        <v>0</v>
      </c>
      <c r="S675">
        <f>ROUND(CT675*I675,2)</f>
        <v>-570.25</v>
      </c>
      <c r="T675">
        <f>ROUND(CU675*I675,2)</f>
        <v>0</v>
      </c>
      <c r="U675">
        <f>CV675*I675</f>
        <v>-3.0821000000000001</v>
      </c>
      <c r="V675">
        <f>CW675*I675</f>
        <v>0</v>
      </c>
      <c r="W675">
        <f>ROUND(CX675*I675,2)</f>
        <v>0</v>
      </c>
      <c r="X675">
        <f t="shared" si="476"/>
        <v>-399.18</v>
      </c>
      <c r="Y675">
        <f t="shared" si="476"/>
        <v>-57.03</v>
      </c>
      <c r="AA675">
        <v>71209905</v>
      </c>
      <c r="AB675">
        <f>ROUND((AC675+AD675+AF675),6)</f>
        <v>4932.13</v>
      </c>
      <c r="AC675">
        <f>ROUND((ES675),6)</f>
        <v>3768.35</v>
      </c>
      <c r="AD675">
        <f>ROUND((((ET675)-(EU675))+AE675),6)</f>
        <v>0</v>
      </c>
      <c r="AE675">
        <f t="shared" si="477"/>
        <v>0</v>
      </c>
      <c r="AF675">
        <f t="shared" si="477"/>
        <v>1163.78</v>
      </c>
      <c r="AG675">
        <f>ROUND((AP675),6)</f>
        <v>0</v>
      </c>
      <c r="AH675">
        <f t="shared" si="478"/>
        <v>6.29</v>
      </c>
      <c r="AI675">
        <f t="shared" si="478"/>
        <v>0</v>
      </c>
      <c r="AJ675">
        <f>(AS675)</f>
        <v>0</v>
      </c>
      <c r="AK675">
        <v>4932.13</v>
      </c>
      <c r="AL675">
        <v>3768.35</v>
      </c>
      <c r="AM675">
        <v>0</v>
      </c>
      <c r="AN675">
        <v>0</v>
      </c>
      <c r="AO675">
        <v>1163.78</v>
      </c>
      <c r="AP675">
        <v>0</v>
      </c>
      <c r="AQ675">
        <v>6.29</v>
      </c>
      <c r="AR675">
        <v>0</v>
      </c>
      <c r="AS675">
        <v>0</v>
      </c>
      <c r="AT675">
        <v>70</v>
      </c>
      <c r="AU675">
        <v>10</v>
      </c>
      <c r="AV675">
        <v>1</v>
      </c>
      <c r="AW675">
        <v>1</v>
      </c>
      <c r="AZ675">
        <v>1</v>
      </c>
      <c r="BA675">
        <v>1</v>
      </c>
      <c r="BB675">
        <v>1</v>
      </c>
      <c r="BC675">
        <v>1</v>
      </c>
      <c r="BD675" t="s">
        <v>3</v>
      </c>
      <c r="BE675" t="s">
        <v>3</v>
      </c>
      <c r="BF675" t="s">
        <v>3</v>
      </c>
      <c r="BG675" t="s">
        <v>3</v>
      </c>
      <c r="BH675">
        <v>0</v>
      </c>
      <c r="BI675">
        <v>4</v>
      </c>
      <c r="BJ675" t="s">
        <v>552</v>
      </c>
      <c r="BM675">
        <v>0</v>
      </c>
      <c r="BN675">
        <v>0</v>
      </c>
      <c r="BO675" t="s">
        <v>3</v>
      </c>
      <c r="BP675">
        <v>0</v>
      </c>
      <c r="BQ675">
        <v>1</v>
      </c>
      <c r="BR675">
        <v>0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1</v>
      </c>
      <c r="BY675" t="s">
        <v>3</v>
      </c>
      <c r="BZ675">
        <v>70</v>
      </c>
      <c r="CA675">
        <v>10</v>
      </c>
      <c r="CE675">
        <v>0</v>
      </c>
      <c r="CF675">
        <v>0</v>
      </c>
      <c r="CG675">
        <v>0</v>
      </c>
      <c r="CM675">
        <v>0</v>
      </c>
      <c r="CN675" t="s">
        <v>3</v>
      </c>
      <c r="CO675">
        <v>0</v>
      </c>
      <c r="CP675">
        <f>(P675+Q675+S675)</f>
        <v>-2416.7399999999998</v>
      </c>
      <c r="CQ675">
        <f>(AC675*BC675*AW675)</f>
        <v>3768.35</v>
      </c>
      <c r="CR675">
        <f>((((ET675)*BB675-(EU675)*BS675)+AE675*BS675)*AV675)</f>
        <v>0</v>
      </c>
      <c r="CS675">
        <f>(AE675*BS675*AV675)</f>
        <v>0</v>
      </c>
      <c r="CT675">
        <f>(AF675*BA675*AV675)</f>
        <v>1163.78</v>
      </c>
      <c r="CU675">
        <f>AG675</f>
        <v>0</v>
      </c>
      <c r="CV675">
        <f>(AH675*AV675)</f>
        <v>6.29</v>
      </c>
      <c r="CW675">
        <f t="shared" si="479"/>
        <v>0</v>
      </c>
      <c r="CX675">
        <f t="shared" si="479"/>
        <v>0</v>
      </c>
      <c r="CY675">
        <f>((S675*BZ675)/100)</f>
        <v>-399.17500000000001</v>
      </c>
      <c r="CZ675">
        <f>((S675*CA675)/100)</f>
        <v>-57.024999999999999</v>
      </c>
      <c r="DC675" t="s">
        <v>3</v>
      </c>
      <c r="DD675" t="s">
        <v>3</v>
      </c>
      <c r="DE675" t="s">
        <v>3</v>
      </c>
      <c r="DF675" t="s">
        <v>3</v>
      </c>
      <c r="DG675" t="s">
        <v>3</v>
      </c>
      <c r="DH675" t="s">
        <v>3</v>
      </c>
      <c r="DI675" t="s">
        <v>3</v>
      </c>
      <c r="DJ675" t="s">
        <v>3</v>
      </c>
      <c r="DK675" t="s">
        <v>3</v>
      </c>
      <c r="DL675" t="s">
        <v>3</v>
      </c>
      <c r="DM675" t="s">
        <v>3</v>
      </c>
      <c r="DN675">
        <v>0</v>
      </c>
      <c r="DO675">
        <v>0</v>
      </c>
      <c r="DP675">
        <v>1</v>
      </c>
      <c r="DQ675">
        <v>1</v>
      </c>
      <c r="DU675">
        <v>1005</v>
      </c>
      <c r="DV675" t="s">
        <v>28</v>
      </c>
      <c r="DW675" t="s">
        <v>28</v>
      </c>
      <c r="DX675">
        <v>100</v>
      </c>
      <c r="EE675">
        <v>67874524</v>
      </c>
      <c r="EF675">
        <v>1</v>
      </c>
      <c r="EG675" t="s">
        <v>20</v>
      </c>
      <c r="EH675">
        <v>0</v>
      </c>
      <c r="EI675" t="s">
        <v>3</v>
      </c>
      <c r="EJ675">
        <v>4</v>
      </c>
      <c r="EK675">
        <v>0</v>
      </c>
      <c r="EL675" t="s">
        <v>21</v>
      </c>
      <c r="EM675" t="s">
        <v>22</v>
      </c>
      <c r="EO675" t="s">
        <v>3</v>
      </c>
      <c r="EQ675">
        <v>131072</v>
      </c>
      <c r="ER675">
        <v>4932.13</v>
      </c>
      <c r="ES675">
        <v>3768.35</v>
      </c>
      <c r="ET675">
        <v>0</v>
      </c>
      <c r="EU675">
        <v>0</v>
      </c>
      <c r="EV675">
        <v>1163.78</v>
      </c>
      <c r="EW675">
        <v>6.29</v>
      </c>
      <c r="EX675">
        <v>0</v>
      </c>
      <c r="EY675">
        <v>0</v>
      </c>
      <c r="FQ675">
        <v>0</v>
      </c>
      <c r="FR675">
        <f>ROUND(IF(AND(BH675=3,BI675=3),P675,0),2)</f>
        <v>0</v>
      </c>
      <c r="FS675">
        <v>0</v>
      </c>
      <c r="FX675">
        <v>70</v>
      </c>
      <c r="FY675">
        <v>10</v>
      </c>
      <c r="GA675" t="s">
        <v>3</v>
      </c>
      <c r="GD675">
        <v>0</v>
      </c>
      <c r="GF675">
        <v>-1781441154</v>
      </c>
      <c r="GG675">
        <v>2</v>
      </c>
      <c r="GH675">
        <v>1</v>
      </c>
      <c r="GI675">
        <v>-2</v>
      </c>
      <c r="GJ675">
        <v>0</v>
      </c>
      <c r="GK675">
        <f>ROUND(R675*(R12)/100,2)</f>
        <v>0</v>
      </c>
      <c r="GL675">
        <f>ROUND(IF(AND(BH675=3,BI675=3,FS675&lt;&gt;0),P675,0),2)</f>
        <v>0</v>
      </c>
      <c r="GM675">
        <f>ROUND(O675+X675+Y675+GK675,2)+GX675</f>
        <v>-2872.95</v>
      </c>
      <c r="GN675">
        <f>IF(OR(BI675=0,BI675=1),ROUND(O675+X675+Y675+GK675,2),0)</f>
        <v>0</v>
      </c>
      <c r="GO675">
        <f>IF(BI675=2,ROUND(O675+X675+Y675+GK675,2),0)</f>
        <v>0</v>
      </c>
      <c r="GP675">
        <f>IF(BI675=4,ROUND(O675+X675+Y675+GK675,2)+GX675,0)</f>
        <v>-2872.95</v>
      </c>
      <c r="GR675">
        <v>0</v>
      </c>
      <c r="GS675">
        <v>3</v>
      </c>
      <c r="GT675">
        <v>0</v>
      </c>
      <c r="GU675" t="s">
        <v>3</v>
      </c>
      <c r="GV675">
        <f>ROUND((GT675),6)</f>
        <v>0</v>
      </c>
      <c r="GW675">
        <v>1</v>
      </c>
      <c r="GX675">
        <f>ROUND(HC675*I675,2)</f>
        <v>0</v>
      </c>
      <c r="HA675">
        <v>0</v>
      </c>
      <c r="HB675">
        <v>0</v>
      </c>
      <c r="HC675">
        <f>GV675*GW675</f>
        <v>0</v>
      </c>
      <c r="IK675">
        <v>0</v>
      </c>
    </row>
    <row r="676" spans="1:245" x14ac:dyDescent="0.2">
      <c r="A676">
        <v>17</v>
      </c>
      <c r="B676">
        <v>1</v>
      </c>
      <c r="D676">
        <f>ROW(EtalonRes!A539)</f>
        <v>539</v>
      </c>
      <c r="E676" t="s">
        <v>115</v>
      </c>
      <c r="F676" t="s">
        <v>553</v>
      </c>
      <c r="G676" t="s">
        <v>554</v>
      </c>
      <c r="H676" t="s">
        <v>28</v>
      </c>
      <c r="I676">
        <f>ROUND(F738/100,9)</f>
        <v>0.49</v>
      </c>
      <c r="J676">
        <v>0</v>
      </c>
      <c r="O676">
        <f>ROUND(CP676,2)</f>
        <v>1365.09</v>
      </c>
      <c r="P676">
        <f>ROUND(CQ676*I676,2)</f>
        <v>766.78</v>
      </c>
      <c r="Q676">
        <f>ROUND(CR676*I676,2)</f>
        <v>0</v>
      </c>
      <c r="R676">
        <f>ROUND(CS676*I676,2)</f>
        <v>0</v>
      </c>
      <c r="S676">
        <f>ROUND(CT676*I676,2)</f>
        <v>598.30999999999995</v>
      </c>
      <c r="T676">
        <f>ROUND(CU676*I676,2)</f>
        <v>0</v>
      </c>
      <c r="U676">
        <f>CV676*I676</f>
        <v>2.9596</v>
      </c>
      <c r="V676">
        <f>CW676*I676</f>
        <v>0</v>
      </c>
      <c r="W676">
        <f>ROUND(CX676*I676,2)</f>
        <v>0</v>
      </c>
      <c r="X676">
        <f t="shared" si="476"/>
        <v>418.82</v>
      </c>
      <c r="Y676">
        <f t="shared" si="476"/>
        <v>59.83</v>
      </c>
      <c r="AA676">
        <v>71209905</v>
      </c>
      <c r="AB676">
        <f>ROUND((AC676+AD676+AF676),6)</f>
        <v>2785.91</v>
      </c>
      <c r="AC676">
        <f>ROUND((ES676),6)</f>
        <v>1564.86</v>
      </c>
      <c r="AD676">
        <f>ROUND((((ET676)-(EU676))+AE676),6)</f>
        <v>0</v>
      </c>
      <c r="AE676">
        <f t="shared" si="477"/>
        <v>0</v>
      </c>
      <c r="AF676">
        <f t="shared" si="477"/>
        <v>1221.05</v>
      </c>
      <c r="AG676">
        <f>ROUND((AP676),6)</f>
        <v>0</v>
      </c>
      <c r="AH676">
        <f t="shared" si="478"/>
        <v>6.04</v>
      </c>
      <c r="AI676">
        <f t="shared" si="478"/>
        <v>0</v>
      </c>
      <c r="AJ676">
        <f>(AS676)</f>
        <v>0</v>
      </c>
      <c r="AK676">
        <v>2785.91</v>
      </c>
      <c r="AL676">
        <v>1564.86</v>
      </c>
      <c r="AM676">
        <v>0</v>
      </c>
      <c r="AN676">
        <v>0</v>
      </c>
      <c r="AO676">
        <v>1221.05</v>
      </c>
      <c r="AP676">
        <v>0</v>
      </c>
      <c r="AQ676">
        <v>6.04</v>
      </c>
      <c r="AR676">
        <v>0</v>
      </c>
      <c r="AS676">
        <v>0</v>
      </c>
      <c r="AT676">
        <v>70</v>
      </c>
      <c r="AU676">
        <v>10</v>
      </c>
      <c r="AV676">
        <v>1</v>
      </c>
      <c r="AW676">
        <v>1</v>
      </c>
      <c r="AZ676">
        <v>1</v>
      </c>
      <c r="BA676">
        <v>1</v>
      </c>
      <c r="BB676">
        <v>1</v>
      </c>
      <c r="BC676">
        <v>1</v>
      </c>
      <c r="BD676" t="s">
        <v>3</v>
      </c>
      <c r="BE676" t="s">
        <v>3</v>
      </c>
      <c r="BF676" t="s">
        <v>3</v>
      </c>
      <c r="BG676" t="s">
        <v>3</v>
      </c>
      <c r="BH676">
        <v>0</v>
      </c>
      <c r="BI676">
        <v>4</v>
      </c>
      <c r="BJ676" t="s">
        <v>555</v>
      </c>
      <c r="BM676">
        <v>0</v>
      </c>
      <c r="BN676">
        <v>0</v>
      </c>
      <c r="BO676" t="s">
        <v>3</v>
      </c>
      <c r="BP676">
        <v>0</v>
      </c>
      <c r="BQ676">
        <v>1</v>
      </c>
      <c r="BR676">
        <v>0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 t="s">
        <v>3</v>
      </c>
      <c r="BZ676">
        <v>70</v>
      </c>
      <c r="CA676">
        <v>10</v>
      </c>
      <c r="CE676">
        <v>0</v>
      </c>
      <c r="CF676">
        <v>0</v>
      </c>
      <c r="CG676">
        <v>0</v>
      </c>
      <c r="CM676">
        <v>0</v>
      </c>
      <c r="CN676" t="s">
        <v>3</v>
      </c>
      <c r="CO676">
        <v>0</v>
      </c>
      <c r="CP676">
        <f>(P676+Q676+S676)</f>
        <v>1365.09</v>
      </c>
      <c r="CQ676">
        <f>(AC676*BC676*AW676)</f>
        <v>1564.86</v>
      </c>
      <c r="CR676">
        <f>((((ET676)*BB676-(EU676)*BS676)+AE676*BS676)*AV676)</f>
        <v>0</v>
      </c>
      <c r="CS676">
        <f>(AE676*BS676*AV676)</f>
        <v>0</v>
      </c>
      <c r="CT676">
        <f>(AF676*BA676*AV676)</f>
        <v>1221.05</v>
      </c>
      <c r="CU676">
        <f>AG676</f>
        <v>0</v>
      </c>
      <c r="CV676">
        <f>(AH676*AV676)</f>
        <v>6.04</v>
      </c>
      <c r="CW676">
        <f t="shared" si="479"/>
        <v>0</v>
      </c>
      <c r="CX676">
        <f t="shared" si="479"/>
        <v>0</v>
      </c>
      <c r="CY676">
        <f>((S676*BZ676)/100)</f>
        <v>418.81699999999995</v>
      </c>
      <c r="CZ676">
        <f>((S676*CA676)/100)</f>
        <v>59.830999999999996</v>
      </c>
      <c r="DC676" t="s">
        <v>3</v>
      </c>
      <c r="DD676" t="s">
        <v>3</v>
      </c>
      <c r="DE676" t="s">
        <v>3</v>
      </c>
      <c r="DF676" t="s">
        <v>3</v>
      </c>
      <c r="DG676" t="s">
        <v>3</v>
      </c>
      <c r="DH676" t="s">
        <v>3</v>
      </c>
      <c r="DI676" t="s">
        <v>3</v>
      </c>
      <c r="DJ676" t="s">
        <v>3</v>
      </c>
      <c r="DK676" t="s">
        <v>3</v>
      </c>
      <c r="DL676" t="s">
        <v>3</v>
      </c>
      <c r="DM676" t="s">
        <v>3</v>
      </c>
      <c r="DN676">
        <v>0</v>
      </c>
      <c r="DO676">
        <v>0</v>
      </c>
      <c r="DP676">
        <v>1</v>
      </c>
      <c r="DQ676">
        <v>1</v>
      </c>
      <c r="DU676">
        <v>1005</v>
      </c>
      <c r="DV676" t="s">
        <v>28</v>
      </c>
      <c r="DW676" t="s">
        <v>28</v>
      </c>
      <c r="DX676">
        <v>100</v>
      </c>
      <c r="EE676">
        <v>67874524</v>
      </c>
      <c r="EF676">
        <v>1</v>
      </c>
      <c r="EG676" t="s">
        <v>20</v>
      </c>
      <c r="EH676">
        <v>0</v>
      </c>
      <c r="EI676" t="s">
        <v>3</v>
      </c>
      <c r="EJ676">
        <v>4</v>
      </c>
      <c r="EK676">
        <v>0</v>
      </c>
      <c r="EL676" t="s">
        <v>21</v>
      </c>
      <c r="EM676" t="s">
        <v>22</v>
      </c>
      <c r="EO676" t="s">
        <v>3</v>
      </c>
      <c r="EQ676">
        <v>131072</v>
      </c>
      <c r="ER676">
        <v>2785.91</v>
      </c>
      <c r="ES676">
        <v>1564.86</v>
      </c>
      <c r="ET676">
        <v>0</v>
      </c>
      <c r="EU676">
        <v>0</v>
      </c>
      <c r="EV676">
        <v>1221.05</v>
      </c>
      <c r="EW676">
        <v>6.04</v>
      </c>
      <c r="EX676">
        <v>0</v>
      </c>
      <c r="EY676">
        <v>0</v>
      </c>
      <c r="FQ676">
        <v>0</v>
      </c>
      <c r="FR676">
        <f>ROUND(IF(AND(BH676=3,BI676=3),P676,0),2)</f>
        <v>0</v>
      </c>
      <c r="FS676">
        <v>0</v>
      </c>
      <c r="FX676">
        <v>70</v>
      </c>
      <c r="FY676">
        <v>10</v>
      </c>
      <c r="GA676" t="s">
        <v>3</v>
      </c>
      <c r="GD676">
        <v>0</v>
      </c>
      <c r="GF676">
        <v>2120516223</v>
      </c>
      <c r="GG676">
        <v>2</v>
      </c>
      <c r="GH676">
        <v>1</v>
      </c>
      <c r="GI676">
        <v>-2</v>
      </c>
      <c r="GJ676">
        <v>0</v>
      </c>
      <c r="GK676">
        <f>ROUND(R676*(R12)/100,2)</f>
        <v>0</v>
      </c>
      <c r="GL676">
        <f>ROUND(IF(AND(BH676=3,BI676=3,FS676&lt;&gt;0),P676,0),2)</f>
        <v>0</v>
      </c>
      <c r="GM676">
        <f>ROUND(O676+X676+Y676+GK676,2)+GX676</f>
        <v>1843.74</v>
      </c>
      <c r="GN676">
        <f>IF(OR(BI676=0,BI676=1),ROUND(O676+X676+Y676+GK676,2),0)</f>
        <v>0</v>
      </c>
      <c r="GO676">
        <f>IF(BI676=2,ROUND(O676+X676+Y676+GK676,2),0)</f>
        <v>0</v>
      </c>
      <c r="GP676">
        <f>IF(BI676=4,ROUND(O676+X676+Y676+GK676,2)+GX676,0)</f>
        <v>1843.74</v>
      </c>
      <c r="GR676">
        <v>0</v>
      </c>
      <c r="GS676">
        <v>3</v>
      </c>
      <c r="GT676">
        <v>0</v>
      </c>
      <c r="GU676" t="s">
        <v>3</v>
      </c>
      <c r="GV676">
        <f>ROUND((GT676),6)</f>
        <v>0</v>
      </c>
      <c r="GW676">
        <v>1</v>
      </c>
      <c r="GX676">
        <f>ROUND(HC676*I676,2)</f>
        <v>0</v>
      </c>
      <c r="HA676">
        <v>0</v>
      </c>
      <c r="HB676">
        <v>0</v>
      </c>
      <c r="HC676">
        <f>GV676*GW676</f>
        <v>0</v>
      </c>
      <c r="IK676">
        <v>0</v>
      </c>
    </row>
    <row r="678" spans="1:245" x14ac:dyDescent="0.2">
      <c r="A678">
        <v>51</v>
      </c>
      <c r="B678">
        <f>B669</f>
        <v>1</v>
      </c>
      <c r="C678">
        <f>A669</f>
        <v>4</v>
      </c>
      <c r="D678">
        <f>ROW(A669)</f>
        <v>669</v>
      </c>
      <c r="F678" t="str">
        <f>IF(F669&lt;&gt;"",F669,"")</f>
        <v>Новый раздел</v>
      </c>
      <c r="G678" t="str">
        <f>IF(G669&lt;&gt;"",G669,"")</f>
        <v>Устройство газона</v>
      </c>
      <c r="H678">
        <v>0</v>
      </c>
      <c r="O678">
        <f t="shared" ref="O678:T678" si="480">ROUND(AB678,2)</f>
        <v>7646.99</v>
      </c>
      <c r="P678">
        <f t="shared" si="480"/>
        <v>4459.7700000000004</v>
      </c>
      <c r="Q678">
        <f t="shared" si="480"/>
        <v>22.33</v>
      </c>
      <c r="R678">
        <f t="shared" si="480"/>
        <v>8.17</v>
      </c>
      <c r="S678">
        <f t="shared" si="480"/>
        <v>3164.89</v>
      </c>
      <c r="T678">
        <f t="shared" si="480"/>
        <v>0</v>
      </c>
      <c r="U678">
        <f>AH678</f>
        <v>16.831499999999998</v>
      </c>
      <c r="V678">
        <f>AI678</f>
        <v>0</v>
      </c>
      <c r="W678">
        <f>ROUND(AJ678,2)</f>
        <v>0</v>
      </c>
      <c r="X678">
        <f>ROUND(AK678,2)</f>
        <v>2215.42</v>
      </c>
      <c r="Y678">
        <f>ROUND(AL678,2)</f>
        <v>316.48</v>
      </c>
      <c r="AB678">
        <f>ROUND(SUMIF(AA673:AA676,"=71209905",O673:O676),2)</f>
        <v>7646.99</v>
      </c>
      <c r="AC678">
        <f>ROUND(SUMIF(AA673:AA676,"=71209905",P673:P676),2)</f>
        <v>4459.7700000000004</v>
      </c>
      <c r="AD678">
        <f>ROUND(SUMIF(AA673:AA676,"=71209905",Q673:Q676),2)</f>
        <v>22.33</v>
      </c>
      <c r="AE678">
        <f>ROUND(SUMIF(AA673:AA676,"=71209905",R673:R676),2)</f>
        <v>8.17</v>
      </c>
      <c r="AF678">
        <f>ROUND(SUMIF(AA673:AA676,"=71209905",S673:S676),2)</f>
        <v>3164.89</v>
      </c>
      <c r="AG678">
        <f>ROUND(SUMIF(AA673:AA676,"=71209905",T673:T676),2)</f>
        <v>0</v>
      </c>
      <c r="AH678">
        <f>SUMIF(AA673:AA676,"=71209905",U673:U676)</f>
        <v>16.831499999999998</v>
      </c>
      <c r="AI678">
        <f>SUMIF(AA673:AA676,"=71209905",V673:V676)</f>
        <v>0</v>
      </c>
      <c r="AJ678">
        <f>ROUND(SUMIF(AA673:AA676,"=71209905",W673:W676),2)</f>
        <v>0</v>
      </c>
      <c r="AK678">
        <f>ROUND(SUMIF(AA673:AA676,"=71209905",X673:X676),2)</f>
        <v>2215.42</v>
      </c>
      <c r="AL678">
        <f>ROUND(SUMIF(AA673:AA676,"=71209905",Y673:Y676),2)</f>
        <v>316.48</v>
      </c>
      <c r="AO678">
        <f t="shared" ref="AO678:BD678" si="481">ROUND(BX678,2)</f>
        <v>0</v>
      </c>
      <c r="AP678">
        <f t="shared" si="481"/>
        <v>0</v>
      </c>
      <c r="AQ678">
        <f t="shared" si="481"/>
        <v>0</v>
      </c>
      <c r="AR678">
        <f t="shared" si="481"/>
        <v>10187.709999999999</v>
      </c>
      <c r="AS678">
        <f t="shared" si="481"/>
        <v>0</v>
      </c>
      <c r="AT678">
        <f t="shared" si="481"/>
        <v>0</v>
      </c>
      <c r="AU678">
        <f t="shared" si="481"/>
        <v>10187.709999999999</v>
      </c>
      <c r="AV678">
        <f t="shared" si="481"/>
        <v>4459.7700000000004</v>
      </c>
      <c r="AW678">
        <f t="shared" si="481"/>
        <v>4459.7700000000004</v>
      </c>
      <c r="AX678">
        <f t="shared" si="481"/>
        <v>0</v>
      </c>
      <c r="AY678">
        <f t="shared" si="481"/>
        <v>4459.7700000000004</v>
      </c>
      <c r="AZ678">
        <f t="shared" si="481"/>
        <v>0</v>
      </c>
      <c r="BA678">
        <f t="shared" si="481"/>
        <v>0</v>
      </c>
      <c r="BB678">
        <f t="shared" si="481"/>
        <v>0</v>
      </c>
      <c r="BC678">
        <f t="shared" si="481"/>
        <v>0</v>
      </c>
      <c r="BD678">
        <f t="shared" si="481"/>
        <v>0</v>
      </c>
      <c r="BX678">
        <f>ROUND(SUMIF(AA673:AA676,"=71209905",FQ673:FQ676),2)</f>
        <v>0</v>
      </c>
      <c r="BY678">
        <f>ROUND(SUMIF(AA673:AA676,"=71209905",FR673:FR676),2)</f>
        <v>0</v>
      </c>
      <c r="BZ678">
        <f>ROUND(SUMIF(AA673:AA676,"=71209905",GL673:GL676),2)</f>
        <v>0</v>
      </c>
      <c r="CA678">
        <f>ROUND(SUMIF(AA673:AA676,"=71209905",GM673:GM676),2)</f>
        <v>10187.709999999999</v>
      </c>
      <c r="CB678">
        <f>ROUND(SUMIF(AA673:AA676,"=71209905",GN673:GN676),2)</f>
        <v>0</v>
      </c>
      <c r="CC678">
        <f>ROUND(SUMIF(AA673:AA676,"=71209905",GO673:GO676),2)</f>
        <v>0</v>
      </c>
      <c r="CD678">
        <f>ROUND(SUMIF(AA673:AA676,"=71209905",GP673:GP676),2)</f>
        <v>10187.709999999999</v>
      </c>
      <c r="CE678">
        <f>AC678-BX678</f>
        <v>4459.7700000000004</v>
      </c>
      <c r="CF678">
        <f>AC678-BY678</f>
        <v>4459.7700000000004</v>
      </c>
      <c r="CG678">
        <f>BX678-BZ678</f>
        <v>0</v>
      </c>
      <c r="CH678">
        <f>AC678-BX678-BY678+BZ678</f>
        <v>4459.7700000000004</v>
      </c>
      <c r="CI678">
        <f>BY678-BZ678</f>
        <v>0</v>
      </c>
      <c r="CJ678">
        <f>ROUND(SUMIF(AA673:AA676,"=71209905",GX673:GX676),2)</f>
        <v>0</v>
      </c>
      <c r="CK678">
        <f>ROUND(SUMIF(AA673:AA676,"=71209905",GY673:GY676),2)</f>
        <v>0</v>
      </c>
      <c r="CL678">
        <f>ROUND(SUMIF(AA673:AA676,"=71209905",GZ673:GZ676),2)</f>
        <v>0</v>
      </c>
      <c r="CM678">
        <f>ROUND(SUMIF(AA673:AA676,"=71209905",HD673:HD676),2)</f>
        <v>0</v>
      </c>
      <c r="GX678">
        <v>0</v>
      </c>
    </row>
    <row r="680" spans="1:245" x14ac:dyDescent="0.2">
      <c r="A680">
        <v>50</v>
      </c>
      <c r="B680">
        <v>0</v>
      </c>
      <c r="C680">
        <v>0</v>
      </c>
      <c r="D680">
        <v>1</v>
      </c>
      <c r="E680">
        <v>201</v>
      </c>
      <c r="F680">
        <f>ROUND(Source!O678,O680)</f>
        <v>7646.99</v>
      </c>
      <c r="G680" t="s">
        <v>142</v>
      </c>
      <c r="H680" t="s">
        <v>143</v>
      </c>
      <c r="K680">
        <v>201</v>
      </c>
      <c r="L680">
        <v>1</v>
      </c>
      <c r="M680">
        <v>3</v>
      </c>
      <c r="N680" t="s">
        <v>3</v>
      </c>
      <c r="O680">
        <v>2</v>
      </c>
    </row>
    <row r="681" spans="1:245" x14ac:dyDescent="0.2">
      <c r="A681">
        <v>50</v>
      </c>
      <c r="B681">
        <v>0</v>
      </c>
      <c r="C681">
        <v>0</v>
      </c>
      <c r="D681">
        <v>1</v>
      </c>
      <c r="E681">
        <v>202</v>
      </c>
      <c r="F681">
        <f>ROUND(Source!P678,O681)</f>
        <v>4459.7700000000004</v>
      </c>
      <c r="G681" t="s">
        <v>144</v>
      </c>
      <c r="H681" t="s">
        <v>145</v>
      </c>
      <c r="K681">
        <v>202</v>
      </c>
      <c r="L681">
        <v>2</v>
      </c>
      <c r="M681">
        <v>3</v>
      </c>
      <c r="N681" t="s">
        <v>3</v>
      </c>
      <c r="O681">
        <v>2</v>
      </c>
    </row>
    <row r="682" spans="1:245" x14ac:dyDescent="0.2">
      <c r="A682">
        <v>50</v>
      </c>
      <c r="B682">
        <v>0</v>
      </c>
      <c r="C682">
        <v>0</v>
      </c>
      <c r="D682">
        <v>1</v>
      </c>
      <c r="E682">
        <v>222</v>
      </c>
      <c r="F682">
        <f>ROUND(Source!AO678,O682)</f>
        <v>0</v>
      </c>
      <c r="G682" t="s">
        <v>146</v>
      </c>
      <c r="H682" t="s">
        <v>147</v>
      </c>
      <c r="K682">
        <v>222</v>
      </c>
      <c r="L682">
        <v>3</v>
      </c>
      <c r="M682">
        <v>3</v>
      </c>
      <c r="N682" t="s">
        <v>3</v>
      </c>
      <c r="O682">
        <v>2</v>
      </c>
    </row>
    <row r="683" spans="1:245" x14ac:dyDescent="0.2">
      <c r="A683">
        <v>50</v>
      </c>
      <c r="B683">
        <v>0</v>
      </c>
      <c r="C683">
        <v>0</v>
      </c>
      <c r="D683">
        <v>1</v>
      </c>
      <c r="E683">
        <v>225</v>
      </c>
      <c r="F683">
        <f>ROUND(Source!AV678,O683)</f>
        <v>4459.7700000000004</v>
      </c>
      <c r="G683" t="s">
        <v>148</v>
      </c>
      <c r="H683" t="s">
        <v>149</v>
      </c>
      <c r="K683">
        <v>225</v>
      </c>
      <c r="L683">
        <v>4</v>
      </c>
      <c r="M683">
        <v>3</v>
      </c>
      <c r="N683" t="s">
        <v>3</v>
      </c>
      <c r="O683">
        <v>2</v>
      </c>
    </row>
    <row r="684" spans="1:245" x14ac:dyDescent="0.2">
      <c r="A684">
        <v>50</v>
      </c>
      <c r="B684">
        <v>0</v>
      </c>
      <c r="C684">
        <v>0</v>
      </c>
      <c r="D684">
        <v>1</v>
      </c>
      <c r="E684">
        <v>226</v>
      </c>
      <c r="F684">
        <f>ROUND(Source!AW678,O684)</f>
        <v>4459.7700000000004</v>
      </c>
      <c r="G684" t="s">
        <v>150</v>
      </c>
      <c r="H684" t="s">
        <v>151</v>
      </c>
      <c r="K684">
        <v>226</v>
      </c>
      <c r="L684">
        <v>5</v>
      </c>
      <c r="M684">
        <v>3</v>
      </c>
      <c r="N684" t="s">
        <v>3</v>
      </c>
      <c r="O684">
        <v>2</v>
      </c>
    </row>
    <row r="685" spans="1:245" x14ac:dyDescent="0.2">
      <c r="A685">
        <v>50</v>
      </c>
      <c r="B685">
        <v>0</v>
      </c>
      <c r="C685">
        <v>0</v>
      </c>
      <c r="D685">
        <v>1</v>
      </c>
      <c r="E685">
        <v>227</v>
      </c>
      <c r="F685">
        <f>ROUND(Source!AX678,O685)</f>
        <v>0</v>
      </c>
      <c r="G685" t="s">
        <v>152</v>
      </c>
      <c r="H685" t="s">
        <v>153</v>
      </c>
      <c r="K685">
        <v>227</v>
      </c>
      <c r="L685">
        <v>6</v>
      </c>
      <c r="M685">
        <v>3</v>
      </c>
      <c r="N685" t="s">
        <v>3</v>
      </c>
      <c r="O685">
        <v>2</v>
      </c>
    </row>
    <row r="686" spans="1:245" x14ac:dyDescent="0.2">
      <c r="A686">
        <v>50</v>
      </c>
      <c r="B686">
        <v>0</v>
      </c>
      <c r="C686">
        <v>0</v>
      </c>
      <c r="D686">
        <v>1</v>
      </c>
      <c r="E686">
        <v>228</v>
      </c>
      <c r="F686">
        <f>ROUND(Source!AY678,O686)</f>
        <v>4459.7700000000004</v>
      </c>
      <c r="G686" t="s">
        <v>154</v>
      </c>
      <c r="H686" t="s">
        <v>155</v>
      </c>
      <c r="K686">
        <v>228</v>
      </c>
      <c r="L686">
        <v>7</v>
      </c>
      <c r="M686">
        <v>3</v>
      </c>
      <c r="N686" t="s">
        <v>3</v>
      </c>
      <c r="O686">
        <v>2</v>
      </c>
    </row>
    <row r="687" spans="1:245" x14ac:dyDescent="0.2">
      <c r="A687">
        <v>50</v>
      </c>
      <c r="B687">
        <v>0</v>
      </c>
      <c r="C687">
        <v>0</v>
      </c>
      <c r="D687">
        <v>1</v>
      </c>
      <c r="E687">
        <v>216</v>
      </c>
      <c r="F687">
        <f>ROUND(Source!AP678,O687)</f>
        <v>0</v>
      </c>
      <c r="G687" t="s">
        <v>156</v>
      </c>
      <c r="H687" t="s">
        <v>157</v>
      </c>
      <c r="K687">
        <v>216</v>
      </c>
      <c r="L687">
        <v>8</v>
      </c>
      <c r="M687">
        <v>3</v>
      </c>
      <c r="N687" t="s">
        <v>3</v>
      </c>
      <c r="O687">
        <v>2</v>
      </c>
    </row>
    <row r="688" spans="1:245" x14ac:dyDescent="0.2">
      <c r="A688">
        <v>50</v>
      </c>
      <c r="B688">
        <v>0</v>
      </c>
      <c r="C688">
        <v>0</v>
      </c>
      <c r="D688">
        <v>1</v>
      </c>
      <c r="E688">
        <v>223</v>
      </c>
      <c r="F688">
        <f>ROUND(Source!AQ678,O688)</f>
        <v>0</v>
      </c>
      <c r="G688" t="s">
        <v>158</v>
      </c>
      <c r="H688" t="s">
        <v>159</v>
      </c>
      <c r="K688">
        <v>223</v>
      </c>
      <c r="L688">
        <v>9</v>
      </c>
      <c r="M688">
        <v>3</v>
      </c>
      <c r="N688" t="s">
        <v>3</v>
      </c>
      <c r="O688">
        <v>2</v>
      </c>
    </row>
    <row r="689" spans="1:15" x14ac:dyDescent="0.2">
      <c r="A689">
        <v>50</v>
      </c>
      <c r="B689">
        <v>0</v>
      </c>
      <c r="C689">
        <v>0</v>
      </c>
      <c r="D689">
        <v>1</v>
      </c>
      <c r="E689">
        <v>229</v>
      </c>
      <c r="F689">
        <f>ROUND(Source!AZ678,O689)</f>
        <v>0</v>
      </c>
      <c r="G689" t="s">
        <v>160</v>
      </c>
      <c r="H689" t="s">
        <v>161</v>
      </c>
      <c r="K689">
        <v>229</v>
      </c>
      <c r="L689">
        <v>10</v>
      </c>
      <c r="M689">
        <v>3</v>
      </c>
      <c r="N689" t="s">
        <v>3</v>
      </c>
      <c r="O689">
        <v>2</v>
      </c>
    </row>
    <row r="690" spans="1:15" x14ac:dyDescent="0.2">
      <c r="A690">
        <v>50</v>
      </c>
      <c r="B690">
        <v>0</v>
      </c>
      <c r="C690">
        <v>0</v>
      </c>
      <c r="D690">
        <v>1</v>
      </c>
      <c r="E690">
        <v>203</v>
      </c>
      <c r="F690">
        <f>ROUND(Source!Q678,O690)</f>
        <v>22.33</v>
      </c>
      <c r="G690" t="s">
        <v>162</v>
      </c>
      <c r="H690" t="s">
        <v>163</v>
      </c>
      <c r="K690">
        <v>203</v>
      </c>
      <c r="L690">
        <v>11</v>
      </c>
      <c r="M690">
        <v>3</v>
      </c>
      <c r="N690" t="s">
        <v>3</v>
      </c>
      <c r="O690">
        <v>2</v>
      </c>
    </row>
    <row r="691" spans="1:15" x14ac:dyDescent="0.2">
      <c r="A691">
        <v>50</v>
      </c>
      <c r="B691">
        <v>0</v>
      </c>
      <c r="C691">
        <v>0</v>
      </c>
      <c r="D691">
        <v>1</v>
      </c>
      <c r="E691">
        <v>231</v>
      </c>
      <c r="F691">
        <f>ROUND(Source!BB678,O691)</f>
        <v>0</v>
      </c>
      <c r="G691" t="s">
        <v>164</v>
      </c>
      <c r="H691" t="s">
        <v>165</v>
      </c>
      <c r="K691">
        <v>231</v>
      </c>
      <c r="L691">
        <v>12</v>
      </c>
      <c r="M691">
        <v>3</v>
      </c>
      <c r="N691" t="s">
        <v>3</v>
      </c>
      <c r="O691">
        <v>2</v>
      </c>
    </row>
    <row r="692" spans="1:15" x14ac:dyDescent="0.2">
      <c r="A692">
        <v>50</v>
      </c>
      <c r="B692">
        <v>0</v>
      </c>
      <c r="C692">
        <v>0</v>
      </c>
      <c r="D692">
        <v>1</v>
      </c>
      <c r="E692">
        <v>204</v>
      </c>
      <c r="F692">
        <f>ROUND(Source!R678,O692)</f>
        <v>8.17</v>
      </c>
      <c r="G692" t="s">
        <v>166</v>
      </c>
      <c r="H692" t="s">
        <v>167</v>
      </c>
      <c r="K692">
        <v>204</v>
      </c>
      <c r="L692">
        <v>13</v>
      </c>
      <c r="M692">
        <v>3</v>
      </c>
      <c r="N692" t="s">
        <v>3</v>
      </c>
      <c r="O692">
        <v>2</v>
      </c>
    </row>
    <row r="693" spans="1:15" x14ac:dyDescent="0.2">
      <c r="A693">
        <v>50</v>
      </c>
      <c r="B693">
        <v>0</v>
      </c>
      <c r="C693">
        <v>0</v>
      </c>
      <c r="D693">
        <v>1</v>
      </c>
      <c r="E693">
        <v>205</v>
      </c>
      <c r="F693">
        <f>ROUND(Source!S678,O693)</f>
        <v>3164.89</v>
      </c>
      <c r="G693" t="s">
        <v>168</v>
      </c>
      <c r="H693" t="s">
        <v>169</v>
      </c>
      <c r="K693">
        <v>205</v>
      </c>
      <c r="L693">
        <v>14</v>
      </c>
      <c r="M693">
        <v>3</v>
      </c>
      <c r="N693" t="s">
        <v>3</v>
      </c>
      <c r="O693">
        <v>2</v>
      </c>
    </row>
    <row r="694" spans="1:15" x14ac:dyDescent="0.2">
      <c r="A694">
        <v>50</v>
      </c>
      <c r="B694">
        <v>0</v>
      </c>
      <c r="C694">
        <v>0</v>
      </c>
      <c r="D694">
        <v>1</v>
      </c>
      <c r="E694">
        <v>232</v>
      </c>
      <c r="F694">
        <f>ROUND(Source!BC678,O694)</f>
        <v>0</v>
      </c>
      <c r="G694" t="s">
        <v>170</v>
      </c>
      <c r="H694" t="s">
        <v>171</v>
      </c>
      <c r="K694">
        <v>232</v>
      </c>
      <c r="L694">
        <v>15</v>
      </c>
      <c r="M694">
        <v>3</v>
      </c>
      <c r="N694" t="s">
        <v>3</v>
      </c>
      <c r="O694">
        <v>2</v>
      </c>
    </row>
    <row r="695" spans="1:15" x14ac:dyDescent="0.2">
      <c r="A695">
        <v>50</v>
      </c>
      <c r="B695">
        <v>0</v>
      </c>
      <c r="C695">
        <v>0</v>
      </c>
      <c r="D695">
        <v>1</v>
      </c>
      <c r="E695">
        <v>214</v>
      </c>
      <c r="F695">
        <f>ROUND(Source!AS678,O695)</f>
        <v>0</v>
      </c>
      <c r="G695" t="s">
        <v>172</v>
      </c>
      <c r="H695" t="s">
        <v>173</v>
      </c>
      <c r="K695">
        <v>214</v>
      </c>
      <c r="L695">
        <v>16</v>
      </c>
      <c r="M695">
        <v>3</v>
      </c>
      <c r="N695" t="s">
        <v>3</v>
      </c>
      <c r="O695">
        <v>2</v>
      </c>
    </row>
    <row r="696" spans="1:15" x14ac:dyDescent="0.2">
      <c r="A696">
        <v>50</v>
      </c>
      <c r="B696">
        <v>0</v>
      </c>
      <c r="C696">
        <v>0</v>
      </c>
      <c r="D696">
        <v>1</v>
      </c>
      <c r="E696">
        <v>215</v>
      </c>
      <c r="F696">
        <f>ROUND(Source!AT678,O696)</f>
        <v>0</v>
      </c>
      <c r="G696" t="s">
        <v>174</v>
      </c>
      <c r="H696" t="s">
        <v>175</v>
      </c>
      <c r="K696">
        <v>215</v>
      </c>
      <c r="L696">
        <v>17</v>
      </c>
      <c r="M696">
        <v>3</v>
      </c>
      <c r="N696" t="s">
        <v>3</v>
      </c>
      <c r="O696">
        <v>2</v>
      </c>
    </row>
    <row r="697" spans="1:15" x14ac:dyDescent="0.2">
      <c r="A697">
        <v>50</v>
      </c>
      <c r="B697">
        <v>0</v>
      </c>
      <c r="C697">
        <v>0</v>
      </c>
      <c r="D697">
        <v>1</v>
      </c>
      <c r="E697">
        <v>217</v>
      </c>
      <c r="F697">
        <f>ROUND(Source!AU678,O697)</f>
        <v>10187.709999999999</v>
      </c>
      <c r="G697" t="s">
        <v>176</v>
      </c>
      <c r="H697" t="s">
        <v>177</v>
      </c>
      <c r="K697">
        <v>217</v>
      </c>
      <c r="L697">
        <v>18</v>
      </c>
      <c r="M697">
        <v>3</v>
      </c>
      <c r="N697" t="s">
        <v>3</v>
      </c>
      <c r="O697">
        <v>2</v>
      </c>
    </row>
    <row r="698" spans="1:15" x14ac:dyDescent="0.2">
      <c r="A698">
        <v>50</v>
      </c>
      <c r="B698">
        <v>0</v>
      </c>
      <c r="C698">
        <v>0</v>
      </c>
      <c r="D698">
        <v>1</v>
      </c>
      <c r="E698">
        <v>230</v>
      </c>
      <c r="F698">
        <f>ROUND(Source!BA678,O698)</f>
        <v>0</v>
      </c>
      <c r="G698" t="s">
        <v>178</v>
      </c>
      <c r="H698" t="s">
        <v>179</v>
      </c>
      <c r="K698">
        <v>230</v>
      </c>
      <c r="L698">
        <v>19</v>
      </c>
      <c r="M698">
        <v>3</v>
      </c>
      <c r="N698" t="s">
        <v>3</v>
      </c>
      <c r="O698">
        <v>2</v>
      </c>
    </row>
    <row r="699" spans="1:15" x14ac:dyDescent="0.2">
      <c r="A699">
        <v>50</v>
      </c>
      <c r="B699">
        <v>0</v>
      </c>
      <c r="C699">
        <v>0</v>
      </c>
      <c r="D699">
        <v>1</v>
      </c>
      <c r="E699">
        <v>206</v>
      </c>
      <c r="F699">
        <f>ROUND(Source!T678,O699)</f>
        <v>0</v>
      </c>
      <c r="G699" t="s">
        <v>180</v>
      </c>
      <c r="H699" t="s">
        <v>181</v>
      </c>
      <c r="K699">
        <v>206</v>
      </c>
      <c r="L699">
        <v>20</v>
      </c>
      <c r="M699">
        <v>3</v>
      </c>
      <c r="N699" t="s">
        <v>3</v>
      </c>
      <c r="O699">
        <v>2</v>
      </c>
    </row>
    <row r="700" spans="1:15" x14ac:dyDescent="0.2">
      <c r="A700">
        <v>50</v>
      </c>
      <c r="B700">
        <v>0</v>
      </c>
      <c r="C700">
        <v>0</v>
      </c>
      <c r="D700">
        <v>1</v>
      </c>
      <c r="E700">
        <v>207</v>
      </c>
      <c r="F700">
        <f>Source!U678</f>
        <v>16.831499999999998</v>
      </c>
      <c r="G700" t="s">
        <v>182</v>
      </c>
      <c r="H700" t="s">
        <v>183</v>
      </c>
      <c r="K700">
        <v>207</v>
      </c>
      <c r="L700">
        <v>21</v>
      </c>
      <c r="M700">
        <v>3</v>
      </c>
      <c r="N700" t="s">
        <v>3</v>
      </c>
      <c r="O700">
        <v>-1</v>
      </c>
    </row>
    <row r="701" spans="1:15" x14ac:dyDescent="0.2">
      <c r="A701">
        <v>50</v>
      </c>
      <c r="B701">
        <v>0</v>
      </c>
      <c r="C701">
        <v>0</v>
      </c>
      <c r="D701">
        <v>1</v>
      </c>
      <c r="E701">
        <v>208</v>
      </c>
      <c r="F701">
        <f>Source!V678</f>
        <v>0</v>
      </c>
      <c r="G701" t="s">
        <v>184</v>
      </c>
      <c r="H701" t="s">
        <v>185</v>
      </c>
      <c r="K701">
        <v>208</v>
      </c>
      <c r="L701">
        <v>22</v>
      </c>
      <c r="M701">
        <v>3</v>
      </c>
      <c r="N701" t="s">
        <v>3</v>
      </c>
      <c r="O701">
        <v>-1</v>
      </c>
    </row>
    <row r="702" spans="1:15" x14ac:dyDescent="0.2">
      <c r="A702">
        <v>50</v>
      </c>
      <c r="B702">
        <v>0</v>
      </c>
      <c r="C702">
        <v>0</v>
      </c>
      <c r="D702">
        <v>1</v>
      </c>
      <c r="E702">
        <v>209</v>
      </c>
      <c r="F702">
        <f>ROUND(Source!W678,O702)</f>
        <v>0</v>
      </c>
      <c r="G702" t="s">
        <v>186</v>
      </c>
      <c r="H702" t="s">
        <v>187</v>
      </c>
      <c r="K702">
        <v>209</v>
      </c>
      <c r="L702">
        <v>23</v>
      </c>
      <c r="M702">
        <v>3</v>
      </c>
      <c r="N702" t="s">
        <v>3</v>
      </c>
      <c r="O702">
        <v>2</v>
      </c>
    </row>
    <row r="703" spans="1:15" x14ac:dyDescent="0.2">
      <c r="A703">
        <v>50</v>
      </c>
      <c r="B703">
        <v>0</v>
      </c>
      <c r="C703">
        <v>0</v>
      </c>
      <c r="D703">
        <v>1</v>
      </c>
      <c r="E703">
        <v>233</v>
      </c>
      <c r="F703">
        <f>ROUND(Source!BD678,O703)</f>
        <v>0</v>
      </c>
      <c r="G703" t="s">
        <v>188</v>
      </c>
      <c r="H703" t="s">
        <v>189</v>
      </c>
      <c r="K703">
        <v>233</v>
      </c>
      <c r="L703">
        <v>24</v>
      </c>
      <c r="M703">
        <v>3</v>
      </c>
      <c r="N703" t="s">
        <v>3</v>
      </c>
      <c r="O703">
        <v>2</v>
      </c>
    </row>
    <row r="704" spans="1:15" x14ac:dyDescent="0.2">
      <c r="A704">
        <v>50</v>
      </c>
      <c r="B704">
        <v>0</v>
      </c>
      <c r="C704">
        <v>0</v>
      </c>
      <c r="D704">
        <v>1</v>
      </c>
      <c r="E704">
        <v>210</v>
      </c>
      <c r="F704">
        <f>ROUND(Source!X678,O704)</f>
        <v>2215.42</v>
      </c>
      <c r="G704" t="s">
        <v>190</v>
      </c>
      <c r="H704" t="s">
        <v>191</v>
      </c>
      <c r="K704">
        <v>210</v>
      </c>
      <c r="L704">
        <v>25</v>
      </c>
      <c r="M704">
        <v>3</v>
      </c>
      <c r="N704" t="s">
        <v>3</v>
      </c>
      <c r="O704">
        <v>2</v>
      </c>
    </row>
    <row r="705" spans="1:206" x14ac:dyDescent="0.2">
      <c r="A705">
        <v>50</v>
      </c>
      <c r="B705">
        <v>0</v>
      </c>
      <c r="C705">
        <v>0</v>
      </c>
      <c r="D705">
        <v>1</v>
      </c>
      <c r="E705">
        <v>211</v>
      </c>
      <c r="F705">
        <f>ROUND(Source!Y678,O705)</f>
        <v>316.48</v>
      </c>
      <c r="G705" t="s">
        <v>192</v>
      </c>
      <c r="H705" t="s">
        <v>193</v>
      </c>
      <c r="K705">
        <v>211</v>
      </c>
      <c r="L705">
        <v>26</v>
      </c>
      <c r="M705">
        <v>3</v>
      </c>
      <c r="N705" t="s">
        <v>3</v>
      </c>
      <c r="O705">
        <v>2</v>
      </c>
    </row>
    <row r="706" spans="1:206" x14ac:dyDescent="0.2">
      <c r="A706">
        <v>50</v>
      </c>
      <c r="B706">
        <v>0</v>
      </c>
      <c r="C706">
        <v>0</v>
      </c>
      <c r="D706">
        <v>1</v>
      </c>
      <c r="E706">
        <v>224</v>
      </c>
      <c r="F706">
        <f>ROUND(Source!AR678,O706)</f>
        <v>10187.709999999999</v>
      </c>
      <c r="G706" t="s">
        <v>194</v>
      </c>
      <c r="H706" t="s">
        <v>195</v>
      </c>
      <c r="K706">
        <v>224</v>
      </c>
      <c r="L706">
        <v>27</v>
      </c>
      <c r="M706">
        <v>3</v>
      </c>
      <c r="N706" t="s">
        <v>3</v>
      </c>
      <c r="O706">
        <v>2</v>
      </c>
    </row>
    <row r="708" spans="1:206" x14ac:dyDescent="0.2">
      <c r="A708">
        <v>51</v>
      </c>
      <c r="B708">
        <f>B626</f>
        <v>1</v>
      </c>
      <c r="C708">
        <f>A626</f>
        <v>3</v>
      </c>
      <c r="D708">
        <f>ROW(A626)</f>
        <v>626</v>
      </c>
      <c r="F708" t="str">
        <f>IF(F626&lt;&gt;"",F626,"")</f>
        <v>Новая локальная смета</v>
      </c>
      <c r="G708" t="str">
        <f>IF(G626&lt;&gt;"",G626,"")</f>
        <v>ЛС № 02-01-03 Озеленение (ул. Свободы д. 15/10)</v>
      </c>
      <c r="H708">
        <v>0</v>
      </c>
      <c r="O708">
        <f t="shared" ref="O708:T708" si="482">ROUND(O639+O678+AB708,2)</f>
        <v>213019.83</v>
      </c>
      <c r="P708">
        <f t="shared" si="482"/>
        <v>101997.15</v>
      </c>
      <c r="Q708">
        <f t="shared" si="482"/>
        <v>24349.82</v>
      </c>
      <c r="R708">
        <f t="shared" si="482"/>
        <v>5989.08</v>
      </c>
      <c r="S708">
        <f t="shared" si="482"/>
        <v>86672.86</v>
      </c>
      <c r="T708">
        <f t="shared" si="482"/>
        <v>0</v>
      </c>
      <c r="U708">
        <f>U639+U678+AH708</f>
        <v>417.16650000000004</v>
      </c>
      <c r="V708">
        <f>V639+V678+AI708</f>
        <v>0</v>
      </c>
      <c r="W708">
        <f>ROUND(W639+W678+AJ708,2)</f>
        <v>0</v>
      </c>
      <c r="X708">
        <f>ROUND(X639+X678+AK708,2)</f>
        <v>60671</v>
      </c>
      <c r="Y708">
        <f>ROUND(Y639+Y678+AL708,2)</f>
        <v>8667.2900000000009</v>
      </c>
      <c r="AO708">
        <f t="shared" ref="AO708:BD708" si="483">ROUND(AO639+AO678+BX708,2)</f>
        <v>0</v>
      </c>
      <c r="AP708">
        <f t="shared" si="483"/>
        <v>0</v>
      </c>
      <c r="AQ708">
        <f t="shared" si="483"/>
        <v>0</v>
      </c>
      <c r="AR708">
        <f t="shared" si="483"/>
        <v>288826.32</v>
      </c>
      <c r="AS708">
        <f t="shared" si="483"/>
        <v>0</v>
      </c>
      <c r="AT708">
        <f t="shared" si="483"/>
        <v>0</v>
      </c>
      <c r="AU708">
        <f t="shared" si="483"/>
        <v>288826.32</v>
      </c>
      <c r="AV708">
        <f t="shared" si="483"/>
        <v>101997.15</v>
      </c>
      <c r="AW708">
        <f t="shared" si="483"/>
        <v>101997.15</v>
      </c>
      <c r="AX708">
        <f t="shared" si="483"/>
        <v>0</v>
      </c>
      <c r="AY708">
        <f t="shared" si="483"/>
        <v>101997.15</v>
      </c>
      <c r="AZ708">
        <f t="shared" si="483"/>
        <v>0</v>
      </c>
      <c r="BA708">
        <f t="shared" si="483"/>
        <v>0</v>
      </c>
      <c r="BB708">
        <f t="shared" si="483"/>
        <v>0</v>
      </c>
      <c r="BC708">
        <f t="shared" si="483"/>
        <v>0</v>
      </c>
      <c r="BD708">
        <f t="shared" si="483"/>
        <v>0</v>
      </c>
      <c r="GX708">
        <v>0</v>
      </c>
    </row>
    <row r="710" spans="1:206" x14ac:dyDescent="0.2">
      <c r="A710">
        <v>50</v>
      </c>
      <c r="B710">
        <v>0</v>
      </c>
      <c r="C710">
        <v>0</v>
      </c>
      <c r="D710">
        <v>1</v>
      </c>
      <c r="E710">
        <v>201</v>
      </c>
      <c r="F710">
        <f>ROUND(Source!O708,O710)</f>
        <v>213019.83</v>
      </c>
      <c r="G710" t="s">
        <v>142</v>
      </c>
      <c r="H710" t="s">
        <v>143</v>
      </c>
      <c r="K710">
        <v>201</v>
      </c>
      <c r="L710">
        <v>1</v>
      </c>
      <c r="M710">
        <v>3</v>
      </c>
      <c r="N710" t="s">
        <v>3</v>
      </c>
      <c r="O710">
        <v>2</v>
      </c>
    </row>
    <row r="711" spans="1:206" x14ac:dyDescent="0.2">
      <c r="A711">
        <v>50</v>
      </c>
      <c r="B711">
        <v>0</v>
      </c>
      <c r="C711">
        <v>0</v>
      </c>
      <c r="D711">
        <v>1</v>
      </c>
      <c r="E711">
        <v>202</v>
      </c>
      <c r="F711">
        <f>ROUND(Source!P708,O711)</f>
        <v>101997.15</v>
      </c>
      <c r="G711" t="s">
        <v>144</v>
      </c>
      <c r="H711" t="s">
        <v>145</v>
      </c>
      <c r="K711">
        <v>202</v>
      </c>
      <c r="L711">
        <v>2</v>
      </c>
      <c r="M711">
        <v>3</v>
      </c>
      <c r="N711" t="s">
        <v>3</v>
      </c>
      <c r="O711">
        <v>2</v>
      </c>
    </row>
    <row r="712" spans="1:206" x14ac:dyDescent="0.2">
      <c r="A712">
        <v>50</v>
      </c>
      <c r="B712">
        <v>0</v>
      </c>
      <c r="C712">
        <v>0</v>
      </c>
      <c r="D712">
        <v>1</v>
      </c>
      <c r="E712">
        <v>222</v>
      </c>
      <c r="F712">
        <f>ROUND(Source!AO708,O712)</f>
        <v>0</v>
      </c>
      <c r="G712" t="s">
        <v>146</v>
      </c>
      <c r="H712" t="s">
        <v>147</v>
      </c>
      <c r="K712">
        <v>222</v>
      </c>
      <c r="L712">
        <v>3</v>
      </c>
      <c r="M712">
        <v>3</v>
      </c>
      <c r="N712" t="s">
        <v>3</v>
      </c>
      <c r="O712">
        <v>2</v>
      </c>
    </row>
    <row r="713" spans="1:206" x14ac:dyDescent="0.2">
      <c r="A713">
        <v>50</v>
      </c>
      <c r="B713">
        <v>0</v>
      </c>
      <c r="C713">
        <v>0</v>
      </c>
      <c r="D713">
        <v>1</v>
      </c>
      <c r="E713">
        <v>225</v>
      </c>
      <c r="F713">
        <f>ROUND(Source!AV708,O713)</f>
        <v>101997.15</v>
      </c>
      <c r="G713" t="s">
        <v>148</v>
      </c>
      <c r="H713" t="s">
        <v>149</v>
      </c>
      <c r="K713">
        <v>225</v>
      </c>
      <c r="L713">
        <v>4</v>
      </c>
      <c r="M713">
        <v>3</v>
      </c>
      <c r="N713" t="s">
        <v>3</v>
      </c>
      <c r="O713">
        <v>2</v>
      </c>
    </row>
    <row r="714" spans="1:206" x14ac:dyDescent="0.2">
      <c r="A714">
        <v>50</v>
      </c>
      <c r="B714">
        <v>0</v>
      </c>
      <c r="C714">
        <v>0</v>
      </c>
      <c r="D714">
        <v>1</v>
      </c>
      <c r="E714">
        <v>226</v>
      </c>
      <c r="F714">
        <f>ROUND(Source!AW708,O714)</f>
        <v>101997.15</v>
      </c>
      <c r="G714" t="s">
        <v>150</v>
      </c>
      <c r="H714" t="s">
        <v>151</v>
      </c>
      <c r="K714">
        <v>226</v>
      </c>
      <c r="L714">
        <v>5</v>
      </c>
      <c r="M714">
        <v>3</v>
      </c>
      <c r="N714" t="s">
        <v>3</v>
      </c>
      <c r="O714">
        <v>2</v>
      </c>
    </row>
    <row r="715" spans="1:206" x14ac:dyDescent="0.2">
      <c r="A715">
        <v>50</v>
      </c>
      <c r="B715">
        <v>0</v>
      </c>
      <c r="C715">
        <v>0</v>
      </c>
      <c r="D715">
        <v>1</v>
      </c>
      <c r="E715">
        <v>227</v>
      </c>
      <c r="F715">
        <f>ROUND(Source!AX708,O715)</f>
        <v>0</v>
      </c>
      <c r="G715" t="s">
        <v>152</v>
      </c>
      <c r="H715" t="s">
        <v>153</v>
      </c>
      <c r="K715">
        <v>227</v>
      </c>
      <c r="L715">
        <v>6</v>
      </c>
      <c r="M715">
        <v>3</v>
      </c>
      <c r="N715" t="s">
        <v>3</v>
      </c>
      <c r="O715">
        <v>2</v>
      </c>
    </row>
    <row r="716" spans="1:206" x14ac:dyDescent="0.2">
      <c r="A716">
        <v>50</v>
      </c>
      <c r="B716">
        <v>0</v>
      </c>
      <c r="C716">
        <v>0</v>
      </c>
      <c r="D716">
        <v>1</v>
      </c>
      <c r="E716">
        <v>228</v>
      </c>
      <c r="F716">
        <f>ROUND(Source!AY708,O716)</f>
        <v>101997.15</v>
      </c>
      <c r="G716" t="s">
        <v>154</v>
      </c>
      <c r="H716" t="s">
        <v>155</v>
      </c>
      <c r="K716">
        <v>228</v>
      </c>
      <c r="L716">
        <v>7</v>
      </c>
      <c r="M716">
        <v>3</v>
      </c>
      <c r="N716" t="s">
        <v>3</v>
      </c>
      <c r="O716">
        <v>2</v>
      </c>
    </row>
    <row r="717" spans="1:206" x14ac:dyDescent="0.2">
      <c r="A717">
        <v>50</v>
      </c>
      <c r="B717">
        <v>0</v>
      </c>
      <c r="C717">
        <v>0</v>
      </c>
      <c r="D717">
        <v>1</v>
      </c>
      <c r="E717">
        <v>216</v>
      </c>
      <c r="F717">
        <f>ROUND(Source!AP708,O717)</f>
        <v>0</v>
      </c>
      <c r="G717" t="s">
        <v>156</v>
      </c>
      <c r="H717" t="s">
        <v>157</v>
      </c>
      <c r="K717">
        <v>216</v>
      </c>
      <c r="L717">
        <v>8</v>
      </c>
      <c r="M717">
        <v>3</v>
      </c>
      <c r="N717" t="s">
        <v>3</v>
      </c>
      <c r="O717">
        <v>2</v>
      </c>
    </row>
    <row r="718" spans="1:206" x14ac:dyDescent="0.2">
      <c r="A718">
        <v>50</v>
      </c>
      <c r="B718">
        <v>0</v>
      </c>
      <c r="C718">
        <v>0</v>
      </c>
      <c r="D718">
        <v>1</v>
      </c>
      <c r="E718">
        <v>223</v>
      </c>
      <c r="F718">
        <f>ROUND(Source!AQ708,O718)</f>
        <v>0</v>
      </c>
      <c r="G718" t="s">
        <v>158</v>
      </c>
      <c r="H718" t="s">
        <v>159</v>
      </c>
      <c r="K718">
        <v>223</v>
      </c>
      <c r="L718">
        <v>9</v>
      </c>
      <c r="M718">
        <v>3</v>
      </c>
      <c r="N718" t="s">
        <v>3</v>
      </c>
      <c r="O718">
        <v>2</v>
      </c>
    </row>
    <row r="719" spans="1:206" x14ac:dyDescent="0.2">
      <c r="A719">
        <v>50</v>
      </c>
      <c r="B719">
        <v>0</v>
      </c>
      <c r="C719">
        <v>0</v>
      </c>
      <c r="D719">
        <v>1</v>
      </c>
      <c r="E719">
        <v>229</v>
      </c>
      <c r="F719">
        <f>ROUND(Source!AZ708,O719)</f>
        <v>0</v>
      </c>
      <c r="G719" t="s">
        <v>160</v>
      </c>
      <c r="H719" t="s">
        <v>161</v>
      </c>
      <c r="K719">
        <v>229</v>
      </c>
      <c r="L719">
        <v>10</v>
      </c>
      <c r="M719">
        <v>3</v>
      </c>
      <c r="N719" t="s">
        <v>3</v>
      </c>
      <c r="O719">
        <v>2</v>
      </c>
    </row>
    <row r="720" spans="1:206" x14ac:dyDescent="0.2">
      <c r="A720">
        <v>50</v>
      </c>
      <c r="B720">
        <v>0</v>
      </c>
      <c r="C720">
        <v>0</v>
      </c>
      <c r="D720">
        <v>1</v>
      </c>
      <c r="E720">
        <v>203</v>
      </c>
      <c r="F720">
        <f>ROUND(Source!Q708,O720)</f>
        <v>24349.82</v>
      </c>
      <c r="G720" t="s">
        <v>162</v>
      </c>
      <c r="H720" t="s">
        <v>163</v>
      </c>
      <c r="K720">
        <v>203</v>
      </c>
      <c r="L720">
        <v>11</v>
      </c>
      <c r="M720">
        <v>3</v>
      </c>
      <c r="N720" t="s">
        <v>3</v>
      </c>
      <c r="O720">
        <v>2</v>
      </c>
    </row>
    <row r="721" spans="1:15" x14ac:dyDescent="0.2">
      <c r="A721">
        <v>50</v>
      </c>
      <c r="B721">
        <v>0</v>
      </c>
      <c r="C721">
        <v>0</v>
      </c>
      <c r="D721">
        <v>1</v>
      </c>
      <c r="E721">
        <v>231</v>
      </c>
      <c r="F721">
        <f>ROUND(Source!BB708,O721)</f>
        <v>0</v>
      </c>
      <c r="G721" t="s">
        <v>164</v>
      </c>
      <c r="H721" t="s">
        <v>165</v>
      </c>
      <c r="K721">
        <v>231</v>
      </c>
      <c r="L721">
        <v>12</v>
      </c>
      <c r="M721">
        <v>3</v>
      </c>
      <c r="N721" t="s">
        <v>3</v>
      </c>
      <c r="O721">
        <v>2</v>
      </c>
    </row>
    <row r="722" spans="1:15" x14ac:dyDescent="0.2">
      <c r="A722">
        <v>50</v>
      </c>
      <c r="B722">
        <v>0</v>
      </c>
      <c r="C722">
        <v>0</v>
      </c>
      <c r="D722">
        <v>1</v>
      </c>
      <c r="E722">
        <v>204</v>
      </c>
      <c r="F722">
        <f>ROUND(Source!R708,O722)</f>
        <v>5989.08</v>
      </c>
      <c r="G722" t="s">
        <v>166</v>
      </c>
      <c r="H722" t="s">
        <v>167</v>
      </c>
      <c r="K722">
        <v>204</v>
      </c>
      <c r="L722">
        <v>13</v>
      </c>
      <c r="M722">
        <v>3</v>
      </c>
      <c r="N722" t="s">
        <v>3</v>
      </c>
      <c r="O722">
        <v>2</v>
      </c>
    </row>
    <row r="723" spans="1:15" x14ac:dyDescent="0.2">
      <c r="A723">
        <v>50</v>
      </c>
      <c r="B723">
        <v>0</v>
      </c>
      <c r="C723">
        <v>0</v>
      </c>
      <c r="D723">
        <v>1</v>
      </c>
      <c r="E723">
        <v>205</v>
      </c>
      <c r="F723">
        <f>ROUND(Source!S708,O723)</f>
        <v>86672.86</v>
      </c>
      <c r="G723" t="s">
        <v>168</v>
      </c>
      <c r="H723" t="s">
        <v>169</v>
      </c>
      <c r="K723">
        <v>205</v>
      </c>
      <c r="L723">
        <v>14</v>
      </c>
      <c r="M723">
        <v>3</v>
      </c>
      <c r="N723" t="s">
        <v>3</v>
      </c>
      <c r="O723">
        <v>2</v>
      </c>
    </row>
    <row r="724" spans="1:15" x14ac:dyDescent="0.2">
      <c r="A724">
        <v>50</v>
      </c>
      <c r="B724">
        <v>0</v>
      </c>
      <c r="C724">
        <v>0</v>
      </c>
      <c r="D724">
        <v>1</v>
      </c>
      <c r="E724">
        <v>232</v>
      </c>
      <c r="F724">
        <f>ROUND(Source!BC708,O724)</f>
        <v>0</v>
      </c>
      <c r="G724" t="s">
        <v>170</v>
      </c>
      <c r="H724" t="s">
        <v>171</v>
      </c>
      <c r="K724">
        <v>232</v>
      </c>
      <c r="L724">
        <v>15</v>
      </c>
      <c r="M724">
        <v>3</v>
      </c>
      <c r="N724" t="s">
        <v>3</v>
      </c>
      <c r="O724">
        <v>2</v>
      </c>
    </row>
    <row r="725" spans="1:15" x14ac:dyDescent="0.2">
      <c r="A725">
        <v>50</v>
      </c>
      <c r="B725">
        <v>0</v>
      </c>
      <c r="C725">
        <v>0</v>
      </c>
      <c r="D725">
        <v>1</v>
      </c>
      <c r="E725">
        <v>214</v>
      </c>
      <c r="F725">
        <f>ROUND(Source!AS708,O725)</f>
        <v>0</v>
      </c>
      <c r="G725" t="s">
        <v>172</v>
      </c>
      <c r="H725" t="s">
        <v>173</v>
      </c>
      <c r="K725">
        <v>214</v>
      </c>
      <c r="L725">
        <v>16</v>
      </c>
      <c r="M725">
        <v>3</v>
      </c>
      <c r="N725" t="s">
        <v>3</v>
      </c>
      <c r="O725">
        <v>2</v>
      </c>
    </row>
    <row r="726" spans="1:15" x14ac:dyDescent="0.2">
      <c r="A726">
        <v>50</v>
      </c>
      <c r="B726">
        <v>0</v>
      </c>
      <c r="C726">
        <v>0</v>
      </c>
      <c r="D726">
        <v>1</v>
      </c>
      <c r="E726">
        <v>215</v>
      </c>
      <c r="F726">
        <f>ROUND(Source!AT708,O726)</f>
        <v>0</v>
      </c>
      <c r="G726" t="s">
        <v>174</v>
      </c>
      <c r="H726" t="s">
        <v>175</v>
      </c>
      <c r="K726">
        <v>215</v>
      </c>
      <c r="L726">
        <v>17</v>
      </c>
      <c r="M726">
        <v>3</v>
      </c>
      <c r="N726" t="s">
        <v>3</v>
      </c>
      <c r="O726">
        <v>2</v>
      </c>
    </row>
    <row r="727" spans="1:15" x14ac:dyDescent="0.2">
      <c r="A727">
        <v>50</v>
      </c>
      <c r="B727">
        <v>0</v>
      </c>
      <c r="C727">
        <v>0</v>
      </c>
      <c r="D727">
        <v>1</v>
      </c>
      <c r="E727">
        <v>217</v>
      </c>
      <c r="F727">
        <f>ROUND(Source!AU708,O727)</f>
        <v>288826.32</v>
      </c>
      <c r="G727" t="s">
        <v>176</v>
      </c>
      <c r="H727" t="s">
        <v>177</v>
      </c>
      <c r="K727">
        <v>217</v>
      </c>
      <c r="L727">
        <v>18</v>
      </c>
      <c r="M727">
        <v>3</v>
      </c>
      <c r="N727" t="s">
        <v>3</v>
      </c>
      <c r="O727">
        <v>2</v>
      </c>
    </row>
    <row r="728" spans="1:15" x14ac:dyDescent="0.2">
      <c r="A728">
        <v>50</v>
      </c>
      <c r="B728">
        <v>0</v>
      </c>
      <c r="C728">
        <v>0</v>
      </c>
      <c r="D728">
        <v>1</v>
      </c>
      <c r="E728">
        <v>230</v>
      </c>
      <c r="F728">
        <f>ROUND(Source!BA708,O728)</f>
        <v>0</v>
      </c>
      <c r="G728" t="s">
        <v>178</v>
      </c>
      <c r="H728" t="s">
        <v>179</v>
      </c>
      <c r="K728">
        <v>230</v>
      </c>
      <c r="L728">
        <v>19</v>
      </c>
      <c r="M728">
        <v>3</v>
      </c>
      <c r="N728" t="s">
        <v>3</v>
      </c>
      <c r="O728">
        <v>2</v>
      </c>
    </row>
    <row r="729" spans="1:15" x14ac:dyDescent="0.2">
      <c r="A729">
        <v>50</v>
      </c>
      <c r="B729">
        <v>0</v>
      </c>
      <c r="C729">
        <v>0</v>
      </c>
      <c r="D729">
        <v>1</v>
      </c>
      <c r="E729">
        <v>206</v>
      </c>
      <c r="F729">
        <f>ROUND(Source!T708,O729)</f>
        <v>0</v>
      </c>
      <c r="G729" t="s">
        <v>180</v>
      </c>
      <c r="H729" t="s">
        <v>181</v>
      </c>
      <c r="K729">
        <v>206</v>
      </c>
      <c r="L729">
        <v>20</v>
      </c>
      <c r="M729">
        <v>3</v>
      </c>
      <c r="N729" t="s">
        <v>3</v>
      </c>
      <c r="O729">
        <v>2</v>
      </c>
    </row>
    <row r="730" spans="1:15" x14ac:dyDescent="0.2">
      <c r="A730">
        <v>50</v>
      </c>
      <c r="B730">
        <v>0</v>
      </c>
      <c r="C730">
        <v>0</v>
      </c>
      <c r="D730">
        <v>1</v>
      </c>
      <c r="E730">
        <v>207</v>
      </c>
      <c r="F730">
        <f>Source!U708</f>
        <v>417.16650000000004</v>
      </c>
      <c r="G730" t="s">
        <v>182</v>
      </c>
      <c r="H730" t="s">
        <v>183</v>
      </c>
      <c r="K730">
        <v>207</v>
      </c>
      <c r="L730">
        <v>21</v>
      </c>
      <c r="M730">
        <v>3</v>
      </c>
      <c r="N730" t="s">
        <v>3</v>
      </c>
      <c r="O730">
        <v>-1</v>
      </c>
    </row>
    <row r="731" spans="1:15" x14ac:dyDescent="0.2">
      <c r="A731">
        <v>50</v>
      </c>
      <c r="B731">
        <v>0</v>
      </c>
      <c r="C731">
        <v>0</v>
      </c>
      <c r="D731">
        <v>1</v>
      </c>
      <c r="E731">
        <v>208</v>
      </c>
      <c r="F731">
        <f>Source!V708</f>
        <v>0</v>
      </c>
      <c r="G731" t="s">
        <v>184</v>
      </c>
      <c r="H731" t="s">
        <v>185</v>
      </c>
      <c r="K731">
        <v>208</v>
      </c>
      <c r="L731">
        <v>22</v>
      </c>
      <c r="M731">
        <v>3</v>
      </c>
      <c r="N731" t="s">
        <v>3</v>
      </c>
      <c r="O731">
        <v>-1</v>
      </c>
    </row>
    <row r="732" spans="1:15" x14ac:dyDescent="0.2">
      <c r="A732">
        <v>50</v>
      </c>
      <c r="B732">
        <v>0</v>
      </c>
      <c r="C732">
        <v>0</v>
      </c>
      <c r="D732">
        <v>1</v>
      </c>
      <c r="E732">
        <v>209</v>
      </c>
      <c r="F732">
        <f>ROUND(Source!W708,O732)</f>
        <v>0</v>
      </c>
      <c r="G732" t="s">
        <v>186</v>
      </c>
      <c r="H732" t="s">
        <v>187</v>
      </c>
      <c r="K732">
        <v>209</v>
      </c>
      <c r="L732">
        <v>23</v>
      </c>
      <c r="M732">
        <v>3</v>
      </c>
      <c r="N732" t="s">
        <v>3</v>
      </c>
      <c r="O732">
        <v>2</v>
      </c>
    </row>
    <row r="733" spans="1:15" x14ac:dyDescent="0.2">
      <c r="A733">
        <v>50</v>
      </c>
      <c r="B733">
        <v>0</v>
      </c>
      <c r="C733">
        <v>0</v>
      </c>
      <c r="D733">
        <v>1</v>
      </c>
      <c r="E733">
        <v>233</v>
      </c>
      <c r="F733">
        <f>ROUND(Source!BD708,O733)</f>
        <v>0</v>
      </c>
      <c r="G733" t="s">
        <v>188</v>
      </c>
      <c r="H733" t="s">
        <v>189</v>
      </c>
      <c r="K733">
        <v>233</v>
      </c>
      <c r="L733">
        <v>24</v>
      </c>
      <c r="M733">
        <v>3</v>
      </c>
      <c r="N733" t="s">
        <v>3</v>
      </c>
      <c r="O733">
        <v>2</v>
      </c>
    </row>
    <row r="734" spans="1:15" x14ac:dyDescent="0.2">
      <c r="A734">
        <v>50</v>
      </c>
      <c r="B734">
        <v>0</v>
      </c>
      <c r="C734">
        <v>0</v>
      </c>
      <c r="D734">
        <v>1</v>
      </c>
      <c r="E734">
        <v>210</v>
      </c>
      <c r="F734">
        <f>ROUND(Source!X708,O734)</f>
        <v>60671</v>
      </c>
      <c r="G734" t="s">
        <v>190</v>
      </c>
      <c r="H734" t="s">
        <v>191</v>
      </c>
      <c r="K734">
        <v>210</v>
      </c>
      <c r="L734">
        <v>25</v>
      </c>
      <c r="M734">
        <v>3</v>
      </c>
      <c r="N734" t="s">
        <v>3</v>
      </c>
      <c r="O734">
        <v>2</v>
      </c>
    </row>
    <row r="735" spans="1:15" x14ac:dyDescent="0.2">
      <c r="A735">
        <v>50</v>
      </c>
      <c r="B735">
        <v>0</v>
      </c>
      <c r="C735">
        <v>0</v>
      </c>
      <c r="D735">
        <v>1</v>
      </c>
      <c r="E735">
        <v>211</v>
      </c>
      <c r="F735">
        <f>ROUND(Source!Y708,O735)</f>
        <v>8667.2900000000009</v>
      </c>
      <c r="G735" t="s">
        <v>192</v>
      </c>
      <c r="H735" t="s">
        <v>193</v>
      </c>
      <c r="K735">
        <v>211</v>
      </c>
      <c r="L735">
        <v>26</v>
      </c>
      <c r="M735">
        <v>3</v>
      </c>
      <c r="N735" t="s">
        <v>3</v>
      </c>
      <c r="O735">
        <v>2</v>
      </c>
    </row>
    <row r="736" spans="1:15" x14ac:dyDescent="0.2">
      <c r="A736">
        <v>50</v>
      </c>
      <c r="B736">
        <v>0</v>
      </c>
      <c r="C736">
        <v>0</v>
      </c>
      <c r="D736">
        <v>1</v>
      </c>
      <c r="E736">
        <v>224</v>
      </c>
      <c r="F736">
        <f>ROUND(Source!AR708,O736)</f>
        <v>288826.32</v>
      </c>
      <c r="G736" t="s">
        <v>194</v>
      </c>
      <c r="H736" t="s">
        <v>195</v>
      </c>
      <c r="K736">
        <v>224</v>
      </c>
      <c r="L736">
        <v>27</v>
      </c>
      <c r="M736">
        <v>3</v>
      </c>
      <c r="N736" t="s">
        <v>3</v>
      </c>
      <c r="O736">
        <v>2</v>
      </c>
    </row>
    <row r="738" spans="1:206" x14ac:dyDescent="0.2">
      <c r="A738">
        <v>60</v>
      </c>
      <c r="B738">
        <f>IF(Source!F738&lt;&gt;0,1,0)</f>
        <v>1</v>
      </c>
      <c r="D738">
        <f>ROW(A626)</f>
        <v>626</v>
      </c>
      <c r="E738">
        <v>1</v>
      </c>
      <c r="F738">
        <v>49</v>
      </c>
      <c r="G738" t="s">
        <v>556</v>
      </c>
      <c r="H738" t="s">
        <v>3</v>
      </c>
    </row>
    <row r="739" spans="1:206" x14ac:dyDescent="0.2">
      <c r="A739">
        <v>60</v>
      </c>
      <c r="B739">
        <f>IF(Source!F739&lt;&gt;0,1,0)</f>
        <v>1</v>
      </c>
      <c r="D739">
        <f>ROW(A626)</f>
        <v>626</v>
      </c>
      <c r="E739">
        <v>2</v>
      </c>
      <c r="F739">
        <v>500</v>
      </c>
      <c r="G739" t="s">
        <v>557</v>
      </c>
      <c r="H739" t="s">
        <v>3</v>
      </c>
    </row>
    <row r="740" spans="1:206" x14ac:dyDescent="0.2">
      <c r="A740">
        <v>60</v>
      </c>
      <c r="B740">
        <f>IF(Source!F740&lt;&gt;0,1,0)</f>
        <v>1</v>
      </c>
      <c r="D740">
        <f>ROW(A626)</f>
        <v>626</v>
      </c>
      <c r="E740">
        <v>3</v>
      </c>
      <c r="F740">
        <v>325</v>
      </c>
      <c r="G740" t="s">
        <v>558</v>
      </c>
      <c r="H740" t="s">
        <v>3</v>
      </c>
    </row>
    <row r="742" spans="1:206" x14ac:dyDescent="0.2">
      <c r="A742">
        <v>51</v>
      </c>
      <c r="B742">
        <f>B12</f>
        <v>777</v>
      </c>
      <c r="C742">
        <f>A12</f>
        <v>1</v>
      </c>
      <c r="D742">
        <f>ROW(A12)</f>
        <v>12</v>
      </c>
      <c r="F742" t="str">
        <f>IF(F12&lt;&gt;"",F12,"")</f>
        <v/>
      </c>
      <c r="G742" t="str">
        <f>IF(G12&lt;&gt;"",G12,"")</f>
        <v>ул. Свободы д. 15/10</v>
      </c>
      <c r="H742">
        <v>0</v>
      </c>
      <c r="O742">
        <f t="shared" ref="O742:T742" si="484">ROUND(O405+O596+O708,2)</f>
        <v>4388375.3499999996</v>
      </c>
      <c r="P742">
        <f t="shared" si="484"/>
        <v>3859523.55</v>
      </c>
      <c r="Q742">
        <f t="shared" si="484"/>
        <v>291912.86</v>
      </c>
      <c r="R742">
        <f t="shared" si="484"/>
        <v>149888.5</v>
      </c>
      <c r="S742">
        <f t="shared" si="484"/>
        <v>236938.94</v>
      </c>
      <c r="T742">
        <f t="shared" si="484"/>
        <v>0</v>
      </c>
      <c r="U742">
        <f>U405+U596+U708</f>
        <v>1157.1290277600001</v>
      </c>
      <c r="V742">
        <f>V405+V596+V708</f>
        <v>0</v>
      </c>
      <c r="W742">
        <f>ROUND(W405+W596+W708,2)</f>
        <v>0</v>
      </c>
      <c r="X742">
        <f>ROUND(X405+X596+X708,2)</f>
        <v>165857.26999999999</v>
      </c>
      <c r="Y742">
        <f>ROUND(Y405+Y596+Y708,2)</f>
        <v>23693.9</v>
      </c>
      <c r="AO742">
        <f t="shared" ref="AO742:BD742" si="485">ROUND(AO405+AO596+AO708,2)</f>
        <v>0</v>
      </c>
      <c r="AP742">
        <f t="shared" si="485"/>
        <v>0</v>
      </c>
      <c r="AQ742">
        <f t="shared" si="485"/>
        <v>0</v>
      </c>
      <c r="AR742">
        <f t="shared" si="485"/>
        <v>4621487.9800000004</v>
      </c>
      <c r="AS742">
        <f t="shared" si="485"/>
        <v>16541.66</v>
      </c>
      <c r="AT742">
        <f t="shared" si="485"/>
        <v>0</v>
      </c>
      <c r="AU742">
        <f t="shared" si="485"/>
        <v>4604946.32</v>
      </c>
      <c r="AV742">
        <f t="shared" si="485"/>
        <v>3859523.55</v>
      </c>
      <c r="AW742">
        <f t="shared" si="485"/>
        <v>3859523.55</v>
      </c>
      <c r="AX742">
        <f t="shared" si="485"/>
        <v>0</v>
      </c>
      <c r="AY742">
        <f t="shared" si="485"/>
        <v>3859523.55</v>
      </c>
      <c r="AZ742">
        <f t="shared" si="485"/>
        <v>0</v>
      </c>
      <c r="BA742">
        <f t="shared" si="485"/>
        <v>0</v>
      </c>
      <c r="BB742">
        <f t="shared" si="485"/>
        <v>0</v>
      </c>
      <c r="BC742">
        <f t="shared" si="485"/>
        <v>0</v>
      </c>
      <c r="BD742">
        <f t="shared" si="485"/>
        <v>0</v>
      </c>
      <c r="GX742">
        <v>0</v>
      </c>
    </row>
    <row r="744" spans="1:206" x14ac:dyDescent="0.2">
      <c r="A744">
        <v>50</v>
      </c>
      <c r="B744">
        <v>0</v>
      </c>
      <c r="C744">
        <v>0</v>
      </c>
      <c r="D744">
        <v>1</v>
      </c>
      <c r="E744">
        <v>201</v>
      </c>
      <c r="F744">
        <f>ROUND(Source!O742,O744)</f>
        <v>4388375.3499999996</v>
      </c>
      <c r="G744" t="s">
        <v>142</v>
      </c>
      <c r="H744" t="s">
        <v>143</v>
      </c>
      <c r="K744">
        <v>201</v>
      </c>
      <c r="L744">
        <v>1</v>
      </c>
      <c r="M744">
        <v>3</v>
      </c>
      <c r="N744" t="s">
        <v>3</v>
      </c>
      <c r="O744">
        <v>2</v>
      </c>
    </row>
    <row r="745" spans="1:206" x14ac:dyDescent="0.2">
      <c r="A745">
        <v>50</v>
      </c>
      <c r="B745">
        <v>0</v>
      </c>
      <c r="C745">
        <v>0</v>
      </c>
      <c r="D745">
        <v>1</v>
      </c>
      <c r="E745">
        <v>202</v>
      </c>
      <c r="F745">
        <f>ROUND(Source!P742,O745)</f>
        <v>3859523.55</v>
      </c>
      <c r="G745" t="s">
        <v>144</v>
      </c>
      <c r="H745" t="s">
        <v>145</v>
      </c>
      <c r="K745">
        <v>202</v>
      </c>
      <c r="L745">
        <v>2</v>
      </c>
      <c r="M745">
        <v>3</v>
      </c>
      <c r="N745" t="s">
        <v>3</v>
      </c>
      <c r="O745">
        <v>2</v>
      </c>
    </row>
    <row r="746" spans="1:206" x14ac:dyDescent="0.2">
      <c r="A746">
        <v>50</v>
      </c>
      <c r="B746">
        <v>0</v>
      </c>
      <c r="C746">
        <v>0</v>
      </c>
      <c r="D746">
        <v>1</v>
      </c>
      <c r="E746">
        <v>222</v>
      </c>
      <c r="F746">
        <f>ROUND(Source!AO742,O746)</f>
        <v>0</v>
      </c>
      <c r="G746" t="s">
        <v>146</v>
      </c>
      <c r="H746" t="s">
        <v>147</v>
      </c>
      <c r="K746">
        <v>222</v>
      </c>
      <c r="L746">
        <v>3</v>
      </c>
      <c r="M746">
        <v>3</v>
      </c>
      <c r="N746" t="s">
        <v>3</v>
      </c>
      <c r="O746">
        <v>2</v>
      </c>
    </row>
    <row r="747" spans="1:206" x14ac:dyDescent="0.2">
      <c r="A747">
        <v>50</v>
      </c>
      <c r="B747">
        <v>0</v>
      </c>
      <c r="C747">
        <v>0</v>
      </c>
      <c r="D747">
        <v>1</v>
      </c>
      <c r="E747">
        <v>225</v>
      </c>
      <c r="F747">
        <f>ROUND(Source!AV742,O747)</f>
        <v>3859523.55</v>
      </c>
      <c r="G747" t="s">
        <v>148</v>
      </c>
      <c r="H747" t="s">
        <v>149</v>
      </c>
      <c r="K747">
        <v>225</v>
      </c>
      <c r="L747">
        <v>4</v>
      </c>
      <c r="M747">
        <v>3</v>
      </c>
      <c r="N747" t="s">
        <v>3</v>
      </c>
      <c r="O747">
        <v>2</v>
      </c>
    </row>
    <row r="748" spans="1:206" x14ac:dyDescent="0.2">
      <c r="A748">
        <v>50</v>
      </c>
      <c r="B748">
        <v>0</v>
      </c>
      <c r="C748">
        <v>0</v>
      </c>
      <c r="D748">
        <v>1</v>
      </c>
      <c r="E748">
        <v>226</v>
      </c>
      <c r="F748">
        <f>ROUND(Source!AW742,O748)</f>
        <v>3859523.55</v>
      </c>
      <c r="G748" t="s">
        <v>150</v>
      </c>
      <c r="H748" t="s">
        <v>151</v>
      </c>
      <c r="K748">
        <v>226</v>
      </c>
      <c r="L748">
        <v>5</v>
      </c>
      <c r="M748">
        <v>3</v>
      </c>
      <c r="N748" t="s">
        <v>3</v>
      </c>
      <c r="O748">
        <v>2</v>
      </c>
    </row>
    <row r="749" spans="1:206" x14ac:dyDescent="0.2">
      <c r="A749">
        <v>50</v>
      </c>
      <c r="B749">
        <v>0</v>
      </c>
      <c r="C749">
        <v>0</v>
      </c>
      <c r="D749">
        <v>1</v>
      </c>
      <c r="E749">
        <v>227</v>
      </c>
      <c r="F749">
        <f>ROUND(Source!AX742,O749)</f>
        <v>0</v>
      </c>
      <c r="G749" t="s">
        <v>152</v>
      </c>
      <c r="H749" t="s">
        <v>153</v>
      </c>
      <c r="K749">
        <v>227</v>
      </c>
      <c r="L749">
        <v>6</v>
      </c>
      <c r="M749">
        <v>3</v>
      </c>
      <c r="N749" t="s">
        <v>3</v>
      </c>
      <c r="O749">
        <v>2</v>
      </c>
    </row>
    <row r="750" spans="1:206" x14ac:dyDescent="0.2">
      <c r="A750">
        <v>50</v>
      </c>
      <c r="B750">
        <v>0</v>
      </c>
      <c r="C750">
        <v>0</v>
      </c>
      <c r="D750">
        <v>1</v>
      </c>
      <c r="E750">
        <v>228</v>
      </c>
      <c r="F750">
        <f>ROUND(Source!AY742,O750)</f>
        <v>3859523.55</v>
      </c>
      <c r="G750" t="s">
        <v>154</v>
      </c>
      <c r="H750" t="s">
        <v>155</v>
      </c>
      <c r="K750">
        <v>228</v>
      </c>
      <c r="L750">
        <v>7</v>
      </c>
      <c r="M750">
        <v>3</v>
      </c>
      <c r="N750" t="s">
        <v>3</v>
      </c>
      <c r="O750">
        <v>2</v>
      </c>
    </row>
    <row r="751" spans="1:206" x14ac:dyDescent="0.2">
      <c r="A751">
        <v>50</v>
      </c>
      <c r="B751">
        <v>0</v>
      </c>
      <c r="C751">
        <v>0</v>
      </c>
      <c r="D751">
        <v>1</v>
      </c>
      <c r="E751">
        <v>216</v>
      </c>
      <c r="F751">
        <f>ROUND(Source!AP742,O751)</f>
        <v>0</v>
      </c>
      <c r="G751" t="s">
        <v>156</v>
      </c>
      <c r="H751" t="s">
        <v>157</v>
      </c>
      <c r="K751">
        <v>216</v>
      </c>
      <c r="L751">
        <v>8</v>
      </c>
      <c r="M751">
        <v>3</v>
      </c>
      <c r="N751" t="s">
        <v>3</v>
      </c>
      <c r="O751">
        <v>2</v>
      </c>
    </row>
    <row r="752" spans="1:206" x14ac:dyDescent="0.2">
      <c r="A752">
        <v>50</v>
      </c>
      <c r="B752">
        <v>0</v>
      </c>
      <c r="C752">
        <v>0</v>
      </c>
      <c r="D752">
        <v>1</v>
      </c>
      <c r="E752">
        <v>223</v>
      </c>
      <c r="F752">
        <f>ROUND(Source!AQ742,O752)</f>
        <v>0</v>
      </c>
      <c r="G752" t="s">
        <v>158</v>
      </c>
      <c r="H752" t="s">
        <v>159</v>
      </c>
      <c r="K752">
        <v>223</v>
      </c>
      <c r="L752">
        <v>9</v>
      </c>
      <c r="M752">
        <v>3</v>
      </c>
      <c r="N752" t="s">
        <v>3</v>
      </c>
      <c r="O752">
        <v>2</v>
      </c>
    </row>
    <row r="753" spans="1:15" x14ac:dyDescent="0.2">
      <c r="A753">
        <v>50</v>
      </c>
      <c r="B753">
        <v>0</v>
      </c>
      <c r="C753">
        <v>0</v>
      </c>
      <c r="D753">
        <v>1</v>
      </c>
      <c r="E753">
        <v>229</v>
      </c>
      <c r="F753">
        <f>ROUND(Source!AZ742,O753)</f>
        <v>0</v>
      </c>
      <c r="G753" t="s">
        <v>160</v>
      </c>
      <c r="H753" t="s">
        <v>161</v>
      </c>
      <c r="K753">
        <v>229</v>
      </c>
      <c r="L753">
        <v>10</v>
      </c>
      <c r="M753">
        <v>3</v>
      </c>
      <c r="N753" t="s">
        <v>3</v>
      </c>
      <c r="O753">
        <v>2</v>
      </c>
    </row>
    <row r="754" spans="1:15" x14ac:dyDescent="0.2">
      <c r="A754">
        <v>50</v>
      </c>
      <c r="B754">
        <v>0</v>
      </c>
      <c r="C754">
        <v>0</v>
      </c>
      <c r="D754">
        <v>1</v>
      </c>
      <c r="E754">
        <v>203</v>
      </c>
      <c r="F754">
        <f>ROUND(Source!Q742,O754)</f>
        <v>291912.86</v>
      </c>
      <c r="G754" t="s">
        <v>162</v>
      </c>
      <c r="H754" t="s">
        <v>163</v>
      </c>
      <c r="K754">
        <v>203</v>
      </c>
      <c r="L754">
        <v>11</v>
      </c>
      <c r="M754">
        <v>3</v>
      </c>
      <c r="N754" t="s">
        <v>3</v>
      </c>
      <c r="O754">
        <v>2</v>
      </c>
    </row>
    <row r="755" spans="1:15" x14ac:dyDescent="0.2">
      <c r="A755">
        <v>50</v>
      </c>
      <c r="B755">
        <v>0</v>
      </c>
      <c r="C755">
        <v>0</v>
      </c>
      <c r="D755">
        <v>1</v>
      </c>
      <c r="E755">
        <v>231</v>
      </c>
      <c r="F755">
        <f>ROUND(Source!BB742,O755)</f>
        <v>0</v>
      </c>
      <c r="G755" t="s">
        <v>164</v>
      </c>
      <c r="H755" t="s">
        <v>165</v>
      </c>
      <c r="K755">
        <v>231</v>
      </c>
      <c r="L755">
        <v>12</v>
      </c>
      <c r="M755">
        <v>3</v>
      </c>
      <c r="N755" t="s">
        <v>3</v>
      </c>
      <c r="O755">
        <v>2</v>
      </c>
    </row>
    <row r="756" spans="1:15" x14ac:dyDescent="0.2">
      <c r="A756">
        <v>50</v>
      </c>
      <c r="B756">
        <v>0</v>
      </c>
      <c r="C756">
        <v>0</v>
      </c>
      <c r="D756">
        <v>1</v>
      </c>
      <c r="E756">
        <v>204</v>
      </c>
      <c r="F756">
        <f>ROUND(Source!R742,O756)</f>
        <v>149888.5</v>
      </c>
      <c r="G756" t="s">
        <v>166</v>
      </c>
      <c r="H756" t="s">
        <v>167</v>
      </c>
      <c r="K756">
        <v>204</v>
      </c>
      <c r="L756">
        <v>13</v>
      </c>
      <c r="M756">
        <v>3</v>
      </c>
      <c r="N756" t="s">
        <v>3</v>
      </c>
      <c r="O756">
        <v>2</v>
      </c>
    </row>
    <row r="757" spans="1:15" x14ac:dyDescent="0.2">
      <c r="A757">
        <v>50</v>
      </c>
      <c r="B757">
        <v>0</v>
      </c>
      <c r="C757">
        <v>0</v>
      </c>
      <c r="D757">
        <v>1</v>
      </c>
      <c r="E757">
        <v>205</v>
      </c>
      <c r="F757">
        <f>ROUND(Source!S742,O757)</f>
        <v>236938.94</v>
      </c>
      <c r="G757" t="s">
        <v>168</v>
      </c>
      <c r="H757" t="s">
        <v>169</v>
      </c>
      <c r="K757">
        <v>205</v>
      </c>
      <c r="L757">
        <v>14</v>
      </c>
      <c r="M757">
        <v>3</v>
      </c>
      <c r="N757" t="s">
        <v>3</v>
      </c>
      <c r="O757">
        <v>2</v>
      </c>
    </row>
    <row r="758" spans="1:15" x14ac:dyDescent="0.2">
      <c r="A758">
        <v>50</v>
      </c>
      <c r="B758">
        <v>0</v>
      </c>
      <c r="C758">
        <v>0</v>
      </c>
      <c r="D758">
        <v>1</v>
      </c>
      <c r="E758">
        <v>232</v>
      </c>
      <c r="F758">
        <f>ROUND(Source!BC742,O758)</f>
        <v>0</v>
      </c>
      <c r="G758" t="s">
        <v>170</v>
      </c>
      <c r="H758" t="s">
        <v>171</v>
      </c>
      <c r="K758">
        <v>232</v>
      </c>
      <c r="L758">
        <v>15</v>
      </c>
      <c r="M758">
        <v>3</v>
      </c>
      <c r="N758" t="s">
        <v>3</v>
      </c>
      <c r="O758">
        <v>2</v>
      </c>
    </row>
    <row r="759" spans="1:15" x14ac:dyDescent="0.2">
      <c r="A759">
        <v>50</v>
      </c>
      <c r="B759">
        <v>0</v>
      </c>
      <c r="C759">
        <v>0</v>
      </c>
      <c r="D759">
        <v>1</v>
      </c>
      <c r="E759">
        <v>214</v>
      </c>
      <c r="F759">
        <f>ROUND(Source!AS742,O759)</f>
        <v>16541.66</v>
      </c>
      <c r="G759" t="s">
        <v>172</v>
      </c>
      <c r="H759" t="s">
        <v>173</v>
      </c>
      <c r="K759">
        <v>214</v>
      </c>
      <c r="L759">
        <v>16</v>
      </c>
      <c r="M759">
        <v>3</v>
      </c>
      <c r="N759" t="s">
        <v>3</v>
      </c>
      <c r="O759">
        <v>2</v>
      </c>
    </row>
    <row r="760" spans="1:15" x14ac:dyDescent="0.2">
      <c r="A760">
        <v>50</v>
      </c>
      <c r="B760">
        <v>0</v>
      </c>
      <c r="C760">
        <v>0</v>
      </c>
      <c r="D760">
        <v>1</v>
      </c>
      <c r="E760">
        <v>215</v>
      </c>
      <c r="F760">
        <f>ROUND(Source!AT742,O760)</f>
        <v>0</v>
      </c>
      <c r="G760" t="s">
        <v>174</v>
      </c>
      <c r="H760" t="s">
        <v>175</v>
      </c>
      <c r="K760">
        <v>215</v>
      </c>
      <c r="L760">
        <v>17</v>
      </c>
      <c r="M760">
        <v>3</v>
      </c>
      <c r="N760" t="s">
        <v>3</v>
      </c>
      <c r="O760">
        <v>2</v>
      </c>
    </row>
    <row r="761" spans="1:15" x14ac:dyDescent="0.2">
      <c r="A761">
        <v>50</v>
      </c>
      <c r="B761">
        <v>0</v>
      </c>
      <c r="C761">
        <v>0</v>
      </c>
      <c r="D761">
        <v>1</v>
      </c>
      <c r="E761">
        <v>217</v>
      </c>
      <c r="F761">
        <f>ROUND(Source!AU742,O761)</f>
        <v>4604946.32</v>
      </c>
      <c r="G761" t="s">
        <v>176</v>
      </c>
      <c r="H761" t="s">
        <v>177</v>
      </c>
      <c r="K761">
        <v>217</v>
      </c>
      <c r="L761">
        <v>18</v>
      </c>
      <c r="M761">
        <v>3</v>
      </c>
      <c r="N761" t="s">
        <v>3</v>
      </c>
      <c r="O761">
        <v>2</v>
      </c>
    </row>
    <row r="762" spans="1:15" x14ac:dyDescent="0.2">
      <c r="A762">
        <v>50</v>
      </c>
      <c r="B762">
        <v>0</v>
      </c>
      <c r="C762">
        <v>0</v>
      </c>
      <c r="D762">
        <v>1</v>
      </c>
      <c r="E762">
        <v>230</v>
      </c>
      <c r="F762">
        <f>ROUND(Source!BA742,O762)</f>
        <v>0</v>
      </c>
      <c r="G762" t="s">
        <v>178</v>
      </c>
      <c r="H762" t="s">
        <v>179</v>
      </c>
      <c r="K762">
        <v>230</v>
      </c>
      <c r="L762">
        <v>19</v>
      </c>
      <c r="M762">
        <v>3</v>
      </c>
      <c r="N762" t="s">
        <v>3</v>
      </c>
      <c r="O762">
        <v>2</v>
      </c>
    </row>
    <row r="763" spans="1:15" x14ac:dyDescent="0.2">
      <c r="A763">
        <v>50</v>
      </c>
      <c r="B763">
        <v>0</v>
      </c>
      <c r="C763">
        <v>0</v>
      </c>
      <c r="D763">
        <v>1</v>
      </c>
      <c r="E763">
        <v>206</v>
      </c>
      <c r="F763">
        <f>ROUND(Source!T742,O763)</f>
        <v>0</v>
      </c>
      <c r="G763" t="s">
        <v>180</v>
      </c>
      <c r="H763" t="s">
        <v>181</v>
      </c>
      <c r="K763">
        <v>206</v>
      </c>
      <c r="L763">
        <v>20</v>
      </c>
      <c r="M763">
        <v>3</v>
      </c>
      <c r="N763" t="s">
        <v>3</v>
      </c>
      <c r="O763">
        <v>2</v>
      </c>
    </row>
    <row r="764" spans="1:15" x14ac:dyDescent="0.2">
      <c r="A764">
        <v>50</v>
      </c>
      <c r="B764">
        <v>0</v>
      </c>
      <c r="C764">
        <v>0</v>
      </c>
      <c r="D764">
        <v>1</v>
      </c>
      <c r="E764">
        <v>207</v>
      </c>
      <c r="F764">
        <f>Source!U742</f>
        <v>1157.1290277600001</v>
      </c>
      <c r="G764" t="s">
        <v>182</v>
      </c>
      <c r="H764" t="s">
        <v>183</v>
      </c>
      <c r="K764">
        <v>207</v>
      </c>
      <c r="L764">
        <v>21</v>
      </c>
      <c r="M764">
        <v>3</v>
      </c>
      <c r="N764" t="s">
        <v>3</v>
      </c>
      <c r="O764">
        <v>-1</v>
      </c>
    </row>
    <row r="765" spans="1:15" x14ac:dyDescent="0.2">
      <c r="A765">
        <v>50</v>
      </c>
      <c r="B765">
        <v>0</v>
      </c>
      <c r="C765">
        <v>0</v>
      </c>
      <c r="D765">
        <v>1</v>
      </c>
      <c r="E765">
        <v>208</v>
      </c>
      <c r="F765">
        <f>Source!V742</f>
        <v>0</v>
      </c>
      <c r="G765" t="s">
        <v>184</v>
      </c>
      <c r="H765" t="s">
        <v>185</v>
      </c>
      <c r="K765">
        <v>208</v>
      </c>
      <c r="L765">
        <v>22</v>
      </c>
      <c r="M765">
        <v>3</v>
      </c>
      <c r="N765" t="s">
        <v>3</v>
      </c>
      <c r="O765">
        <v>-1</v>
      </c>
    </row>
    <row r="766" spans="1:15" x14ac:dyDescent="0.2">
      <c r="A766">
        <v>50</v>
      </c>
      <c r="B766">
        <v>0</v>
      </c>
      <c r="C766">
        <v>0</v>
      </c>
      <c r="D766">
        <v>1</v>
      </c>
      <c r="E766">
        <v>209</v>
      </c>
      <c r="F766">
        <f>ROUND(Source!W742,O766)</f>
        <v>0</v>
      </c>
      <c r="G766" t="s">
        <v>186</v>
      </c>
      <c r="H766" t="s">
        <v>187</v>
      </c>
      <c r="K766">
        <v>209</v>
      </c>
      <c r="L766">
        <v>23</v>
      </c>
      <c r="M766">
        <v>3</v>
      </c>
      <c r="N766" t="s">
        <v>3</v>
      </c>
      <c r="O766">
        <v>2</v>
      </c>
    </row>
    <row r="767" spans="1:15" x14ac:dyDescent="0.2">
      <c r="A767">
        <v>50</v>
      </c>
      <c r="B767">
        <v>0</v>
      </c>
      <c r="C767">
        <v>0</v>
      </c>
      <c r="D767">
        <v>1</v>
      </c>
      <c r="E767">
        <v>233</v>
      </c>
      <c r="F767">
        <f>ROUND(Source!BD742,O767)</f>
        <v>0</v>
      </c>
      <c r="G767" t="s">
        <v>188</v>
      </c>
      <c r="H767" t="s">
        <v>189</v>
      </c>
      <c r="K767">
        <v>233</v>
      </c>
      <c r="L767">
        <v>24</v>
      </c>
      <c r="M767">
        <v>3</v>
      </c>
      <c r="N767" t="s">
        <v>3</v>
      </c>
      <c r="O767">
        <v>2</v>
      </c>
    </row>
    <row r="768" spans="1:15" x14ac:dyDescent="0.2">
      <c r="A768">
        <v>50</v>
      </c>
      <c r="B768">
        <v>0</v>
      </c>
      <c r="C768">
        <v>0</v>
      </c>
      <c r="D768">
        <v>1</v>
      </c>
      <c r="E768">
        <v>210</v>
      </c>
      <c r="F768">
        <f>ROUND(Source!X742,O768)</f>
        <v>165857.26999999999</v>
      </c>
      <c r="G768" t="s">
        <v>190</v>
      </c>
      <c r="H768" t="s">
        <v>191</v>
      </c>
      <c r="K768">
        <v>210</v>
      </c>
      <c r="L768">
        <v>25</v>
      </c>
      <c r="M768">
        <v>3</v>
      </c>
      <c r="N768" t="s">
        <v>3</v>
      </c>
      <c r="O768">
        <v>2</v>
      </c>
    </row>
    <row r="769" spans="1:15" x14ac:dyDescent="0.2">
      <c r="A769">
        <v>50</v>
      </c>
      <c r="B769">
        <v>0</v>
      </c>
      <c r="C769">
        <v>0</v>
      </c>
      <c r="D769">
        <v>1</v>
      </c>
      <c r="E769">
        <v>211</v>
      </c>
      <c r="F769">
        <f>ROUND(Source!Y742,O769)</f>
        <v>23693.9</v>
      </c>
      <c r="G769" t="s">
        <v>192</v>
      </c>
      <c r="H769" t="s">
        <v>193</v>
      </c>
      <c r="K769">
        <v>211</v>
      </c>
      <c r="L769">
        <v>26</v>
      </c>
      <c r="M769">
        <v>3</v>
      </c>
      <c r="N769" t="s">
        <v>3</v>
      </c>
      <c r="O769">
        <v>2</v>
      </c>
    </row>
    <row r="770" spans="1:15" x14ac:dyDescent="0.2">
      <c r="A770">
        <v>50</v>
      </c>
      <c r="B770">
        <v>0</v>
      </c>
      <c r="C770">
        <v>0</v>
      </c>
      <c r="D770">
        <v>1</v>
      </c>
      <c r="E770">
        <v>224</v>
      </c>
      <c r="F770">
        <f>ROUND(Source!AR742,O770)</f>
        <v>4621487.9800000004</v>
      </c>
      <c r="G770" t="s">
        <v>194</v>
      </c>
      <c r="H770" t="s">
        <v>195</v>
      </c>
      <c r="K770">
        <v>224</v>
      </c>
      <c r="L770">
        <v>27</v>
      </c>
      <c r="M770">
        <v>3</v>
      </c>
      <c r="N770" t="s">
        <v>3</v>
      </c>
      <c r="O770">
        <v>2</v>
      </c>
    </row>
    <row r="771" spans="1:15" x14ac:dyDescent="0.2">
      <c r="A771">
        <v>50</v>
      </c>
      <c r="B771">
        <v>1</v>
      </c>
      <c r="C771">
        <v>0</v>
      </c>
      <c r="D771">
        <v>2</v>
      </c>
      <c r="E771">
        <v>0</v>
      </c>
      <c r="F771">
        <f>ROUND(F770*0.2,O771)</f>
        <v>924297.6</v>
      </c>
      <c r="G771" t="s">
        <v>559</v>
      </c>
      <c r="H771" t="s">
        <v>560</v>
      </c>
      <c r="K771">
        <v>212</v>
      </c>
      <c r="L771">
        <v>28</v>
      </c>
      <c r="M771">
        <v>0</v>
      </c>
      <c r="N771" t="s">
        <v>3</v>
      </c>
      <c r="O771">
        <v>2</v>
      </c>
    </row>
    <row r="772" spans="1:15" x14ac:dyDescent="0.2">
      <c r="A772">
        <v>50</v>
      </c>
      <c r="B772">
        <v>1</v>
      </c>
      <c r="C772">
        <v>0</v>
      </c>
      <c r="D772">
        <v>2</v>
      </c>
      <c r="E772">
        <v>0</v>
      </c>
      <c r="F772">
        <f>ROUND(F770+F771,O772)</f>
        <v>5545785.5800000001</v>
      </c>
      <c r="G772" t="s">
        <v>561</v>
      </c>
      <c r="H772" t="s">
        <v>562</v>
      </c>
      <c r="K772">
        <v>212</v>
      </c>
      <c r="L772">
        <v>29</v>
      </c>
      <c r="M772">
        <v>0</v>
      </c>
      <c r="N772" t="s">
        <v>3</v>
      </c>
      <c r="O772">
        <v>2</v>
      </c>
    </row>
    <row r="775" spans="1:15" x14ac:dyDescent="0.2">
      <c r="A775">
        <v>-1</v>
      </c>
    </row>
    <row r="777" spans="1:15" x14ac:dyDescent="0.2">
      <c r="A777">
        <v>75</v>
      </c>
      <c r="B777" t="s">
        <v>563</v>
      </c>
      <c r="C777">
        <v>2020</v>
      </c>
      <c r="D777">
        <v>0</v>
      </c>
      <c r="E777">
        <v>10</v>
      </c>
      <c r="F777">
        <v>0</v>
      </c>
      <c r="G777">
        <v>0</v>
      </c>
      <c r="H777">
        <v>1</v>
      </c>
      <c r="I777">
        <v>0</v>
      </c>
      <c r="J777">
        <v>1</v>
      </c>
      <c r="K777">
        <v>78</v>
      </c>
      <c r="L777">
        <v>30</v>
      </c>
      <c r="M777">
        <v>0</v>
      </c>
      <c r="N777">
        <v>71209905</v>
      </c>
      <c r="O777">
        <v>1</v>
      </c>
    </row>
    <row r="781" spans="1:15" x14ac:dyDescent="0.2">
      <c r="A781">
        <v>65</v>
      </c>
      <c r="C781">
        <v>1</v>
      </c>
      <c r="D781">
        <v>0</v>
      </c>
      <c r="E781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5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564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15859</v>
      </c>
      <c r="M1">
        <v>10</v>
      </c>
      <c r="N1">
        <v>11</v>
      </c>
      <c r="O1">
        <v>0</v>
      </c>
      <c r="P1">
        <v>2</v>
      </c>
      <c r="Q1">
        <v>6</v>
      </c>
    </row>
    <row r="12" spans="1:133" x14ac:dyDescent="0.2">
      <c r="A12">
        <v>1</v>
      </c>
      <c r="B12">
        <v>55</v>
      </c>
      <c r="C12">
        <v>0</v>
      </c>
      <c r="E12">
        <v>0</v>
      </c>
      <c r="F12" t="s">
        <v>4</v>
      </c>
      <c r="G12" t="s">
        <v>5</v>
      </c>
      <c r="H12" t="s">
        <v>3</v>
      </c>
      <c r="I12">
        <v>0</v>
      </c>
      <c r="J12" t="s">
        <v>3</v>
      </c>
      <c r="K12">
        <v>0</v>
      </c>
      <c r="O12">
        <v>0</v>
      </c>
      <c r="P12">
        <v>0</v>
      </c>
      <c r="Q12">
        <v>0</v>
      </c>
      <c r="R12">
        <v>108</v>
      </c>
      <c r="U12" t="s">
        <v>3</v>
      </c>
      <c r="V12">
        <v>0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L12" t="s">
        <v>3</v>
      </c>
      <c r="AM12" t="s">
        <v>3</v>
      </c>
      <c r="AN12" t="s">
        <v>3</v>
      </c>
      <c r="AP12" t="s">
        <v>3</v>
      </c>
      <c r="AQ12" t="s">
        <v>3</v>
      </c>
      <c r="AR12" t="s">
        <v>3</v>
      </c>
      <c r="AX12" t="s">
        <v>3</v>
      </c>
      <c r="AY12" t="s">
        <v>3</v>
      </c>
      <c r="AZ12" t="s">
        <v>3</v>
      </c>
      <c r="BH12" t="s">
        <v>6</v>
      </c>
      <c r="BI12" t="s">
        <v>7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6</v>
      </c>
      <c r="BQ12">
        <v>2</v>
      </c>
      <c r="BR12">
        <v>1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0</v>
      </c>
      <c r="BY12" t="s">
        <v>8</v>
      </c>
      <c r="BZ12" t="s">
        <v>9</v>
      </c>
      <c r="CA12" t="s">
        <v>10</v>
      </c>
      <c r="CB12" t="s">
        <v>10</v>
      </c>
      <c r="CC12" t="s">
        <v>10</v>
      </c>
      <c r="CD12" t="s">
        <v>10</v>
      </c>
      <c r="CE12" t="s">
        <v>11</v>
      </c>
      <c r="CF12">
        <v>0</v>
      </c>
      <c r="CG12">
        <v>0</v>
      </c>
      <c r="CH12">
        <v>8</v>
      </c>
      <c r="CI12" t="s">
        <v>3</v>
      </c>
      <c r="CJ12" t="s">
        <v>3</v>
      </c>
      <c r="CK12">
        <v>0</v>
      </c>
      <c r="EC12">
        <v>0</v>
      </c>
    </row>
    <row r="14" spans="1:133" x14ac:dyDescent="0.2">
      <c r="A14">
        <v>22</v>
      </c>
      <c r="B14">
        <v>0</v>
      </c>
      <c r="C14">
        <v>0</v>
      </c>
      <c r="D14">
        <v>71209905</v>
      </c>
      <c r="E14">
        <v>0</v>
      </c>
      <c r="F14">
        <v>3</v>
      </c>
    </row>
    <row r="16" spans="1:133" x14ac:dyDescent="0.2">
      <c r="A16">
        <v>3</v>
      </c>
      <c r="B16">
        <v>1</v>
      </c>
      <c r="C16" t="s">
        <v>12</v>
      </c>
      <c r="D16" t="s">
        <v>13</v>
      </c>
      <c r="E16">
        <f>(Source!F422)/1000</f>
        <v>16.54166</v>
      </c>
      <c r="F16">
        <f>(Source!F423)/1000</f>
        <v>0</v>
      </c>
      <c r="G16">
        <f>(Source!F414)/1000</f>
        <v>0</v>
      </c>
      <c r="H16">
        <f>(Source!F424)/1000+(Source!F425)/1000</f>
        <v>1489.9747199999999</v>
      </c>
      <c r="I16">
        <f>E16+F16+G16+H16</f>
        <v>1506.51638</v>
      </c>
      <c r="J16">
        <f>(Source!F420)/1000</f>
        <v>149.58616000000001</v>
      </c>
      <c r="AI16">
        <v>0</v>
      </c>
      <c r="AJ16">
        <v>-1</v>
      </c>
      <c r="AK16" t="s">
        <v>3</v>
      </c>
      <c r="AL16" t="s">
        <v>3</v>
      </c>
      <c r="AM16" t="s">
        <v>3</v>
      </c>
      <c r="AN16">
        <v>0</v>
      </c>
      <c r="AO16" t="s">
        <v>3</v>
      </c>
      <c r="AP16" t="s">
        <v>3</v>
      </c>
      <c r="AT16">
        <v>1349754.17</v>
      </c>
      <c r="AU16">
        <v>932604.97</v>
      </c>
      <c r="AV16">
        <v>0</v>
      </c>
      <c r="AW16">
        <v>0</v>
      </c>
      <c r="AX16">
        <v>0</v>
      </c>
      <c r="AY16">
        <v>267563.03999999998</v>
      </c>
      <c r="AZ16">
        <v>143899.42000000001</v>
      </c>
      <c r="BA16">
        <v>149586.16</v>
      </c>
      <c r="BB16">
        <v>16541.66</v>
      </c>
      <c r="BC16">
        <v>0</v>
      </c>
      <c r="BD16">
        <v>1489974.72</v>
      </c>
      <c r="BE16">
        <v>0</v>
      </c>
      <c r="BF16">
        <v>737.09932775999982</v>
      </c>
      <c r="BG16">
        <v>0</v>
      </c>
      <c r="BH16">
        <v>0</v>
      </c>
      <c r="BI16">
        <v>104710.33</v>
      </c>
      <c r="BJ16">
        <v>14958.62</v>
      </c>
      <c r="BK16">
        <v>1506516.38</v>
      </c>
    </row>
    <row r="17" spans="1:63" x14ac:dyDescent="0.2">
      <c r="A17">
        <v>3</v>
      </c>
      <c r="B17">
        <v>2</v>
      </c>
      <c r="C17" t="s">
        <v>12</v>
      </c>
      <c r="D17" t="s">
        <v>356</v>
      </c>
      <c r="E17">
        <f>(Source!F613)/1000</f>
        <v>0</v>
      </c>
      <c r="F17">
        <f>(Source!F614)/1000</f>
        <v>0</v>
      </c>
      <c r="G17">
        <f>(Source!F605)/1000</f>
        <v>0</v>
      </c>
      <c r="H17">
        <f>(Source!F615)/1000+(Source!F616)/1000</f>
        <v>2826.1452799999997</v>
      </c>
      <c r="I17">
        <f>E17+F17+G17+H17</f>
        <v>2826.1452799999997</v>
      </c>
      <c r="J17">
        <f>(Source!F611)/1000</f>
        <v>0.67991999999999997</v>
      </c>
      <c r="AI17">
        <v>0</v>
      </c>
      <c r="AJ17">
        <v>-1</v>
      </c>
      <c r="AK17" t="s">
        <v>3</v>
      </c>
      <c r="AL17" t="s">
        <v>3</v>
      </c>
      <c r="AM17" t="s">
        <v>3</v>
      </c>
      <c r="AN17">
        <v>0</v>
      </c>
      <c r="AO17" t="s">
        <v>3</v>
      </c>
      <c r="AP17" t="s">
        <v>3</v>
      </c>
      <c r="AT17">
        <v>2825601.35</v>
      </c>
      <c r="AU17">
        <v>2824921.43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679.92</v>
      </c>
      <c r="BB17">
        <v>0</v>
      </c>
      <c r="BC17">
        <v>0</v>
      </c>
      <c r="BD17">
        <v>2826145.28</v>
      </c>
      <c r="BE17">
        <v>0</v>
      </c>
      <c r="BF17">
        <v>2.8632</v>
      </c>
      <c r="BG17">
        <v>0</v>
      </c>
      <c r="BH17">
        <v>0</v>
      </c>
      <c r="BI17">
        <v>475.94</v>
      </c>
      <c r="BJ17">
        <v>67.989999999999995</v>
      </c>
      <c r="BK17">
        <v>2826145.28</v>
      </c>
    </row>
    <row r="18" spans="1:63" x14ac:dyDescent="0.2">
      <c r="A18">
        <v>3</v>
      </c>
      <c r="B18">
        <v>3</v>
      </c>
      <c r="C18" t="s">
        <v>12</v>
      </c>
      <c r="D18" t="s">
        <v>527</v>
      </c>
      <c r="E18">
        <f>(Source!F725)/1000</f>
        <v>0</v>
      </c>
      <c r="F18">
        <f>(Source!F726)/1000</f>
        <v>0</v>
      </c>
      <c r="G18">
        <f>(Source!F717)/1000</f>
        <v>0</v>
      </c>
      <c r="H18">
        <f>(Source!F727)/1000+(Source!F728)/1000</f>
        <v>288.82632000000001</v>
      </c>
      <c r="I18">
        <f>E18+F18+G18+H18</f>
        <v>288.82632000000001</v>
      </c>
      <c r="J18">
        <f>(Source!F723)/1000</f>
        <v>86.67286</v>
      </c>
      <c r="AI18">
        <v>0</v>
      </c>
      <c r="AJ18">
        <v>-1</v>
      </c>
      <c r="AK18" t="s">
        <v>3</v>
      </c>
      <c r="AL18" t="s">
        <v>3</v>
      </c>
      <c r="AM18" t="s">
        <v>3</v>
      </c>
      <c r="AN18">
        <v>0</v>
      </c>
      <c r="AO18" t="s">
        <v>3</v>
      </c>
      <c r="AP18" t="s">
        <v>3</v>
      </c>
      <c r="AT18">
        <v>213019.83</v>
      </c>
      <c r="AU18">
        <v>101997.15</v>
      </c>
      <c r="AV18">
        <v>0</v>
      </c>
      <c r="AW18">
        <v>0</v>
      </c>
      <c r="AX18">
        <v>0</v>
      </c>
      <c r="AY18">
        <v>24349.82</v>
      </c>
      <c r="AZ18">
        <v>5989.08</v>
      </c>
      <c r="BA18">
        <v>86672.86</v>
      </c>
      <c r="BB18">
        <v>0</v>
      </c>
      <c r="BC18">
        <v>0</v>
      </c>
      <c r="BD18">
        <v>288826.32</v>
      </c>
      <c r="BE18">
        <v>0</v>
      </c>
      <c r="BF18">
        <v>417.16649999999998</v>
      </c>
      <c r="BG18">
        <v>0</v>
      </c>
      <c r="BH18">
        <v>0</v>
      </c>
      <c r="BI18">
        <v>60671</v>
      </c>
      <c r="BJ18">
        <v>8667.2900000000009</v>
      </c>
      <c r="BK18">
        <v>288826.32</v>
      </c>
    </row>
    <row r="20" spans="1:63" x14ac:dyDescent="0.2">
      <c r="A20">
        <v>51</v>
      </c>
      <c r="E20">
        <f>SUMIF(A16:A19,3,E16:E19)</f>
        <v>16.54166</v>
      </c>
      <c r="F20">
        <f>SUMIF(A16:A19,3,F16:F19)</f>
        <v>0</v>
      </c>
      <c r="G20">
        <f>SUMIF(A16:A19,3,G16:G19)</f>
        <v>0</v>
      </c>
      <c r="H20">
        <f>SUMIF(A16:A19,3,H16:H19)</f>
        <v>4604.94632</v>
      </c>
      <c r="I20">
        <f>SUMIF(A16:A19,3,I16:I19)</f>
        <v>4621.4879799999999</v>
      </c>
      <c r="J20">
        <f>SUMIF(A16:A19,3,J16:J19)</f>
        <v>236.93894</v>
      </c>
    </row>
    <row r="22" spans="1:63" x14ac:dyDescent="0.2">
      <c r="A22">
        <v>50</v>
      </c>
      <c r="B22">
        <v>0</v>
      </c>
      <c r="C22">
        <v>0</v>
      </c>
      <c r="D22">
        <v>1</v>
      </c>
      <c r="E22">
        <v>201</v>
      </c>
      <c r="F22">
        <v>4388375.3499999996</v>
      </c>
      <c r="G22" t="s">
        <v>142</v>
      </c>
      <c r="H22" t="s">
        <v>143</v>
      </c>
      <c r="K22">
        <v>201</v>
      </c>
      <c r="L22">
        <v>1</v>
      </c>
      <c r="M22">
        <v>3</v>
      </c>
      <c r="N22" t="s">
        <v>3</v>
      </c>
      <c r="O22">
        <v>2</v>
      </c>
    </row>
    <row r="23" spans="1:63" x14ac:dyDescent="0.2">
      <c r="A23">
        <v>50</v>
      </c>
      <c r="B23">
        <v>0</v>
      </c>
      <c r="C23">
        <v>0</v>
      </c>
      <c r="D23">
        <v>1</v>
      </c>
      <c r="E23">
        <v>202</v>
      </c>
      <c r="F23">
        <v>3859523.55</v>
      </c>
      <c r="G23" t="s">
        <v>144</v>
      </c>
      <c r="H23" t="s">
        <v>145</v>
      </c>
      <c r="K23">
        <v>202</v>
      </c>
      <c r="L23">
        <v>2</v>
      </c>
      <c r="M23">
        <v>3</v>
      </c>
      <c r="N23" t="s">
        <v>3</v>
      </c>
      <c r="O23">
        <v>2</v>
      </c>
    </row>
    <row r="24" spans="1:63" x14ac:dyDescent="0.2">
      <c r="A24">
        <v>50</v>
      </c>
      <c r="B24">
        <v>0</v>
      </c>
      <c r="C24">
        <v>0</v>
      </c>
      <c r="D24">
        <v>1</v>
      </c>
      <c r="E24">
        <v>222</v>
      </c>
      <c r="F24">
        <v>0</v>
      </c>
      <c r="G24" t="s">
        <v>146</v>
      </c>
      <c r="H24" t="s">
        <v>147</v>
      </c>
      <c r="K24">
        <v>222</v>
      </c>
      <c r="L24">
        <v>3</v>
      </c>
      <c r="M24">
        <v>3</v>
      </c>
      <c r="N24" t="s">
        <v>3</v>
      </c>
      <c r="O24">
        <v>2</v>
      </c>
    </row>
    <row r="25" spans="1:63" x14ac:dyDescent="0.2">
      <c r="A25">
        <v>50</v>
      </c>
      <c r="B25">
        <v>0</v>
      </c>
      <c r="C25">
        <v>0</v>
      </c>
      <c r="D25">
        <v>1</v>
      </c>
      <c r="E25">
        <v>225</v>
      </c>
      <c r="F25">
        <v>3859523.55</v>
      </c>
      <c r="G25" t="s">
        <v>148</v>
      </c>
      <c r="H25" t="s">
        <v>149</v>
      </c>
      <c r="K25">
        <v>225</v>
      </c>
      <c r="L25">
        <v>4</v>
      </c>
      <c r="M25">
        <v>3</v>
      </c>
      <c r="N25" t="s">
        <v>3</v>
      </c>
      <c r="O25">
        <v>2</v>
      </c>
    </row>
    <row r="26" spans="1:63" x14ac:dyDescent="0.2">
      <c r="A26">
        <v>50</v>
      </c>
      <c r="B26">
        <v>0</v>
      </c>
      <c r="C26">
        <v>0</v>
      </c>
      <c r="D26">
        <v>1</v>
      </c>
      <c r="E26">
        <v>226</v>
      </c>
      <c r="F26">
        <v>3859523.55</v>
      </c>
      <c r="G26" t="s">
        <v>150</v>
      </c>
      <c r="H26" t="s">
        <v>151</v>
      </c>
      <c r="K26">
        <v>226</v>
      </c>
      <c r="L26">
        <v>5</v>
      </c>
      <c r="M26">
        <v>3</v>
      </c>
      <c r="N26" t="s">
        <v>3</v>
      </c>
      <c r="O26">
        <v>2</v>
      </c>
    </row>
    <row r="27" spans="1:63" x14ac:dyDescent="0.2">
      <c r="A27">
        <v>50</v>
      </c>
      <c r="B27">
        <v>0</v>
      </c>
      <c r="C27">
        <v>0</v>
      </c>
      <c r="D27">
        <v>1</v>
      </c>
      <c r="E27">
        <v>227</v>
      </c>
      <c r="F27">
        <v>0</v>
      </c>
      <c r="G27" t="s">
        <v>152</v>
      </c>
      <c r="H27" t="s">
        <v>153</v>
      </c>
      <c r="K27">
        <v>227</v>
      </c>
      <c r="L27">
        <v>6</v>
      </c>
      <c r="M27">
        <v>3</v>
      </c>
      <c r="N27" t="s">
        <v>3</v>
      </c>
      <c r="O27">
        <v>2</v>
      </c>
    </row>
    <row r="28" spans="1:63" x14ac:dyDescent="0.2">
      <c r="A28">
        <v>50</v>
      </c>
      <c r="B28">
        <v>0</v>
      </c>
      <c r="C28">
        <v>0</v>
      </c>
      <c r="D28">
        <v>1</v>
      </c>
      <c r="E28">
        <v>228</v>
      </c>
      <c r="F28">
        <v>3859523.55</v>
      </c>
      <c r="G28" t="s">
        <v>154</v>
      </c>
      <c r="H28" t="s">
        <v>155</v>
      </c>
      <c r="K28">
        <v>228</v>
      </c>
      <c r="L28">
        <v>7</v>
      </c>
      <c r="M28">
        <v>3</v>
      </c>
      <c r="N28" t="s">
        <v>3</v>
      </c>
      <c r="O28">
        <v>2</v>
      </c>
    </row>
    <row r="29" spans="1:63" x14ac:dyDescent="0.2">
      <c r="A29">
        <v>50</v>
      </c>
      <c r="B29">
        <v>0</v>
      </c>
      <c r="C29">
        <v>0</v>
      </c>
      <c r="D29">
        <v>1</v>
      </c>
      <c r="E29">
        <v>216</v>
      </c>
      <c r="F29">
        <v>0</v>
      </c>
      <c r="G29" t="s">
        <v>156</v>
      </c>
      <c r="H29" t="s">
        <v>157</v>
      </c>
      <c r="K29">
        <v>216</v>
      </c>
      <c r="L29">
        <v>8</v>
      </c>
      <c r="M29">
        <v>3</v>
      </c>
      <c r="N29" t="s">
        <v>3</v>
      </c>
      <c r="O29">
        <v>2</v>
      </c>
    </row>
    <row r="30" spans="1:63" x14ac:dyDescent="0.2">
      <c r="A30">
        <v>50</v>
      </c>
      <c r="B30">
        <v>0</v>
      </c>
      <c r="C30">
        <v>0</v>
      </c>
      <c r="D30">
        <v>1</v>
      </c>
      <c r="E30">
        <v>223</v>
      </c>
      <c r="F30">
        <v>0</v>
      </c>
      <c r="G30" t="s">
        <v>158</v>
      </c>
      <c r="H30" t="s">
        <v>159</v>
      </c>
      <c r="K30">
        <v>223</v>
      </c>
      <c r="L30">
        <v>9</v>
      </c>
      <c r="M30">
        <v>3</v>
      </c>
      <c r="N30" t="s">
        <v>3</v>
      </c>
      <c r="O30">
        <v>2</v>
      </c>
    </row>
    <row r="31" spans="1:63" x14ac:dyDescent="0.2">
      <c r="A31">
        <v>50</v>
      </c>
      <c r="B31">
        <v>0</v>
      </c>
      <c r="C31">
        <v>0</v>
      </c>
      <c r="D31">
        <v>1</v>
      </c>
      <c r="E31">
        <v>229</v>
      </c>
      <c r="F31">
        <v>0</v>
      </c>
      <c r="G31" t="s">
        <v>160</v>
      </c>
      <c r="H31" t="s">
        <v>161</v>
      </c>
      <c r="K31">
        <v>229</v>
      </c>
      <c r="L31">
        <v>10</v>
      </c>
      <c r="M31">
        <v>3</v>
      </c>
      <c r="N31" t="s">
        <v>3</v>
      </c>
      <c r="O31">
        <v>2</v>
      </c>
    </row>
    <row r="32" spans="1:63" x14ac:dyDescent="0.2">
      <c r="A32">
        <v>50</v>
      </c>
      <c r="B32">
        <v>0</v>
      </c>
      <c r="C32">
        <v>0</v>
      </c>
      <c r="D32">
        <v>1</v>
      </c>
      <c r="E32">
        <v>203</v>
      </c>
      <c r="F32">
        <v>291912.86</v>
      </c>
      <c r="G32" t="s">
        <v>162</v>
      </c>
      <c r="H32" t="s">
        <v>163</v>
      </c>
      <c r="K32">
        <v>203</v>
      </c>
      <c r="L32">
        <v>11</v>
      </c>
      <c r="M32">
        <v>3</v>
      </c>
      <c r="N32" t="s">
        <v>3</v>
      </c>
      <c r="O32">
        <v>2</v>
      </c>
    </row>
    <row r="33" spans="1:15" x14ac:dyDescent="0.2">
      <c r="A33">
        <v>50</v>
      </c>
      <c r="B33">
        <v>0</v>
      </c>
      <c r="C33">
        <v>0</v>
      </c>
      <c r="D33">
        <v>1</v>
      </c>
      <c r="E33">
        <v>231</v>
      </c>
      <c r="F33">
        <v>0</v>
      </c>
      <c r="G33" t="s">
        <v>164</v>
      </c>
      <c r="H33" t="s">
        <v>165</v>
      </c>
      <c r="K33">
        <v>231</v>
      </c>
      <c r="L33">
        <v>12</v>
      </c>
      <c r="M33">
        <v>3</v>
      </c>
      <c r="N33" t="s">
        <v>3</v>
      </c>
      <c r="O33">
        <v>2</v>
      </c>
    </row>
    <row r="34" spans="1:15" x14ac:dyDescent="0.2">
      <c r="A34">
        <v>50</v>
      </c>
      <c r="B34">
        <v>0</v>
      </c>
      <c r="C34">
        <v>0</v>
      </c>
      <c r="D34">
        <v>1</v>
      </c>
      <c r="E34">
        <v>204</v>
      </c>
      <c r="F34">
        <v>149888.5</v>
      </c>
      <c r="G34" t="s">
        <v>166</v>
      </c>
      <c r="H34" t="s">
        <v>167</v>
      </c>
      <c r="K34">
        <v>204</v>
      </c>
      <c r="L34">
        <v>13</v>
      </c>
      <c r="M34">
        <v>3</v>
      </c>
      <c r="N34" t="s">
        <v>3</v>
      </c>
      <c r="O34">
        <v>2</v>
      </c>
    </row>
    <row r="35" spans="1:15" x14ac:dyDescent="0.2">
      <c r="A35">
        <v>50</v>
      </c>
      <c r="B35">
        <v>0</v>
      </c>
      <c r="C35">
        <v>0</v>
      </c>
      <c r="D35">
        <v>1</v>
      </c>
      <c r="E35">
        <v>205</v>
      </c>
      <c r="F35">
        <v>236938.94</v>
      </c>
      <c r="G35" t="s">
        <v>168</v>
      </c>
      <c r="H35" t="s">
        <v>169</v>
      </c>
      <c r="K35">
        <v>205</v>
      </c>
      <c r="L35">
        <v>14</v>
      </c>
      <c r="M35">
        <v>3</v>
      </c>
      <c r="N35" t="s">
        <v>3</v>
      </c>
      <c r="O35">
        <v>2</v>
      </c>
    </row>
    <row r="36" spans="1:15" x14ac:dyDescent="0.2">
      <c r="A36">
        <v>50</v>
      </c>
      <c r="B36">
        <v>0</v>
      </c>
      <c r="C36">
        <v>0</v>
      </c>
      <c r="D36">
        <v>1</v>
      </c>
      <c r="E36">
        <v>232</v>
      </c>
      <c r="F36">
        <v>0</v>
      </c>
      <c r="G36" t="s">
        <v>170</v>
      </c>
      <c r="H36" t="s">
        <v>171</v>
      </c>
      <c r="K36">
        <v>232</v>
      </c>
      <c r="L36">
        <v>15</v>
      </c>
      <c r="M36">
        <v>3</v>
      </c>
      <c r="N36" t="s">
        <v>3</v>
      </c>
      <c r="O36">
        <v>2</v>
      </c>
    </row>
    <row r="37" spans="1:15" x14ac:dyDescent="0.2">
      <c r="A37">
        <v>50</v>
      </c>
      <c r="B37">
        <v>0</v>
      </c>
      <c r="C37">
        <v>0</v>
      </c>
      <c r="D37">
        <v>1</v>
      </c>
      <c r="E37">
        <v>214</v>
      </c>
      <c r="F37">
        <v>16541.66</v>
      </c>
      <c r="G37" t="s">
        <v>172</v>
      </c>
      <c r="H37" t="s">
        <v>173</v>
      </c>
      <c r="K37">
        <v>214</v>
      </c>
      <c r="L37">
        <v>16</v>
      </c>
      <c r="M37">
        <v>3</v>
      </c>
      <c r="N37" t="s">
        <v>3</v>
      </c>
      <c r="O37">
        <v>2</v>
      </c>
    </row>
    <row r="38" spans="1:15" x14ac:dyDescent="0.2">
      <c r="A38">
        <v>50</v>
      </c>
      <c r="B38">
        <v>0</v>
      </c>
      <c r="C38">
        <v>0</v>
      </c>
      <c r="D38">
        <v>1</v>
      </c>
      <c r="E38">
        <v>215</v>
      </c>
      <c r="F38">
        <v>0</v>
      </c>
      <c r="G38" t="s">
        <v>174</v>
      </c>
      <c r="H38" t="s">
        <v>175</v>
      </c>
      <c r="K38">
        <v>215</v>
      </c>
      <c r="L38">
        <v>17</v>
      </c>
      <c r="M38">
        <v>3</v>
      </c>
      <c r="N38" t="s">
        <v>3</v>
      </c>
      <c r="O38">
        <v>2</v>
      </c>
    </row>
    <row r="39" spans="1:15" x14ac:dyDescent="0.2">
      <c r="A39">
        <v>50</v>
      </c>
      <c r="B39">
        <v>0</v>
      </c>
      <c r="C39">
        <v>0</v>
      </c>
      <c r="D39">
        <v>1</v>
      </c>
      <c r="E39">
        <v>217</v>
      </c>
      <c r="F39">
        <v>4604946.32</v>
      </c>
      <c r="G39" t="s">
        <v>176</v>
      </c>
      <c r="H39" t="s">
        <v>177</v>
      </c>
      <c r="K39">
        <v>217</v>
      </c>
      <c r="L39">
        <v>18</v>
      </c>
      <c r="M39">
        <v>3</v>
      </c>
      <c r="N39" t="s">
        <v>3</v>
      </c>
      <c r="O39">
        <v>2</v>
      </c>
    </row>
    <row r="40" spans="1:15" x14ac:dyDescent="0.2">
      <c r="A40">
        <v>50</v>
      </c>
      <c r="B40">
        <v>0</v>
      </c>
      <c r="C40">
        <v>0</v>
      </c>
      <c r="D40">
        <v>1</v>
      </c>
      <c r="E40">
        <v>230</v>
      </c>
      <c r="F40">
        <v>0</v>
      </c>
      <c r="G40" t="s">
        <v>178</v>
      </c>
      <c r="H40" t="s">
        <v>179</v>
      </c>
      <c r="K40">
        <v>230</v>
      </c>
      <c r="L40">
        <v>19</v>
      </c>
      <c r="M40">
        <v>3</v>
      </c>
      <c r="N40" t="s">
        <v>3</v>
      </c>
      <c r="O40">
        <v>2</v>
      </c>
    </row>
    <row r="41" spans="1:15" x14ac:dyDescent="0.2">
      <c r="A41">
        <v>50</v>
      </c>
      <c r="B41">
        <v>0</v>
      </c>
      <c r="C41">
        <v>0</v>
      </c>
      <c r="D41">
        <v>1</v>
      </c>
      <c r="E41">
        <v>206</v>
      </c>
      <c r="F41">
        <v>0</v>
      </c>
      <c r="G41" t="s">
        <v>180</v>
      </c>
      <c r="H41" t="s">
        <v>181</v>
      </c>
      <c r="K41">
        <v>206</v>
      </c>
      <c r="L41">
        <v>20</v>
      </c>
      <c r="M41">
        <v>3</v>
      </c>
      <c r="N41" t="s">
        <v>3</v>
      </c>
      <c r="O41">
        <v>2</v>
      </c>
    </row>
    <row r="42" spans="1:15" x14ac:dyDescent="0.2">
      <c r="A42">
        <v>50</v>
      </c>
      <c r="B42">
        <v>0</v>
      </c>
      <c r="C42">
        <v>0</v>
      </c>
      <c r="D42">
        <v>1</v>
      </c>
      <c r="E42">
        <v>207</v>
      </c>
      <c r="F42">
        <v>1157.1290277599996</v>
      </c>
      <c r="G42" t="s">
        <v>182</v>
      </c>
      <c r="H42" t="s">
        <v>183</v>
      </c>
      <c r="K42">
        <v>207</v>
      </c>
      <c r="L42">
        <v>21</v>
      </c>
      <c r="M42">
        <v>3</v>
      </c>
      <c r="N42" t="s">
        <v>3</v>
      </c>
      <c r="O42">
        <v>-1</v>
      </c>
    </row>
    <row r="43" spans="1:15" x14ac:dyDescent="0.2">
      <c r="A43">
        <v>50</v>
      </c>
      <c r="B43">
        <v>0</v>
      </c>
      <c r="C43">
        <v>0</v>
      </c>
      <c r="D43">
        <v>1</v>
      </c>
      <c r="E43">
        <v>208</v>
      </c>
      <c r="F43">
        <v>0</v>
      </c>
      <c r="G43" t="s">
        <v>184</v>
      </c>
      <c r="H43" t="s">
        <v>185</v>
      </c>
      <c r="K43">
        <v>208</v>
      </c>
      <c r="L43">
        <v>22</v>
      </c>
      <c r="M43">
        <v>3</v>
      </c>
      <c r="N43" t="s">
        <v>3</v>
      </c>
      <c r="O43">
        <v>-1</v>
      </c>
    </row>
    <row r="44" spans="1:15" x14ac:dyDescent="0.2">
      <c r="A44">
        <v>50</v>
      </c>
      <c r="B44">
        <v>0</v>
      </c>
      <c r="C44">
        <v>0</v>
      </c>
      <c r="D44">
        <v>1</v>
      </c>
      <c r="E44">
        <v>209</v>
      </c>
      <c r="F44">
        <v>0</v>
      </c>
      <c r="G44" t="s">
        <v>186</v>
      </c>
      <c r="H44" t="s">
        <v>187</v>
      </c>
      <c r="K44">
        <v>209</v>
      </c>
      <c r="L44">
        <v>23</v>
      </c>
      <c r="M44">
        <v>3</v>
      </c>
      <c r="N44" t="s">
        <v>3</v>
      </c>
      <c r="O44">
        <v>2</v>
      </c>
    </row>
    <row r="45" spans="1:15" x14ac:dyDescent="0.2">
      <c r="A45">
        <v>50</v>
      </c>
      <c r="B45">
        <v>0</v>
      </c>
      <c r="C45">
        <v>0</v>
      </c>
      <c r="D45">
        <v>1</v>
      </c>
      <c r="E45">
        <v>233</v>
      </c>
      <c r="F45">
        <v>0</v>
      </c>
      <c r="G45" t="s">
        <v>188</v>
      </c>
      <c r="H45" t="s">
        <v>189</v>
      </c>
      <c r="K45">
        <v>233</v>
      </c>
      <c r="L45">
        <v>24</v>
      </c>
      <c r="M45">
        <v>3</v>
      </c>
      <c r="N45" t="s">
        <v>3</v>
      </c>
      <c r="O45">
        <v>2</v>
      </c>
    </row>
    <row r="46" spans="1:15" x14ac:dyDescent="0.2">
      <c r="A46">
        <v>50</v>
      </c>
      <c r="B46">
        <v>0</v>
      </c>
      <c r="C46">
        <v>0</v>
      </c>
      <c r="D46">
        <v>1</v>
      </c>
      <c r="E46">
        <v>210</v>
      </c>
      <c r="F46">
        <v>165857.26999999999</v>
      </c>
      <c r="G46" t="s">
        <v>190</v>
      </c>
      <c r="H46" t="s">
        <v>191</v>
      </c>
      <c r="K46">
        <v>210</v>
      </c>
      <c r="L46">
        <v>25</v>
      </c>
      <c r="M46">
        <v>3</v>
      </c>
      <c r="N46" t="s">
        <v>3</v>
      </c>
      <c r="O46">
        <v>2</v>
      </c>
    </row>
    <row r="47" spans="1:15" x14ac:dyDescent="0.2">
      <c r="A47">
        <v>50</v>
      </c>
      <c r="B47">
        <v>0</v>
      </c>
      <c r="C47">
        <v>0</v>
      </c>
      <c r="D47">
        <v>1</v>
      </c>
      <c r="E47">
        <v>211</v>
      </c>
      <c r="F47">
        <v>23693.9</v>
      </c>
      <c r="G47" t="s">
        <v>192</v>
      </c>
      <c r="H47" t="s">
        <v>193</v>
      </c>
      <c r="K47">
        <v>211</v>
      </c>
      <c r="L47">
        <v>26</v>
      </c>
      <c r="M47">
        <v>3</v>
      </c>
      <c r="N47" t="s">
        <v>3</v>
      </c>
      <c r="O47">
        <v>2</v>
      </c>
    </row>
    <row r="48" spans="1:15" x14ac:dyDescent="0.2">
      <c r="A48">
        <v>50</v>
      </c>
      <c r="B48">
        <v>0</v>
      </c>
      <c r="C48">
        <v>0</v>
      </c>
      <c r="D48">
        <v>1</v>
      </c>
      <c r="E48">
        <v>224</v>
      </c>
      <c r="F48">
        <v>4621487.9800000004</v>
      </c>
      <c r="G48" t="s">
        <v>194</v>
      </c>
      <c r="H48" t="s">
        <v>195</v>
      </c>
      <c r="K48">
        <v>224</v>
      </c>
      <c r="L48">
        <v>27</v>
      </c>
      <c r="M48">
        <v>3</v>
      </c>
      <c r="N48" t="s">
        <v>3</v>
      </c>
      <c r="O48">
        <v>2</v>
      </c>
    </row>
    <row r="49" spans="1:15" x14ac:dyDescent="0.2">
      <c r="A49">
        <v>50</v>
      </c>
      <c r="B49">
        <v>1</v>
      </c>
      <c r="C49">
        <v>0</v>
      </c>
      <c r="D49">
        <v>2</v>
      </c>
      <c r="E49">
        <v>0</v>
      </c>
      <c r="F49">
        <v>924297.6</v>
      </c>
      <c r="G49" t="s">
        <v>559</v>
      </c>
      <c r="H49" t="s">
        <v>560</v>
      </c>
      <c r="K49">
        <v>212</v>
      </c>
      <c r="L49">
        <v>28</v>
      </c>
      <c r="M49">
        <v>0</v>
      </c>
      <c r="N49" t="s">
        <v>3</v>
      </c>
      <c r="O49">
        <v>2</v>
      </c>
    </row>
    <row r="50" spans="1:15" x14ac:dyDescent="0.2">
      <c r="A50">
        <v>50</v>
      </c>
      <c r="B50">
        <v>1</v>
      </c>
      <c r="C50">
        <v>0</v>
      </c>
      <c r="D50">
        <v>2</v>
      </c>
      <c r="E50">
        <v>0</v>
      </c>
      <c r="F50">
        <v>5545785.5800000001</v>
      </c>
      <c r="G50" t="s">
        <v>561</v>
      </c>
      <c r="H50" t="s">
        <v>562</v>
      </c>
      <c r="K50">
        <v>212</v>
      </c>
      <c r="L50">
        <v>29</v>
      </c>
      <c r="M50">
        <v>0</v>
      </c>
      <c r="N50" t="s">
        <v>3</v>
      </c>
      <c r="O50">
        <v>2</v>
      </c>
    </row>
    <row r="52" spans="1:15" x14ac:dyDescent="0.2">
      <c r="A52">
        <v>-1</v>
      </c>
    </row>
    <row r="55" spans="1:15" x14ac:dyDescent="0.2">
      <c r="A55">
        <v>75</v>
      </c>
      <c r="B55" t="s">
        <v>563</v>
      </c>
      <c r="C55">
        <v>2020</v>
      </c>
      <c r="D55">
        <v>0</v>
      </c>
      <c r="E55">
        <v>10</v>
      </c>
      <c r="F55">
        <v>0</v>
      </c>
      <c r="G55">
        <v>0</v>
      </c>
      <c r="H55">
        <v>1</v>
      </c>
      <c r="I55">
        <v>0</v>
      </c>
      <c r="J55">
        <v>1</v>
      </c>
      <c r="K55">
        <v>78</v>
      </c>
      <c r="L55">
        <v>30</v>
      </c>
      <c r="M55">
        <v>0</v>
      </c>
      <c r="N55">
        <v>71209905</v>
      </c>
      <c r="O55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9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ROW(Source!A56)</f>
        <v>56</v>
      </c>
      <c r="B1">
        <v>71209905</v>
      </c>
      <c r="C1">
        <v>71211261</v>
      </c>
      <c r="D1">
        <v>67878646</v>
      </c>
      <c r="E1">
        <v>27</v>
      </c>
      <c r="F1">
        <v>1</v>
      </c>
      <c r="G1">
        <v>27</v>
      </c>
      <c r="H1">
        <v>1</v>
      </c>
      <c r="I1" t="s">
        <v>565</v>
      </c>
      <c r="J1" t="s">
        <v>3</v>
      </c>
      <c r="K1" t="s">
        <v>566</v>
      </c>
      <c r="L1">
        <v>1191</v>
      </c>
      <c r="N1">
        <v>1013</v>
      </c>
      <c r="O1" t="s">
        <v>567</v>
      </c>
      <c r="P1" t="s">
        <v>567</v>
      </c>
      <c r="Q1">
        <v>1</v>
      </c>
      <c r="W1">
        <v>0</v>
      </c>
      <c r="X1">
        <v>476480486</v>
      </c>
      <c r="Y1">
        <v>26.680000000000003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1</v>
      </c>
      <c r="AQ1">
        <v>0</v>
      </c>
      <c r="AR1">
        <v>0</v>
      </c>
      <c r="AS1" t="s">
        <v>3</v>
      </c>
      <c r="AT1">
        <v>133.4</v>
      </c>
      <c r="AU1" t="s">
        <v>53</v>
      </c>
      <c r="AV1">
        <v>1</v>
      </c>
      <c r="AW1">
        <v>2</v>
      </c>
      <c r="AX1">
        <v>71211267</v>
      </c>
      <c r="AY1">
        <v>1</v>
      </c>
      <c r="AZ1">
        <v>0</v>
      </c>
      <c r="BA1">
        <v>134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Y1*Source!I56</f>
        <v>0.32016000000000006</v>
      </c>
      <c r="CY1">
        <f>AD1</f>
        <v>0</v>
      </c>
      <c r="CZ1">
        <f>AH1</f>
        <v>0</v>
      </c>
      <c r="DA1">
        <f>AL1</f>
        <v>1</v>
      </c>
      <c r="DB1">
        <f>ROUND((ROUND(AT1*CZ1,2)*0.2),6)</f>
        <v>0</v>
      </c>
      <c r="DC1">
        <f>ROUND((ROUND(AT1*AG1,2)*0.2),6)</f>
        <v>0</v>
      </c>
    </row>
    <row r="2" spans="1:107" x14ac:dyDescent="0.2">
      <c r="A2">
        <f>ROW(Source!A56)</f>
        <v>56</v>
      </c>
      <c r="B2">
        <v>71209905</v>
      </c>
      <c r="C2">
        <v>71211261</v>
      </c>
      <c r="D2">
        <v>67890991</v>
      </c>
      <c r="E2">
        <v>1</v>
      </c>
      <c r="F2">
        <v>1</v>
      </c>
      <c r="G2">
        <v>27</v>
      </c>
      <c r="H2">
        <v>2</v>
      </c>
      <c r="I2" t="s">
        <v>568</v>
      </c>
      <c r="J2" t="s">
        <v>569</v>
      </c>
      <c r="K2" t="s">
        <v>570</v>
      </c>
      <c r="L2">
        <v>1368</v>
      </c>
      <c r="N2">
        <v>1011</v>
      </c>
      <c r="O2" t="s">
        <v>571</v>
      </c>
      <c r="P2" t="s">
        <v>571</v>
      </c>
      <c r="Q2">
        <v>1</v>
      </c>
      <c r="W2">
        <v>0</v>
      </c>
      <c r="X2">
        <v>-204835879</v>
      </c>
      <c r="Y2">
        <v>5.8000000000000007</v>
      </c>
      <c r="AA2">
        <v>0</v>
      </c>
      <c r="AB2">
        <v>31</v>
      </c>
      <c r="AC2">
        <v>1.35</v>
      </c>
      <c r="AD2">
        <v>0</v>
      </c>
      <c r="AE2">
        <v>0</v>
      </c>
      <c r="AF2">
        <v>31</v>
      </c>
      <c r="AG2">
        <v>1.35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1</v>
      </c>
      <c r="AQ2">
        <v>0</v>
      </c>
      <c r="AR2">
        <v>0</v>
      </c>
      <c r="AS2" t="s">
        <v>3</v>
      </c>
      <c r="AT2">
        <v>29</v>
      </c>
      <c r="AU2" t="s">
        <v>53</v>
      </c>
      <c r="AV2">
        <v>0</v>
      </c>
      <c r="AW2">
        <v>2</v>
      </c>
      <c r="AX2">
        <v>71211268</v>
      </c>
      <c r="AY2">
        <v>1</v>
      </c>
      <c r="AZ2">
        <v>0</v>
      </c>
      <c r="BA2">
        <v>135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Y2*Source!I56</f>
        <v>6.9600000000000009E-2</v>
      </c>
      <c r="CY2">
        <f>AB2</f>
        <v>31</v>
      </c>
      <c r="CZ2">
        <f>AF2</f>
        <v>31</v>
      </c>
      <c r="DA2">
        <f>AJ2</f>
        <v>1</v>
      </c>
      <c r="DB2">
        <f>ROUND((ROUND(AT2*CZ2,2)*0.2),6)</f>
        <v>179.8</v>
      </c>
      <c r="DC2">
        <f>ROUND((ROUND(AT2*AG2,2)*0.2),6)</f>
        <v>7.83</v>
      </c>
    </row>
    <row r="3" spans="1:107" x14ac:dyDescent="0.2">
      <c r="A3">
        <f>ROW(Source!A56)</f>
        <v>56</v>
      </c>
      <c r="B3">
        <v>71209905</v>
      </c>
      <c r="C3">
        <v>71211261</v>
      </c>
      <c r="D3">
        <v>67892810</v>
      </c>
      <c r="E3">
        <v>1</v>
      </c>
      <c r="F3">
        <v>1</v>
      </c>
      <c r="G3">
        <v>27</v>
      </c>
      <c r="H3">
        <v>3</v>
      </c>
      <c r="I3" t="s">
        <v>572</v>
      </c>
      <c r="J3" t="s">
        <v>573</v>
      </c>
      <c r="K3" t="s">
        <v>574</v>
      </c>
      <c r="L3">
        <v>1348</v>
      </c>
      <c r="N3">
        <v>1009</v>
      </c>
      <c r="O3" t="s">
        <v>35</v>
      </c>
      <c r="P3" t="s">
        <v>35</v>
      </c>
      <c r="Q3">
        <v>1000</v>
      </c>
      <c r="W3">
        <v>0</v>
      </c>
      <c r="X3">
        <v>-1356276541</v>
      </c>
      <c r="Y3">
        <v>0</v>
      </c>
      <c r="AA3">
        <v>105084.63</v>
      </c>
      <c r="AB3">
        <v>0</v>
      </c>
      <c r="AC3">
        <v>0</v>
      </c>
      <c r="AD3">
        <v>0</v>
      </c>
      <c r="AE3">
        <v>105084.63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1</v>
      </c>
      <c r="AQ3">
        <v>0</v>
      </c>
      <c r="AR3">
        <v>0</v>
      </c>
      <c r="AS3" t="s">
        <v>3</v>
      </c>
      <c r="AT3">
        <v>6.0000000000000001E-3</v>
      </c>
      <c r="AU3" t="s">
        <v>52</v>
      </c>
      <c r="AV3">
        <v>0</v>
      </c>
      <c r="AW3">
        <v>2</v>
      </c>
      <c r="AX3">
        <v>71211269</v>
      </c>
      <c r="AY3">
        <v>1</v>
      </c>
      <c r="AZ3">
        <v>0</v>
      </c>
      <c r="BA3">
        <v>136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Y3*Source!I56</f>
        <v>0</v>
      </c>
      <c r="CY3">
        <f>AA3</f>
        <v>105084.63</v>
      </c>
      <c r="CZ3">
        <f>AE3</f>
        <v>105084.63</v>
      </c>
      <c r="DA3">
        <f>AI3</f>
        <v>1</v>
      </c>
      <c r="DB3">
        <f>ROUND((ROUND(AT3*CZ3,2)*0),6)</f>
        <v>0</v>
      </c>
      <c r="DC3">
        <f>ROUND((ROUND(AT3*AG3,2)*0),6)</f>
        <v>0</v>
      </c>
    </row>
    <row r="4" spans="1:107" x14ac:dyDescent="0.2">
      <c r="A4">
        <f>ROW(Source!A56)</f>
        <v>56</v>
      </c>
      <c r="B4">
        <v>71209905</v>
      </c>
      <c r="C4">
        <v>71211261</v>
      </c>
      <c r="D4">
        <v>67893667</v>
      </c>
      <c r="E4">
        <v>1</v>
      </c>
      <c r="F4">
        <v>1</v>
      </c>
      <c r="G4">
        <v>27</v>
      </c>
      <c r="H4">
        <v>3</v>
      </c>
      <c r="I4" t="s">
        <v>575</v>
      </c>
      <c r="J4" t="s">
        <v>576</v>
      </c>
      <c r="K4" t="s">
        <v>577</v>
      </c>
      <c r="L4">
        <v>1348</v>
      </c>
      <c r="N4">
        <v>1009</v>
      </c>
      <c r="O4" t="s">
        <v>35</v>
      </c>
      <c r="P4" t="s">
        <v>35</v>
      </c>
      <c r="Q4">
        <v>1000</v>
      </c>
      <c r="W4">
        <v>0</v>
      </c>
      <c r="X4">
        <v>-941081254</v>
      </c>
      <c r="Y4">
        <v>0</v>
      </c>
      <c r="AA4">
        <v>110781.14</v>
      </c>
      <c r="AB4">
        <v>0</v>
      </c>
      <c r="AC4">
        <v>0</v>
      </c>
      <c r="AD4">
        <v>0</v>
      </c>
      <c r="AE4">
        <v>110781.14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1</v>
      </c>
      <c r="AQ4">
        <v>0</v>
      </c>
      <c r="AR4">
        <v>0</v>
      </c>
      <c r="AS4" t="s">
        <v>3</v>
      </c>
      <c r="AT4">
        <v>3.0000000000000001E-3</v>
      </c>
      <c r="AU4" t="s">
        <v>52</v>
      </c>
      <c r="AV4">
        <v>0</v>
      </c>
      <c r="AW4">
        <v>2</v>
      </c>
      <c r="AX4">
        <v>71211270</v>
      </c>
      <c r="AY4">
        <v>1</v>
      </c>
      <c r="AZ4">
        <v>0</v>
      </c>
      <c r="BA4">
        <v>137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Y4*Source!I56</f>
        <v>0</v>
      </c>
      <c r="CY4">
        <f>AA4</f>
        <v>110781.14</v>
      </c>
      <c r="CZ4">
        <f>AE4</f>
        <v>110781.14</v>
      </c>
      <c r="DA4">
        <f>AI4</f>
        <v>1</v>
      </c>
      <c r="DB4">
        <f>ROUND((ROUND(AT4*CZ4,2)*0),6)</f>
        <v>0</v>
      </c>
      <c r="DC4">
        <f>ROUND((ROUND(AT4*AG4,2)*0),6)</f>
        <v>0</v>
      </c>
    </row>
    <row r="5" spans="1:107" x14ac:dyDescent="0.2">
      <c r="A5">
        <f>ROW(Source!A56)</f>
        <v>56</v>
      </c>
      <c r="B5">
        <v>71209905</v>
      </c>
      <c r="C5">
        <v>71211261</v>
      </c>
      <c r="D5">
        <v>67895779</v>
      </c>
      <c r="E5">
        <v>1</v>
      </c>
      <c r="F5">
        <v>1</v>
      </c>
      <c r="G5">
        <v>27</v>
      </c>
      <c r="H5">
        <v>3</v>
      </c>
      <c r="I5" t="s">
        <v>578</v>
      </c>
      <c r="J5" t="s">
        <v>579</v>
      </c>
      <c r="K5" t="s">
        <v>580</v>
      </c>
      <c r="L5">
        <v>1348</v>
      </c>
      <c r="N5">
        <v>1009</v>
      </c>
      <c r="O5" t="s">
        <v>35</v>
      </c>
      <c r="P5" t="s">
        <v>35</v>
      </c>
      <c r="Q5">
        <v>1000</v>
      </c>
      <c r="W5">
        <v>0</v>
      </c>
      <c r="X5">
        <v>-135154983</v>
      </c>
      <c r="Y5">
        <v>0</v>
      </c>
      <c r="AA5">
        <v>79722.539999999994</v>
      </c>
      <c r="AB5">
        <v>0</v>
      </c>
      <c r="AC5">
        <v>0</v>
      </c>
      <c r="AD5">
        <v>0</v>
      </c>
      <c r="AE5">
        <v>79722.539999999994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1</v>
      </c>
      <c r="AQ5">
        <v>0</v>
      </c>
      <c r="AR5">
        <v>0</v>
      </c>
      <c r="AS5" t="s">
        <v>3</v>
      </c>
      <c r="AT5">
        <v>1</v>
      </c>
      <c r="AU5" t="s">
        <v>52</v>
      </c>
      <c r="AV5">
        <v>0</v>
      </c>
      <c r="AW5">
        <v>2</v>
      </c>
      <c r="AX5">
        <v>71211271</v>
      </c>
      <c r="AY5">
        <v>1</v>
      </c>
      <c r="AZ5">
        <v>0</v>
      </c>
      <c r="BA5">
        <v>138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Y5*Source!I56</f>
        <v>0</v>
      </c>
      <c r="CY5">
        <f>AA5</f>
        <v>79722.539999999994</v>
      </c>
      <c r="CZ5">
        <f>AE5</f>
        <v>79722.539999999994</v>
      </c>
      <c r="DA5">
        <f>AI5</f>
        <v>1</v>
      </c>
      <c r="DB5">
        <f>ROUND((ROUND(AT5*CZ5,2)*0),6)</f>
        <v>0</v>
      </c>
      <c r="DC5">
        <f>ROUND((ROUND(AT5*AG5,2)*0),6)</f>
        <v>0</v>
      </c>
    </row>
    <row r="6" spans="1:107" x14ac:dyDescent="0.2">
      <c r="A6">
        <f>ROW(Source!A57)</f>
        <v>57</v>
      </c>
      <c r="B6">
        <v>71209905</v>
      </c>
      <c r="C6">
        <v>71211272</v>
      </c>
      <c r="D6">
        <v>67878646</v>
      </c>
      <c r="E6">
        <v>27</v>
      </c>
      <c r="F6">
        <v>1</v>
      </c>
      <c r="G6">
        <v>27</v>
      </c>
      <c r="H6">
        <v>1</v>
      </c>
      <c r="I6" t="s">
        <v>565</v>
      </c>
      <c r="J6" t="s">
        <v>3</v>
      </c>
      <c r="K6" t="s">
        <v>566</v>
      </c>
      <c r="L6">
        <v>1191</v>
      </c>
      <c r="N6">
        <v>1013</v>
      </c>
      <c r="O6" t="s">
        <v>567</v>
      </c>
      <c r="P6" t="s">
        <v>567</v>
      </c>
      <c r="Q6">
        <v>1</v>
      </c>
      <c r="W6">
        <v>0</v>
      </c>
      <c r="X6">
        <v>476480486</v>
      </c>
      <c r="Y6">
        <v>63.52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63.52</v>
      </c>
      <c r="AU6" t="s">
        <v>3</v>
      </c>
      <c r="AV6">
        <v>1</v>
      </c>
      <c r="AW6">
        <v>2</v>
      </c>
      <c r="AX6">
        <v>71211276</v>
      </c>
      <c r="AY6">
        <v>1</v>
      </c>
      <c r="AZ6">
        <v>0</v>
      </c>
      <c r="BA6">
        <v>139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Y6*Source!I57</f>
        <v>1.0163200000000001</v>
      </c>
      <c r="CY6">
        <f>AD6</f>
        <v>0</v>
      </c>
      <c r="CZ6">
        <f>AH6</f>
        <v>0</v>
      </c>
      <c r="DA6">
        <f>AL6</f>
        <v>1</v>
      </c>
      <c r="DB6">
        <f>ROUND(ROUND(AT6*CZ6,2),6)</f>
        <v>0</v>
      </c>
      <c r="DC6">
        <f>ROUND(ROUND(AT6*AG6,2),6)</f>
        <v>0</v>
      </c>
    </row>
    <row r="7" spans="1:107" x14ac:dyDescent="0.2">
      <c r="A7">
        <f>ROW(Source!A57)</f>
        <v>57</v>
      </c>
      <c r="B7">
        <v>71209905</v>
      </c>
      <c r="C7">
        <v>71211272</v>
      </c>
      <c r="D7">
        <v>67890990</v>
      </c>
      <c r="E7">
        <v>1</v>
      </c>
      <c r="F7">
        <v>1</v>
      </c>
      <c r="G7">
        <v>27</v>
      </c>
      <c r="H7">
        <v>2</v>
      </c>
      <c r="I7" t="s">
        <v>581</v>
      </c>
      <c r="J7" t="s">
        <v>582</v>
      </c>
      <c r="K7" t="s">
        <v>583</v>
      </c>
      <c r="L7">
        <v>1368</v>
      </c>
      <c r="N7">
        <v>1011</v>
      </c>
      <c r="O7" t="s">
        <v>571</v>
      </c>
      <c r="P7" t="s">
        <v>571</v>
      </c>
      <c r="Q7">
        <v>1</v>
      </c>
      <c r="W7">
        <v>0</v>
      </c>
      <c r="X7">
        <v>20585305</v>
      </c>
      <c r="Y7">
        <v>3.01</v>
      </c>
      <c r="AA7">
        <v>0</v>
      </c>
      <c r="AB7">
        <v>16.920000000000002</v>
      </c>
      <c r="AC7">
        <v>0.09</v>
      </c>
      <c r="AD7">
        <v>0</v>
      </c>
      <c r="AE7">
        <v>0</v>
      </c>
      <c r="AF7">
        <v>16.920000000000002</v>
      </c>
      <c r="AG7">
        <v>0.09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3.01</v>
      </c>
      <c r="AU7" t="s">
        <v>3</v>
      </c>
      <c r="AV7">
        <v>0</v>
      </c>
      <c r="AW7">
        <v>2</v>
      </c>
      <c r="AX7">
        <v>71211277</v>
      </c>
      <c r="AY7">
        <v>1</v>
      </c>
      <c r="AZ7">
        <v>0</v>
      </c>
      <c r="BA7">
        <v>140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Y7*Source!I57</f>
        <v>4.8159999999999994E-2</v>
      </c>
      <c r="CY7">
        <f>AB7</f>
        <v>16.920000000000002</v>
      </c>
      <c r="CZ7">
        <f>AF7</f>
        <v>16.920000000000002</v>
      </c>
      <c r="DA7">
        <f>AJ7</f>
        <v>1</v>
      </c>
      <c r="DB7">
        <f>ROUND(ROUND(AT7*CZ7,2),6)</f>
        <v>50.93</v>
      </c>
      <c r="DC7">
        <f>ROUND(ROUND(AT7*AG7,2),6)</f>
        <v>0.27</v>
      </c>
    </row>
    <row r="8" spans="1:107" x14ac:dyDescent="0.2">
      <c r="A8">
        <f>ROW(Source!A57)</f>
        <v>57</v>
      </c>
      <c r="B8">
        <v>71209905</v>
      </c>
      <c r="C8">
        <v>71211272</v>
      </c>
      <c r="D8">
        <v>67880404</v>
      </c>
      <c r="E8">
        <v>27</v>
      </c>
      <c r="F8">
        <v>1</v>
      </c>
      <c r="G8">
        <v>27</v>
      </c>
      <c r="H8">
        <v>3</v>
      </c>
      <c r="I8" t="s">
        <v>584</v>
      </c>
      <c r="J8" t="s">
        <v>3</v>
      </c>
      <c r="K8" t="s">
        <v>585</v>
      </c>
      <c r="L8">
        <v>1348</v>
      </c>
      <c r="N8">
        <v>1009</v>
      </c>
      <c r="O8" t="s">
        <v>35</v>
      </c>
      <c r="P8" t="s">
        <v>35</v>
      </c>
      <c r="Q8">
        <v>1000</v>
      </c>
      <c r="W8">
        <v>0</v>
      </c>
      <c r="X8">
        <v>1489638031</v>
      </c>
      <c r="Y8">
        <v>2.74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2.74</v>
      </c>
      <c r="AU8" t="s">
        <v>3</v>
      </c>
      <c r="AV8">
        <v>0</v>
      </c>
      <c r="AW8">
        <v>2</v>
      </c>
      <c r="AX8">
        <v>71211278</v>
      </c>
      <c r="AY8">
        <v>1</v>
      </c>
      <c r="AZ8">
        <v>0</v>
      </c>
      <c r="BA8">
        <v>141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Y8*Source!I57</f>
        <v>4.3840000000000004E-2</v>
      </c>
      <c r="CY8">
        <f>AA8</f>
        <v>0</v>
      </c>
      <c r="CZ8">
        <f>AE8</f>
        <v>0</v>
      </c>
      <c r="DA8">
        <f>AI8</f>
        <v>1</v>
      </c>
      <c r="DB8">
        <f>ROUND(ROUND(AT8*CZ8,2),6)</f>
        <v>0</v>
      </c>
      <c r="DC8">
        <f>ROUND(ROUND(AT8*AG8,2),6)</f>
        <v>0</v>
      </c>
    </row>
    <row r="9" spans="1:107" x14ac:dyDescent="0.2">
      <c r="A9">
        <f>ROW(Source!A100)</f>
        <v>100</v>
      </c>
      <c r="B9">
        <v>71209905</v>
      </c>
      <c r="C9">
        <v>71211334</v>
      </c>
      <c r="D9">
        <v>67878646</v>
      </c>
      <c r="E9">
        <v>27</v>
      </c>
      <c r="F9">
        <v>1</v>
      </c>
      <c r="G9">
        <v>27</v>
      </c>
      <c r="H9">
        <v>1</v>
      </c>
      <c r="I9" t="s">
        <v>565</v>
      </c>
      <c r="J9" t="s">
        <v>3</v>
      </c>
      <c r="K9" t="s">
        <v>566</v>
      </c>
      <c r="L9">
        <v>1191</v>
      </c>
      <c r="N9">
        <v>1013</v>
      </c>
      <c r="O9" t="s">
        <v>567</v>
      </c>
      <c r="P9" t="s">
        <v>567</v>
      </c>
      <c r="Q9">
        <v>1</v>
      </c>
      <c r="W9">
        <v>0</v>
      </c>
      <c r="X9">
        <v>476480486</v>
      </c>
      <c r="Y9">
        <v>26.680000000000003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1</v>
      </c>
      <c r="AQ9">
        <v>0</v>
      </c>
      <c r="AR9">
        <v>0</v>
      </c>
      <c r="AS9" t="s">
        <v>3</v>
      </c>
      <c r="AT9">
        <v>133.4</v>
      </c>
      <c r="AU9" t="s">
        <v>53</v>
      </c>
      <c r="AV9">
        <v>1</v>
      </c>
      <c r="AW9">
        <v>2</v>
      </c>
      <c r="AX9">
        <v>71211340</v>
      </c>
      <c r="AY9">
        <v>1</v>
      </c>
      <c r="AZ9">
        <v>0</v>
      </c>
      <c r="BA9">
        <v>158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Y9*Source!I100</f>
        <v>6.1897600000000015</v>
      </c>
      <c r="CY9">
        <f>AD9</f>
        <v>0</v>
      </c>
      <c r="CZ9">
        <f>AH9</f>
        <v>0</v>
      </c>
      <c r="DA9">
        <f>AL9</f>
        <v>1</v>
      </c>
      <c r="DB9">
        <f>ROUND((ROUND(AT9*CZ9,2)*0.2),6)</f>
        <v>0</v>
      </c>
      <c r="DC9">
        <f>ROUND((ROUND(AT9*AG9,2)*0.2),6)</f>
        <v>0</v>
      </c>
    </row>
    <row r="10" spans="1:107" x14ac:dyDescent="0.2">
      <c r="A10">
        <f>ROW(Source!A100)</f>
        <v>100</v>
      </c>
      <c r="B10">
        <v>71209905</v>
      </c>
      <c r="C10">
        <v>71211334</v>
      </c>
      <c r="D10">
        <v>67890991</v>
      </c>
      <c r="E10">
        <v>1</v>
      </c>
      <c r="F10">
        <v>1</v>
      </c>
      <c r="G10">
        <v>27</v>
      </c>
      <c r="H10">
        <v>2</v>
      </c>
      <c r="I10" t="s">
        <v>568</v>
      </c>
      <c r="J10" t="s">
        <v>569</v>
      </c>
      <c r="K10" t="s">
        <v>570</v>
      </c>
      <c r="L10">
        <v>1368</v>
      </c>
      <c r="N10">
        <v>1011</v>
      </c>
      <c r="O10" t="s">
        <v>571</v>
      </c>
      <c r="P10" t="s">
        <v>571</v>
      </c>
      <c r="Q10">
        <v>1</v>
      </c>
      <c r="W10">
        <v>0</v>
      </c>
      <c r="X10">
        <v>-204835879</v>
      </c>
      <c r="Y10">
        <v>5.8000000000000007</v>
      </c>
      <c r="AA10">
        <v>0</v>
      </c>
      <c r="AB10">
        <v>31</v>
      </c>
      <c r="AC10">
        <v>1.35</v>
      </c>
      <c r="AD10">
        <v>0</v>
      </c>
      <c r="AE10">
        <v>0</v>
      </c>
      <c r="AF10">
        <v>31</v>
      </c>
      <c r="AG10">
        <v>1.35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 t="s">
        <v>3</v>
      </c>
      <c r="AT10">
        <v>29</v>
      </c>
      <c r="AU10" t="s">
        <v>53</v>
      </c>
      <c r="AV10">
        <v>0</v>
      </c>
      <c r="AW10">
        <v>2</v>
      </c>
      <c r="AX10">
        <v>71211341</v>
      </c>
      <c r="AY10">
        <v>1</v>
      </c>
      <c r="AZ10">
        <v>0</v>
      </c>
      <c r="BA10">
        <v>159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Y10*Source!I100</f>
        <v>1.3456000000000001</v>
      </c>
      <c r="CY10">
        <f>AB10</f>
        <v>31</v>
      </c>
      <c r="CZ10">
        <f>AF10</f>
        <v>31</v>
      </c>
      <c r="DA10">
        <f>AJ10</f>
        <v>1</v>
      </c>
      <c r="DB10">
        <f>ROUND((ROUND(AT10*CZ10,2)*0.2),6)</f>
        <v>179.8</v>
      </c>
      <c r="DC10">
        <f>ROUND((ROUND(AT10*AG10,2)*0.2),6)</f>
        <v>7.83</v>
      </c>
    </row>
    <row r="11" spans="1:107" x14ac:dyDescent="0.2">
      <c r="A11">
        <f>ROW(Source!A100)</f>
        <v>100</v>
      </c>
      <c r="B11">
        <v>71209905</v>
      </c>
      <c r="C11">
        <v>71211334</v>
      </c>
      <c r="D11">
        <v>67892810</v>
      </c>
      <c r="E11">
        <v>1</v>
      </c>
      <c r="F11">
        <v>1</v>
      </c>
      <c r="G11">
        <v>27</v>
      </c>
      <c r="H11">
        <v>3</v>
      </c>
      <c r="I11" t="s">
        <v>572</v>
      </c>
      <c r="J11" t="s">
        <v>573</v>
      </c>
      <c r="K11" t="s">
        <v>574</v>
      </c>
      <c r="L11">
        <v>1348</v>
      </c>
      <c r="N11">
        <v>1009</v>
      </c>
      <c r="O11" t="s">
        <v>35</v>
      </c>
      <c r="P11" t="s">
        <v>35</v>
      </c>
      <c r="Q11">
        <v>1000</v>
      </c>
      <c r="W11">
        <v>0</v>
      </c>
      <c r="X11">
        <v>-1356276541</v>
      </c>
      <c r="Y11">
        <v>0</v>
      </c>
      <c r="AA11">
        <v>105084.63</v>
      </c>
      <c r="AB11">
        <v>0</v>
      </c>
      <c r="AC11">
        <v>0</v>
      </c>
      <c r="AD11">
        <v>0</v>
      </c>
      <c r="AE11">
        <v>105084.63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1</v>
      </c>
      <c r="AQ11">
        <v>0</v>
      </c>
      <c r="AR11">
        <v>0</v>
      </c>
      <c r="AS11" t="s">
        <v>3</v>
      </c>
      <c r="AT11">
        <v>6.0000000000000001E-3</v>
      </c>
      <c r="AU11" t="s">
        <v>52</v>
      </c>
      <c r="AV11">
        <v>0</v>
      </c>
      <c r="AW11">
        <v>2</v>
      </c>
      <c r="AX11">
        <v>71211342</v>
      </c>
      <c r="AY11">
        <v>1</v>
      </c>
      <c r="AZ11">
        <v>0</v>
      </c>
      <c r="BA11">
        <v>160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Y11*Source!I100</f>
        <v>0</v>
      </c>
      <c r="CY11">
        <f>AA11</f>
        <v>105084.63</v>
      </c>
      <c r="CZ11">
        <f>AE11</f>
        <v>105084.63</v>
      </c>
      <c r="DA11">
        <f>AI11</f>
        <v>1</v>
      </c>
      <c r="DB11">
        <f>ROUND((ROUND(AT11*CZ11,2)*0),6)</f>
        <v>0</v>
      </c>
      <c r="DC11">
        <f>ROUND((ROUND(AT11*AG11,2)*0),6)</f>
        <v>0</v>
      </c>
    </row>
    <row r="12" spans="1:107" x14ac:dyDescent="0.2">
      <c r="A12">
        <f>ROW(Source!A100)</f>
        <v>100</v>
      </c>
      <c r="B12">
        <v>71209905</v>
      </c>
      <c r="C12">
        <v>71211334</v>
      </c>
      <c r="D12">
        <v>67893667</v>
      </c>
      <c r="E12">
        <v>1</v>
      </c>
      <c r="F12">
        <v>1</v>
      </c>
      <c r="G12">
        <v>27</v>
      </c>
      <c r="H12">
        <v>3</v>
      </c>
      <c r="I12" t="s">
        <v>575</v>
      </c>
      <c r="J12" t="s">
        <v>576</v>
      </c>
      <c r="K12" t="s">
        <v>577</v>
      </c>
      <c r="L12">
        <v>1348</v>
      </c>
      <c r="N12">
        <v>1009</v>
      </c>
      <c r="O12" t="s">
        <v>35</v>
      </c>
      <c r="P12" t="s">
        <v>35</v>
      </c>
      <c r="Q12">
        <v>1000</v>
      </c>
      <c r="W12">
        <v>0</v>
      </c>
      <c r="X12">
        <v>-941081254</v>
      </c>
      <c r="Y12">
        <v>0</v>
      </c>
      <c r="AA12">
        <v>110781.14</v>
      </c>
      <c r="AB12">
        <v>0</v>
      </c>
      <c r="AC12">
        <v>0</v>
      </c>
      <c r="AD12">
        <v>0</v>
      </c>
      <c r="AE12">
        <v>110781.14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1</v>
      </c>
      <c r="AQ12">
        <v>0</v>
      </c>
      <c r="AR12">
        <v>0</v>
      </c>
      <c r="AS12" t="s">
        <v>3</v>
      </c>
      <c r="AT12">
        <v>3.0000000000000001E-3</v>
      </c>
      <c r="AU12" t="s">
        <v>52</v>
      </c>
      <c r="AV12">
        <v>0</v>
      </c>
      <c r="AW12">
        <v>2</v>
      </c>
      <c r="AX12">
        <v>71211343</v>
      </c>
      <c r="AY12">
        <v>1</v>
      </c>
      <c r="AZ12">
        <v>0</v>
      </c>
      <c r="BA12">
        <v>161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Y12*Source!I100</f>
        <v>0</v>
      </c>
      <c r="CY12">
        <f>AA12</f>
        <v>110781.14</v>
      </c>
      <c r="CZ12">
        <f>AE12</f>
        <v>110781.14</v>
      </c>
      <c r="DA12">
        <f>AI12</f>
        <v>1</v>
      </c>
      <c r="DB12">
        <f>ROUND((ROUND(AT12*CZ12,2)*0),6)</f>
        <v>0</v>
      </c>
      <c r="DC12">
        <f>ROUND((ROUND(AT12*AG12,2)*0),6)</f>
        <v>0</v>
      </c>
    </row>
    <row r="13" spans="1:107" x14ac:dyDescent="0.2">
      <c r="A13">
        <f>ROW(Source!A100)</f>
        <v>100</v>
      </c>
      <c r="B13">
        <v>71209905</v>
      </c>
      <c r="C13">
        <v>71211334</v>
      </c>
      <c r="D13">
        <v>67895779</v>
      </c>
      <c r="E13">
        <v>1</v>
      </c>
      <c r="F13">
        <v>1</v>
      </c>
      <c r="G13">
        <v>27</v>
      </c>
      <c r="H13">
        <v>3</v>
      </c>
      <c r="I13" t="s">
        <v>578</v>
      </c>
      <c r="J13" t="s">
        <v>579</v>
      </c>
      <c r="K13" t="s">
        <v>580</v>
      </c>
      <c r="L13">
        <v>1348</v>
      </c>
      <c r="N13">
        <v>1009</v>
      </c>
      <c r="O13" t="s">
        <v>35</v>
      </c>
      <c r="P13" t="s">
        <v>35</v>
      </c>
      <c r="Q13">
        <v>1000</v>
      </c>
      <c r="W13">
        <v>0</v>
      </c>
      <c r="X13">
        <v>-135154983</v>
      </c>
      <c r="Y13">
        <v>0</v>
      </c>
      <c r="AA13">
        <v>79722.539999999994</v>
      </c>
      <c r="AB13">
        <v>0</v>
      </c>
      <c r="AC13">
        <v>0</v>
      </c>
      <c r="AD13">
        <v>0</v>
      </c>
      <c r="AE13">
        <v>79722.539999999994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3</v>
      </c>
      <c r="AT13">
        <v>1</v>
      </c>
      <c r="AU13" t="s">
        <v>52</v>
      </c>
      <c r="AV13">
        <v>0</v>
      </c>
      <c r="AW13">
        <v>2</v>
      </c>
      <c r="AX13">
        <v>71211344</v>
      </c>
      <c r="AY13">
        <v>1</v>
      </c>
      <c r="AZ13">
        <v>0</v>
      </c>
      <c r="BA13">
        <v>162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Y13*Source!I100</f>
        <v>0</v>
      </c>
      <c r="CY13">
        <f>AA13</f>
        <v>79722.539999999994</v>
      </c>
      <c r="CZ13">
        <f>AE13</f>
        <v>79722.539999999994</v>
      </c>
      <c r="DA13">
        <f>AI13</f>
        <v>1</v>
      </c>
      <c r="DB13">
        <f>ROUND((ROUND(AT13*CZ13,2)*0),6)</f>
        <v>0</v>
      </c>
      <c r="DC13">
        <f>ROUND((ROUND(AT13*AG13,2)*0),6)</f>
        <v>0</v>
      </c>
    </row>
    <row r="14" spans="1:107" x14ac:dyDescent="0.2">
      <c r="A14">
        <f>ROW(Source!A101)</f>
        <v>101</v>
      </c>
      <c r="B14">
        <v>71209905</v>
      </c>
      <c r="C14">
        <v>71211345</v>
      </c>
      <c r="D14">
        <v>67878646</v>
      </c>
      <c r="E14">
        <v>27</v>
      </c>
      <c r="F14">
        <v>1</v>
      </c>
      <c r="G14">
        <v>27</v>
      </c>
      <c r="H14">
        <v>1</v>
      </c>
      <c r="I14" t="s">
        <v>565</v>
      </c>
      <c r="J14" t="s">
        <v>3</v>
      </c>
      <c r="K14" t="s">
        <v>566</v>
      </c>
      <c r="L14">
        <v>1191</v>
      </c>
      <c r="N14">
        <v>1013</v>
      </c>
      <c r="O14" t="s">
        <v>567</v>
      </c>
      <c r="P14" t="s">
        <v>567</v>
      </c>
      <c r="Q14">
        <v>1</v>
      </c>
      <c r="W14">
        <v>0</v>
      </c>
      <c r="X14">
        <v>476480486</v>
      </c>
      <c r="Y14">
        <v>22.080000000000002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3</v>
      </c>
      <c r="AT14">
        <v>110.4</v>
      </c>
      <c r="AU14" t="s">
        <v>53</v>
      </c>
      <c r="AV14">
        <v>1</v>
      </c>
      <c r="AW14">
        <v>2</v>
      </c>
      <c r="AX14">
        <v>71217246</v>
      </c>
      <c r="AY14">
        <v>1</v>
      </c>
      <c r="AZ14">
        <v>0</v>
      </c>
      <c r="BA14">
        <v>163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Y14*Source!I101</f>
        <v>3.3120000000000003</v>
      </c>
      <c r="CY14">
        <f>AD14</f>
        <v>0</v>
      </c>
      <c r="CZ14">
        <f>AH14</f>
        <v>0</v>
      </c>
      <c r="DA14">
        <f>AL14</f>
        <v>1</v>
      </c>
      <c r="DB14">
        <f>ROUND((ROUND(AT14*CZ14,2)*0.2),6)</f>
        <v>0</v>
      </c>
      <c r="DC14">
        <f>ROUND((ROUND(AT14*AG14,2)*0.2),6)</f>
        <v>0</v>
      </c>
    </row>
    <row r="15" spans="1:107" x14ac:dyDescent="0.2">
      <c r="A15">
        <f>ROW(Source!A101)</f>
        <v>101</v>
      </c>
      <c r="B15">
        <v>71209905</v>
      </c>
      <c r="C15">
        <v>71211345</v>
      </c>
      <c r="D15">
        <v>67890991</v>
      </c>
      <c r="E15">
        <v>1</v>
      </c>
      <c r="F15">
        <v>1</v>
      </c>
      <c r="G15">
        <v>27</v>
      </c>
      <c r="H15">
        <v>2</v>
      </c>
      <c r="I15" t="s">
        <v>568</v>
      </c>
      <c r="J15" t="s">
        <v>569</v>
      </c>
      <c r="K15" t="s">
        <v>570</v>
      </c>
      <c r="L15">
        <v>1368</v>
      </c>
      <c r="N15">
        <v>1011</v>
      </c>
      <c r="O15" t="s">
        <v>571</v>
      </c>
      <c r="P15" t="s">
        <v>571</v>
      </c>
      <c r="Q15">
        <v>1</v>
      </c>
      <c r="W15">
        <v>0</v>
      </c>
      <c r="X15">
        <v>-204835879</v>
      </c>
      <c r="Y15">
        <v>4.8000000000000007</v>
      </c>
      <c r="AA15">
        <v>0</v>
      </c>
      <c r="AB15">
        <v>31</v>
      </c>
      <c r="AC15">
        <v>1.35</v>
      </c>
      <c r="AD15">
        <v>0</v>
      </c>
      <c r="AE15">
        <v>0</v>
      </c>
      <c r="AF15">
        <v>31</v>
      </c>
      <c r="AG15">
        <v>1.35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1</v>
      </c>
      <c r="AQ15">
        <v>0</v>
      </c>
      <c r="AR15">
        <v>0</v>
      </c>
      <c r="AS15" t="s">
        <v>3</v>
      </c>
      <c r="AT15">
        <v>24</v>
      </c>
      <c r="AU15" t="s">
        <v>53</v>
      </c>
      <c r="AV15">
        <v>0</v>
      </c>
      <c r="AW15">
        <v>2</v>
      </c>
      <c r="AX15">
        <v>71217247</v>
      </c>
      <c r="AY15">
        <v>1</v>
      </c>
      <c r="AZ15">
        <v>0</v>
      </c>
      <c r="BA15">
        <v>164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Y15*Source!I101</f>
        <v>0.72000000000000008</v>
      </c>
      <c r="CY15">
        <f>AB15</f>
        <v>31</v>
      </c>
      <c r="CZ15">
        <f>AF15</f>
        <v>31</v>
      </c>
      <c r="DA15">
        <f>AJ15</f>
        <v>1</v>
      </c>
      <c r="DB15">
        <f>ROUND((ROUND(AT15*CZ15,2)*0.2),6)</f>
        <v>148.80000000000001</v>
      </c>
      <c r="DC15">
        <f>ROUND((ROUND(AT15*AG15,2)*0.2),6)</f>
        <v>6.48</v>
      </c>
    </row>
    <row r="16" spans="1:107" x14ac:dyDescent="0.2">
      <c r="A16">
        <f>ROW(Source!A101)</f>
        <v>101</v>
      </c>
      <c r="B16">
        <v>71209905</v>
      </c>
      <c r="C16">
        <v>71211345</v>
      </c>
      <c r="D16">
        <v>67892810</v>
      </c>
      <c r="E16">
        <v>1</v>
      </c>
      <c r="F16">
        <v>1</v>
      </c>
      <c r="G16">
        <v>27</v>
      </c>
      <c r="H16">
        <v>3</v>
      </c>
      <c r="I16" t="s">
        <v>572</v>
      </c>
      <c r="J16" t="s">
        <v>573</v>
      </c>
      <c r="K16" t="s">
        <v>574</v>
      </c>
      <c r="L16">
        <v>1348</v>
      </c>
      <c r="N16">
        <v>1009</v>
      </c>
      <c r="O16" t="s">
        <v>35</v>
      </c>
      <c r="P16" t="s">
        <v>35</v>
      </c>
      <c r="Q16">
        <v>1000</v>
      </c>
      <c r="W16">
        <v>0</v>
      </c>
      <c r="X16">
        <v>-1356276541</v>
      </c>
      <c r="Y16">
        <v>0</v>
      </c>
      <c r="AA16">
        <v>105084.63</v>
      </c>
      <c r="AB16">
        <v>0</v>
      </c>
      <c r="AC16">
        <v>0</v>
      </c>
      <c r="AD16">
        <v>0</v>
      </c>
      <c r="AE16">
        <v>105084.63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 t="s">
        <v>3</v>
      </c>
      <c r="AT16">
        <v>5.0000000000000001E-3</v>
      </c>
      <c r="AU16" t="s">
        <v>52</v>
      </c>
      <c r="AV16">
        <v>0</v>
      </c>
      <c r="AW16">
        <v>2</v>
      </c>
      <c r="AX16">
        <v>71217248</v>
      </c>
      <c r="AY16">
        <v>1</v>
      </c>
      <c r="AZ16">
        <v>0</v>
      </c>
      <c r="BA16">
        <v>165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Y16*Source!I101</f>
        <v>0</v>
      </c>
      <c r="CY16">
        <f>AA16</f>
        <v>105084.63</v>
      </c>
      <c r="CZ16">
        <f>AE16</f>
        <v>105084.63</v>
      </c>
      <c r="DA16">
        <f>AI16</f>
        <v>1</v>
      </c>
      <c r="DB16">
        <f>ROUND((ROUND(AT16*CZ16,2)*0),6)</f>
        <v>0</v>
      </c>
      <c r="DC16">
        <f>ROUND((ROUND(AT16*AG16,2)*0),6)</f>
        <v>0</v>
      </c>
    </row>
    <row r="17" spans="1:107" x14ac:dyDescent="0.2">
      <c r="A17">
        <f>ROW(Source!A101)</f>
        <v>101</v>
      </c>
      <c r="B17">
        <v>71209905</v>
      </c>
      <c r="C17">
        <v>71211345</v>
      </c>
      <c r="D17">
        <v>67893667</v>
      </c>
      <c r="E17">
        <v>1</v>
      </c>
      <c r="F17">
        <v>1</v>
      </c>
      <c r="G17">
        <v>27</v>
      </c>
      <c r="H17">
        <v>3</v>
      </c>
      <c r="I17" t="s">
        <v>575</v>
      </c>
      <c r="J17" t="s">
        <v>576</v>
      </c>
      <c r="K17" t="s">
        <v>577</v>
      </c>
      <c r="L17">
        <v>1348</v>
      </c>
      <c r="N17">
        <v>1009</v>
      </c>
      <c r="O17" t="s">
        <v>35</v>
      </c>
      <c r="P17" t="s">
        <v>35</v>
      </c>
      <c r="Q17">
        <v>1000</v>
      </c>
      <c r="W17">
        <v>0</v>
      </c>
      <c r="X17">
        <v>-941081254</v>
      </c>
      <c r="Y17">
        <v>0</v>
      </c>
      <c r="AA17">
        <v>110781.14</v>
      </c>
      <c r="AB17">
        <v>0</v>
      </c>
      <c r="AC17">
        <v>0</v>
      </c>
      <c r="AD17">
        <v>0</v>
      </c>
      <c r="AE17">
        <v>110781.14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1</v>
      </c>
      <c r="AQ17">
        <v>0</v>
      </c>
      <c r="AR17">
        <v>0</v>
      </c>
      <c r="AS17" t="s">
        <v>3</v>
      </c>
      <c r="AT17">
        <v>2E-3</v>
      </c>
      <c r="AU17" t="s">
        <v>52</v>
      </c>
      <c r="AV17">
        <v>0</v>
      </c>
      <c r="AW17">
        <v>2</v>
      </c>
      <c r="AX17">
        <v>71217249</v>
      </c>
      <c r="AY17">
        <v>1</v>
      </c>
      <c r="AZ17">
        <v>0</v>
      </c>
      <c r="BA17">
        <v>166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Y17*Source!I101</f>
        <v>0</v>
      </c>
      <c r="CY17">
        <f>AA17</f>
        <v>110781.14</v>
      </c>
      <c r="CZ17">
        <f>AE17</f>
        <v>110781.14</v>
      </c>
      <c r="DA17">
        <f>AI17</f>
        <v>1</v>
      </c>
      <c r="DB17">
        <f>ROUND((ROUND(AT17*CZ17,2)*0),6)</f>
        <v>0</v>
      </c>
      <c r="DC17">
        <f>ROUND((ROUND(AT17*AG17,2)*0),6)</f>
        <v>0</v>
      </c>
    </row>
    <row r="18" spans="1:107" x14ac:dyDescent="0.2">
      <c r="A18">
        <f>ROW(Source!A101)</f>
        <v>101</v>
      </c>
      <c r="B18">
        <v>71209905</v>
      </c>
      <c r="C18">
        <v>71211345</v>
      </c>
      <c r="D18">
        <v>67895779</v>
      </c>
      <c r="E18">
        <v>1</v>
      </c>
      <c r="F18">
        <v>1</v>
      </c>
      <c r="G18">
        <v>27</v>
      </c>
      <c r="H18">
        <v>3</v>
      </c>
      <c r="I18" t="s">
        <v>578</v>
      </c>
      <c r="J18" t="s">
        <v>579</v>
      </c>
      <c r="K18" t="s">
        <v>580</v>
      </c>
      <c r="L18">
        <v>1348</v>
      </c>
      <c r="N18">
        <v>1009</v>
      </c>
      <c r="O18" t="s">
        <v>35</v>
      </c>
      <c r="P18" t="s">
        <v>35</v>
      </c>
      <c r="Q18">
        <v>1000</v>
      </c>
      <c r="W18">
        <v>0</v>
      </c>
      <c r="X18">
        <v>-135154983</v>
      </c>
      <c r="Y18">
        <v>0</v>
      </c>
      <c r="AA18">
        <v>79722.539999999994</v>
      </c>
      <c r="AB18">
        <v>0</v>
      </c>
      <c r="AC18">
        <v>0</v>
      </c>
      <c r="AD18">
        <v>0</v>
      </c>
      <c r="AE18">
        <v>79722.539999999994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1</v>
      </c>
      <c r="AQ18">
        <v>0</v>
      </c>
      <c r="AR18">
        <v>0</v>
      </c>
      <c r="AS18" t="s">
        <v>3</v>
      </c>
      <c r="AT18">
        <v>1</v>
      </c>
      <c r="AU18" t="s">
        <v>52</v>
      </c>
      <c r="AV18">
        <v>0</v>
      </c>
      <c r="AW18">
        <v>2</v>
      </c>
      <c r="AX18">
        <v>71217250</v>
      </c>
      <c r="AY18">
        <v>1</v>
      </c>
      <c r="AZ18">
        <v>0</v>
      </c>
      <c r="BA18">
        <v>167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Y18*Source!I101</f>
        <v>0</v>
      </c>
      <c r="CY18">
        <f>AA18</f>
        <v>79722.539999999994</v>
      </c>
      <c r="CZ18">
        <f>AE18</f>
        <v>79722.539999999994</v>
      </c>
      <c r="DA18">
        <f>AI18</f>
        <v>1</v>
      </c>
      <c r="DB18">
        <f>ROUND((ROUND(AT18*CZ18,2)*0),6)</f>
        <v>0</v>
      </c>
      <c r="DC18">
        <f>ROUND((ROUND(AT18*AG18,2)*0),6)</f>
        <v>0</v>
      </c>
    </row>
    <row r="19" spans="1:107" x14ac:dyDescent="0.2">
      <c r="A19">
        <f>ROW(Source!A102)</f>
        <v>102</v>
      </c>
      <c r="B19">
        <v>71209905</v>
      </c>
      <c r="C19">
        <v>71211356</v>
      </c>
      <c r="D19">
        <v>67878646</v>
      </c>
      <c r="E19">
        <v>27</v>
      </c>
      <c r="F19">
        <v>1</v>
      </c>
      <c r="G19">
        <v>27</v>
      </c>
      <c r="H19">
        <v>1</v>
      </c>
      <c r="I19" t="s">
        <v>565</v>
      </c>
      <c r="J19" t="s">
        <v>3</v>
      </c>
      <c r="K19" t="s">
        <v>566</v>
      </c>
      <c r="L19">
        <v>1191</v>
      </c>
      <c r="N19">
        <v>1013</v>
      </c>
      <c r="O19" t="s">
        <v>567</v>
      </c>
      <c r="P19" t="s">
        <v>567</v>
      </c>
      <c r="Q19">
        <v>1</v>
      </c>
      <c r="W19">
        <v>0</v>
      </c>
      <c r="X19">
        <v>476480486</v>
      </c>
      <c r="Y19">
        <v>17.48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1</v>
      </c>
      <c r="AQ19">
        <v>0</v>
      </c>
      <c r="AR19">
        <v>0</v>
      </c>
      <c r="AS19" t="s">
        <v>3</v>
      </c>
      <c r="AT19">
        <v>87.4</v>
      </c>
      <c r="AU19" t="s">
        <v>53</v>
      </c>
      <c r="AV19">
        <v>1</v>
      </c>
      <c r="AW19">
        <v>2</v>
      </c>
      <c r="AX19">
        <v>71211362</v>
      </c>
      <c r="AY19">
        <v>1</v>
      </c>
      <c r="AZ19">
        <v>0</v>
      </c>
      <c r="BA19">
        <v>168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Y19*Source!I102</f>
        <v>4.37</v>
      </c>
      <c r="CY19">
        <f>AD19</f>
        <v>0</v>
      </c>
      <c r="CZ19">
        <f>AH19</f>
        <v>0</v>
      </c>
      <c r="DA19">
        <f>AL19</f>
        <v>1</v>
      </c>
      <c r="DB19">
        <f>ROUND((ROUND(AT19*CZ19,2)*0.2),6)</f>
        <v>0</v>
      </c>
      <c r="DC19">
        <f>ROUND((ROUND(AT19*AG19,2)*0.2),6)</f>
        <v>0</v>
      </c>
    </row>
    <row r="20" spans="1:107" x14ac:dyDescent="0.2">
      <c r="A20">
        <f>ROW(Source!A102)</f>
        <v>102</v>
      </c>
      <c r="B20">
        <v>71209905</v>
      </c>
      <c r="C20">
        <v>71211356</v>
      </c>
      <c r="D20">
        <v>67890991</v>
      </c>
      <c r="E20">
        <v>1</v>
      </c>
      <c r="F20">
        <v>1</v>
      </c>
      <c r="G20">
        <v>27</v>
      </c>
      <c r="H20">
        <v>2</v>
      </c>
      <c r="I20" t="s">
        <v>568</v>
      </c>
      <c r="J20" t="s">
        <v>569</v>
      </c>
      <c r="K20" t="s">
        <v>570</v>
      </c>
      <c r="L20">
        <v>1368</v>
      </c>
      <c r="N20">
        <v>1011</v>
      </c>
      <c r="O20" t="s">
        <v>571</v>
      </c>
      <c r="P20" t="s">
        <v>571</v>
      </c>
      <c r="Q20">
        <v>1</v>
      </c>
      <c r="W20">
        <v>0</v>
      </c>
      <c r="X20">
        <v>-204835879</v>
      </c>
      <c r="Y20">
        <v>3.8000000000000003</v>
      </c>
      <c r="AA20">
        <v>0</v>
      </c>
      <c r="AB20">
        <v>31</v>
      </c>
      <c r="AC20">
        <v>1.35</v>
      </c>
      <c r="AD20">
        <v>0</v>
      </c>
      <c r="AE20">
        <v>0</v>
      </c>
      <c r="AF20">
        <v>31</v>
      </c>
      <c r="AG20">
        <v>1.35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1</v>
      </c>
      <c r="AQ20">
        <v>0</v>
      </c>
      <c r="AR20">
        <v>0</v>
      </c>
      <c r="AS20" t="s">
        <v>3</v>
      </c>
      <c r="AT20">
        <v>19</v>
      </c>
      <c r="AU20" t="s">
        <v>53</v>
      </c>
      <c r="AV20">
        <v>0</v>
      </c>
      <c r="AW20">
        <v>2</v>
      </c>
      <c r="AX20">
        <v>71211363</v>
      </c>
      <c r="AY20">
        <v>1</v>
      </c>
      <c r="AZ20">
        <v>0</v>
      </c>
      <c r="BA20">
        <v>169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Y20*Source!I102</f>
        <v>0.95000000000000007</v>
      </c>
      <c r="CY20">
        <f>AB20</f>
        <v>31</v>
      </c>
      <c r="CZ20">
        <f>AF20</f>
        <v>31</v>
      </c>
      <c r="DA20">
        <f>AJ20</f>
        <v>1</v>
      </c>
      <c r="DB20">
        <f>ROUND((ROUND(AT20*CZ20,2)*0.2),6)</f>
        <v>117.8</v>
      </c>
      <c r="DC20">
        <f>ROUND((ROUND(AT20*AG20,2)*0.2),6)</f>
        <v>5.13</v>
      </c>
    </row>
    <row r="21" spans="1:107" x14ac:dyDescent="0.2">
      <c r="A21">
        <f>ROW(Source!A102)</f>
        <v>102</v>
      </c>
      <c r="B21">
        <v>71209905</v>
      </c>
      <c r="C21">
        <v>71211356</v>
      </c>
      <c r="D21">
        <v>67892810</v>
      </c>
      <c r="E21">
        <v>1</v>
      </c>
      <c r="F21">
        <v>1</v>
      </c>
      <c r="G21">
        <v>27</v>
      </c>
      <c r="H21">
        <v>3</v>
      </c>
      <c r="I21" t="s">
        <v>572</v>
      </c>
      <c r="J21" t="s">
        <v>573</v>
      </c>
      <c r="K21" t="s">
        <v>574</v>
      </c>
      <c r="L21">
        <v>1348</v>
      </c>
      <c r="N21">
        <v>1009</v>
      </c>
      <c r="O21" t="s">
        <v>35</v>
      </c>
      <c r="P21" t="s">
        <v>35</v>
      </c>
      <c r="Q21">
        <v>1000</v>
      </c>
      <c r="W21">
        <v>0</v>
      </c>
      <c r="X21">
        <v>-1356276541</v>
      </c>
      <c r="Y21">
        <v>0</v>
      </c>
      <c r="AA21">
        <v>105084.63</v>
      </c>
      <c r="AB21">
        <v>0</v>
      </c>
      <c r="AC21">
        <v>0</v>
      </c>
      <c r="AD21">
        <v>0</v>
      </c>
      <c r="AE21">
        <v>105084.63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 t="s">
        <v>3</v>
      </c>
      <c r="AT21">
        <v>3.3E-3</v>
      </c>
      <c r="AU21" t="s">
        <v>52</v>
      </c>
      <c r="AV21">
        <v>0</v>
      </c>
      <c r="AW21">
        <v>2</v>
      </c>
      <c r="AX21">
        <v>71211364</v>
      </c>
      <c r="AY21">
        <v>1</v>
      </c>
      <c r="AZ21">
        <v>0</v>
      </c>
      <c r="BA21">
        <v>170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Y21*Source!I102</f>
        <v>0</v>
      </c>
      <c r="CY21">
        <f>AA21</f>
        <v>105084.63</v>
      </c>
      <c r="CZ21">
        <f>AE21</f>
        <v>105084.63</v>
      </c>
      <c r="DA21">
        <f>AI21</f>
        <v>1</v>
      </c>
      <c r="DB21">
        <f>ROUND((ROUND(AT21*CZ21,2)*0),6)</f>
        <v>0</v>
      </c>
      <c r="DC21">
        <f>ROUND((ROUND(AT21*AG21,2)*0),6)</f>
        <v>0</v>
      </c>
    </row>
    <row r="22" spans="1:107" x14ac:dyDescent="0.2">
      <c r="A22">
        <f>ROW(Source!A102)</f>
        <v>102</v>
      </c>
      <c r="B22">
        <v>71209905</v>
      </c>
      <c r="C22">
        <v>71211356</v>
      </c>
      <c r="D22">
        <v>67893667</v>
      </c>
      <c r="E22">
        <v>1</v>
      </c>
      <c r="F22">
        <v>1</v>
      </c>
      <c r="G22">
        <v>27</v>
      </c>
      <c r="H22">
        <v>3</v>
      </c>
      <c r="I22" t="s">
        <v>575</v>
      </c>
      <c r="J22" t="s">
        <v>576</v>
      </c>
      <c r="K22" t="s">
        <v>577</v>
      </c>
      <c r="L22">
        <v>1348</v>
      </c>
      <c r="N22">
        <v>1009</v>
      </c>
      <c r="O22" t="s">
        <v>35</v>
      </c>
      <c r="P22" t="s">
        <v>35</v>
      </c>
      <c r="Q22">
        <v>1000</v>
      </c>
      <c r="W22">
        <v>0</v>
      </c>
      <c r="X22">
        <v>-941081254</v>
      </c>
      <c r="Y22">
        <v>0</v>
      </c>
      <c r="AA22">
        <v>110781.14</v>
      </c>
      <c r="AB22">
        <v>0</v>
      </c>
      <c r="AC22">
        <v>0</v>
      </c>
      <c r="AD22">
        <v>0</v>
      </c>
      <c r="AE22">
        <v>110781.14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 t="s">
        <v>3</v>
      </c>
      <c r="AT22">
        <v>1.4E-3</v>
      </c>
      <c r="AU22" t="s">
        <v>52</v>
      </c>
      <c r="AV22">
        <v>0</v>
      </c>
      <c r="AW22">
        <v>2</v>
      </c>
      <c r="AX22">
        <v>71211365</v>
      </c>
      <c r="AY22">
        <v>1</v>
      </c>
      <c r="AZ22">
        <v>0</v>
      </c>
      <c r="BA22">
        <v>171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Y22*Source!I102</f>
        <v>0</v>
      </c>
      <c r="CY22">
        <f>AA22</f>
        <v>110781.14</v>
      </c>
      <c r="CZ22">
        <f>AE22</f>
        <v>110781.14</v>
      </c>
      <c r="DA22">
        <f>AI22</f>
        <v>1</v>
      </c>
      <c r="DB22">
        <f>ROUND((ROUND(AT22*CZ22,2)*0),6)</f>
        <v>0</v>
      </c>
      <c r="DC22">
        <f>ROUND((ROUND(AT22*AG22,2)*0),6)</f>
        <v>0</v>
      </c>
    </row>
    <row r="23" spans="1:107" x14ac:dyDescent="0.2">
      <c r="A23">
        <f>ROW(Source!A102)</f>
        <v>102</v>
      </c>
      <c r="B23">
        <v>71209905</v>
      </c>
      <c r="C23">
        <v>71211356</v>
      </c>
      <c r="D23">
        <v>67895782</v>
      </c>
      <c r="E23">
        <v>1</v>
      </c>
      <c r="F23">
        <v>1</v>
      </c>
      <c r="G23">
        <v>27</v>
      </c>
      <c r="H23">
        <v>3</v>
      </c>
      <c r="I23" t="s">
        <v>586</v>
      </c>
      <c r="J23" t="s">
        <v>587</v>
      </c>
      <c r="K23" t="s">
        <v>588</v>
      </c>
      <c r="L23">
        <v>1348</v>
      </c>
      <c r="N23">
        <v>1009</v>
      </c>
      <c r="O23" t="s">
        <v>35</v>
      </c>
      <c r="P23" t="s">
        <v>35</v>
      </c>
      <c r="Q23">
        <v>1000</v>
      </c>
      <c r="W23">
        <v>0</v>
      </c>
      <c r="X23">
        <v>485376408</v>
      </c>
      <c r="Y23">
        <v>0</v>
      </c>
      <c r="AA23">
        <v>75026.559999999998</v>
      </c>
      <c r="AB23">
        <v>0</v>
      </c>
      <c r="AC23">
        <v>0</v>
      </c>
      <c r="AD23">
        <v>0</v>
      </c>
      <c r="AE23">
        <v>75026.559999999998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1</v>
      </c>
      <c r="AQ23">
        <v>0</v>
      </c>
      <c r="AR23">
        <v>0</v>
      </c>
      <c r="AS23" t="s">
        <v>3</v>
      </c>
      <c r="AT23">
        <v>1</v>
      </c>
      <c r="AU23" t="s">
        <v>52</v>
      </c>
      <c r="AV23">
        <v>0</v>
      </c>
      <c r="AW23">
        <v>2</v>
      </c>
      <c r="AX23">
        <v>71211366</v>
      </c>
      <c r="AY23">
        <v>1</v>
      </c>
      <c r="AZ23">
        <v>0</v>
      </c>
      <c r="BA23">
        <v>172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Y23*Source!I102</f>
        <v>0</v>
      </c>
      <c r="CY23">
        <f>AA23</f>
        <v>75026.559999999998</v>
      </c>
      <c r="CZ23">
        <f>AE23</f>
        <v>75026.559999999998</v>
      </c>
      <c r="DA23">
        <f>AI23</f>
        <v>1</v>
      </c>
      <c r="DB23">
        <f>ROUND((ROUND(AT23*CZ23,2)*0),6)</f>
        <v>0</v>
      </c>
      <c r="DC23">
        <f>ROUND((ROUND(AT23*AG23,2)*0),6)</f>
        <v>0</v>
      </c>
    </row>
    <row r="24" spans="1:107" x14ac:dyDescent="0.2">
      <c r="A24">
        <f>ROW(Source!A103)</f>
        <v>103</v>
      </c>
      <c r="B24">
        <v>71209905</v>
      </c>
      <c r="C24">
        <v>71211367</v>
      </c>
      <c r="D24">
        <v>67878646</v>
      </c>
      <c r="E24">
        <v>27</v>
      </c>
      <c r="F24">
        <v>1</v>
      </c>
      <c r="G24">
        <v>27</v>
      </c>
      <c r="H24">
        <v>1</v>
      </c>
      <c r="I24" t="s">
        <v>565</v>
      </c>
      <c r="J24" t="s">
        <v>3</v>
      </c>
      <c r="K24" t="s">
        <v>566</v>
      </c>
      <c r="L24">
        <v>1191</v>
      </c>
      <c r="N24">
        <v>1013</v>
      </c>
      <c r="O24" t="s">
        <v>567</v>
      </c>
      <c r="P24" t="s">
        <v>567</v>
      </c>
      <c r="Q24">
        <v>1</v>
      </c>
      <c r="W24">
        <v>0</v>
      </c>
      <c r="X24">
        <v>476480486</v>
      </c>
      <c r="Y24">
        <v>63.52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63.52</v>
      </c>
      <c r="AU24" t="s">
        <v>3</v>
      </c>
      <c r="AV24">
        <v>1</v>
      </c>
      <c r="AW24">
        <v>2</v>
      </c>
      <c r="AX24">
        <v>71211371</v>
      </c>
      <c r="AY24">
        <v>1</v>
      </c>
      <c r="AZ24">
        <v>0</v>
      </c>
      <c r="BA24">
        <v>173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Y24*Source!I103</f>
        <v>11.4336</v>
      </c>
      <c r="CY24">
        <f>AD24</f>
        <v>0</v>
      </c>
      <c r="CZ24">
        <f>AH24</f>
        <v>0</v>
      </c>
      <c r="DA24">
        <f>AL24</f>
        <v>1</v>
      </c>
      <c r="DB24">
        <f>ROUND(ROUND(AT24*CZ24,2),6)</f>
        <v>0</v>
      </c>
      <c r="DC24">
        <f>ROUND(ROUND(AT24*AG24,2),6)</f>
        <v>0</v>
      </c>
    </row>
    <row r="25" spans="1:107" x14ac:dyDescent="0.2">
      <c r="A25">
        <f>ROW(Source!A103)</f>
        <v>103</v>
      </c>
      <c r="B25">
        <v>71209905</v>
      </c>
      <c r="C25">
        <v>71211367</v>
      </c>
      <c r="D25">
        <v>67890990</v>
      </c>
      <c r="E25">
        <v>1</v>
      </c>
      <c r="F25">
        <v>1</v>
      </c>
      <c r="G25">
        <v>27</v>
      </c>
      <c r="H25">
        <v>2</v>
      </c>
      <c r="I25" t="s">
        <v>581</v>
      </c>
      <c r="J25" t="s">
        <v>582</v>
      </c>
      <c r="K25" t="s">
        <v>583</v>
      </c>
      <c r="L25">
        <v>1368</v>
      </c>
      <c r="N25">
        <v>1011</v>
      </c>
      <c r="O25" t="s">
        <v>571</v>
      </c>
      <c r="P25" t="s">
        <v>571</v>
      </c>
      <c r="Q25">
        <v>1</v>
      </c>
      <c r="W25">
        <v>0</v>
      </c>
      <c r="X25">
        <v>20585305</v>
      </c>
      <c r="Y25">
        <v>3.01</v>
      </c>
      <c r="AA25">
        <v>0</v>
      </c>
      <c r="AB25">
        <v>16.920000000000002</v>
      </c>
      <c r="AC25">
        <v>0.09</v>
      </c>
      <c r="AD25">
        <v>0</v>
      </c>
      <c r="AE25">
        <v>0</v>
      </c>
      <c r="AF25">
        <v>16.920000000000002</v>
      </c>
      <c r="AG25">
        <v>0.09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3.01</v>
      </c>
      <c r="AU25" t="s">
        <v>3</v>
      </c>
      <c r="AV25">
        <v>0</v>
      </c>
      <c r="AW25">
        <v>2</v>
      </c>
      <c r="AX25">
        <v>71211372</v>
      </c>
      <c r="AY25">
        <v>1</v>
      </c>
      <c r="AZ25">
        <v>0</v>
      </c>
      <c r="BA25">
        <v>174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Y25*Source!I103</f>
        <v>0.54179999999999995</v>
      </c>
      <c r="CY25">
        <f>AB25</f>
        <v>16.920000000000002</v>
      </c>
      <c r="CZ25">
        <f>AF25</f>
        <v>16.920000000000002</v>
      </c>
      <c r="DA25">
        <f>AJ25</f>
        <v>1</v>
      </c>
      <c r="DB25">
        <f>ROUND(ROUND(AT25*CZ25,2),6)</f>
        <v>50.93</v>
      </c>
      <c r="DC25">
        <f>ROUND(ROUND(AT25*AG25,2),6)</f>
        <v>0.27</v>
      </c>
    </row>
    <row r="26" spans="1:107" x14ac:dyDescent="0.2">
      <c r="A26">
        <f>ROW(Source!A103)</f>
        <v>103</v>
      </c>
      <c r="B26">
        <v>71209905</v>
      </c>
      <c r="C26">
        <v>71211367</v>
      </c>
      <c r="D26">
        <v>67880404</v>
      </c>
      <c r="E26">
        <v>27</v>
      </c>
      <c r="F26">
        <v>1</v>
      </c>
      <c r="G26">
        <v>27</v>
      </c>
      <c r="H26">
        <v>3</v>
      </c>
      <c r="I26" t="s">
        <v>584</v>
      </c>
      <c r="J26" t="s">
        <v>3</v>
      </c>
      <c r="K26" t="s">
        <v>585</v>
      </c>
      <c r="L26">
        <v>1348</v>
      </c>
      <c r="N26">
        <v>1009</v>
      </c>
      <c r="O26" t="s">
        <v>35</v>
      </c>
      <c r="P26" t="s">
        <v>35</v>
      </c>
      <c r="Q26">
        <v>1000</v>
      </c>
      <c r="W26">
        <v>0</v>
      </c>
      <c r="X26">
        <v>1489638031</v>
      </c>
      <c r="Y26">
        <v>2.74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2.74</v>
      </c>
      <c r="AU26" t="s">
        <v>3</v>
      </c>
      <c r="AV26">
        <v>0</v>
      </c>
      <c r="AW26">
        <v>2</v>
      </c>
      <c r="AX26">
        <v>71211373</v>
      </c>
      <c r="AY26">
        <v>1</v>
      </c>
      <c r="AZ26">
        <v>0</v>
      </c>
      <c r="BA26">
        <v>175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Y26*Source!I103</f>
        <v>0.49320000000000003</v>
      </c>
      <c r="CY26">
        <f>AA26</f>
        <v>0</v>
      </c>
      <c r="CZ26">
        <f>AE26</f>
        <v>0</v>
      </c>
      <c r="DA26">
        <f>AI26</f>
        <v>1</v>
      </c>
      <c r="DB26">
        <f>ROUND(ROUND(AT26*CZ26,2),6)</f>
        <v>0</v>
      </c>
      <c r="DC26">
        <f>ROUND(ROUND(AT26*AG26,2),6)</f>
        <v>0</v>
      </c>
    </row>
    <row r="27" spans="1:107" x14ac:dyDescent="0.2">
      <c r="A27">
        <f>ROW(Source!A112)</f>
        <v>112</v>
      </c>
      <c r="B27">
        <v>71209905</v>
      </c>
      <c r="C27">
        <v>71211423</v>
      </c>
      <c r="D27">
        <v>61365130</v>
      </c>
      <c r="E27">
        <v>25</v>
      </c>
      <c r="F27">
        <v>1</v>
      </c>
      <c r="G27">
        <v>27</v>
      </c>
      <c r="H27">
        <v>1</v>
      </c>
      <c r="I27" t="s">
        <v>565</v>
      </c>
      <c r="J27" t="s">
        <v>3</v>
      </c>
      <c r="K27" t="s">
        <v>566</v>
      </c>
      <c r="L27">
        <v>1191</v>
      </c>
      <c r="N27">
        <v>1013</v>
      </c>
      <c r="O27" t="s">
        <v>567</v>
      </c>
      <c r="P27" t="s">
        <v>567</v>
      </c>
      <c r="Q27">
        <v>1</v>
      </c>
      <c r="W27">
        <v>0</v>
      </c>
      <c r="X27">
        <v>476480486</v>
      </c>
      <c r="Y27">
        <v>0.41399999999999998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1</v>
      </c>
      <c r="AQ27">
        <v>0</v>
      </c>
      <c r="AR27">
        <v>0</v>
      </c>
      <c r="AS27" t="s">
        <v>3</v>
      </c>
      <c r="AT27">
        <v>2.0699999999999998</v>
      </c>
      <c r="AU27" t="s">
        <v>53</v>
      </c>
      <c r="AV27">
        <v>1</v>
      </c>
      <c r="AW27">
        <v>2</v>
      </c>
      <c r="AX27">
        <v>71211428</v>
      </c>
      <c r="AY27">
        <v>1</v>
      </c>
      <c r="AZ27">
        <v>0</v>
      </c>
      <c r="BA27">
        <v>217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Y27*Source!I112</f>
        <v>1.6559999999999999</v>
      </c>
      <c r="CY27">
        <f>AD27</f>
        <v>0</v>
      </c>
      <c r="CZ27">
        <f>AH27</f>
        <v>0</v>
      </c>
      <c r="DA27">
        <f>AL27</f>
        <v>1</v>
      </c>
      <c r="DB27">
        <f>ROUND((ROUND(AT27*CZ27,2)*0.2),6)</f>
        <v>0</v>
      </c>
      <c r="DC27">
        <f>ROUND((ROUND(AT27*AG27,2)*0.2),6)</f>
        <v>0</v>
      </c>
    </row>
    <row r="28" spans="1:107" x14ac:dyDescent="0.2">
      <c r="A28">
        <f>ROW(Source!A112)</f>
        <v>112</v>
      </c>
      <c r="B28">
        <v>71209905</v>
      </c>
      <c r="C28">
        <v>71211423</v>
      </c>
      <c r="D28">
        <v>61382252</v>
      </c>
      <c r="E28">
        <v>1</v>
      </c>
      <c r="F28">
        <v>1</v>
      </c>
      <c r="G28">
        <v>27</v>
      </c>
      <c r="H28">
        <v>2</v>
      </c>
      <c r="I28" t="s">
        <v>589</v>
      </c>
      <c r="J28" t="s">
        <v>590</v>
      </c>
      <c r="K28" t="s">
        <v>591</v>
      </c>
      <c r="L28">
        <v>1368</v>
      </c>
      <c r="N28">
        <v>1011</v>
      </c>
      <c r="O28" t="s">
        <v>571</v>
      </c>
      <c r="P28" t="s">
        <v>571</v>
      </c>
      <c r="Q28">
        <v>1</v>
      </c>
      <c r="W28">
        <v>0</v>
      </c>
      <c r="X28">
        <v>-2126916458</v>
      </c>
      <c r="Y28">
        <v>0.03</v>
      </c>
      <c r="AA28">
        <v>0</v>
      </c>
      <c r="AB28">
        <v>7.67</v>
      </c>
      <c r="AC28">
        <v>0.93</v>
      </c>
      <c r="AD28">
        <v>0</v>
      </c>
      <c r="AE28">
        <v>0</v>
      </c>
      <c r="AF28">
        <v>7.67</v>
      </c>
      <c r="AG28">
        <v>0.93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1</v>
      </c>
      <c r="AQ28">
        <v>0</v>
      </c>
      <c r="AR28">
        <v>0</v>
      </c>
      <c r="AS28" t="s">
        <v>3</v>
      </c>
      <c r="AT28">
        <v>0.15</v>
      </c>
      <c r="AU28" t="s">
        <v>53</v>
      </c>
      <c r="AV28">
        <v>0</v>
      </c>
      <c r="AW28">
        <v>2</v>
      </c>
      <c r="AX28">
        <v>71211429</v>
      </c>
      <c r="AY28">
        <v>2</v>
      </c>
      <c r="AZ28">
        <v>98304</v>
      </c>
      <c r="BA28">
        <v>218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Y28*Source!I112</f>
        <v>0.12</v>
      </c>
      <c r="CY28">
        <f>AB28</f>
        <v>7.67</v>
      </c>
      <c r="CZ28">
        <f>AF28</f>
        <v>7.67</v>
      </c>
      <c r="DA28">
        <f>AJ28</f>
        <v>1</v>
      </c>
      <c r="DB28">
        <f>ROUND((ROUND(AT28*CZ28,2)*0.2),6)</f>
        <v>0.23</v>
      </c>
      <c r="DC28">
        <f>ROUND((ROUND(AT28*AG28,2)*0.2),6)</f>
        <v>2.8000000000000001E-2</v>
      </c>
    </row>
    <row r="29" spans="1:107" x14ac:dyDescent="0.2">
      <c r="A29">
        <f>ROW(Source!A112)</f>
        <v>112</v>
      </c>
      <c r="B29">
        <v>71209905</v>
      </c>
      <c r="C29">
        <v>71211423</v>
      </c>
      <c r="D29">
        <v>61382433</v>
      </c>
      <c r="E29">
        <v>1</v>
      </c>
      <c r="F29">
        <v>1</v>
      </c>
      <c r="G29">
        <v>27</v>
      </c>
      <c r="H29">
        <v>3</v>
      </c>
      <c r="I29" t="s">
        <v>592</v>
      </c>
      <c r="J29" t="s">
        <v>593</v>
      </c>
      <c r="K29" t="s">
        <v>594</v>
      </c>
      <c r="L29">
        <v>1348</v>
      </c>
      <c r="N29">
        <v>1009</v>
      </c>
      <c r="O29" t="s">
        <v>35</v>
      </c>
      <c r="P29" t="s">
        <v>35</v>
      </c>
      <c r="Q29">
        <v>1000</v>
      </c>
      <c r="W29">
        <v>0</v>
      </c>
      <c r="X29">
        <v>1214421246</v>
      </c>
      <c r="Y29">
        <v>0</v>
      </c>
      <c r="AA29">
        <v>6555.36</v>
      </c>
      <c r="AB29">
        <v>0</v>
      </c>
      <c r="AC29">
        <v>0</v>
      </c>
      <c r="AD29">
        <v>0</v>
      </c>
      <c r="AE29">
        <v>6555.36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1</v>
      </c>
      <c r="AQ29">
        <v>0</v>
      </c>
      <c r="AR29">
        <v>0</v>
      </c>
      <c r="AS29" t="s">
        <v>3</v>
      </c>
      <c r="AT29">
        <v>5.4000000000000001E-4</v>
      </c>
      <c r="AU29" t="s">
        <v>52</v>
      </c>
      <c r="AV29">
        <v>0</v>
      </c>
      <c r="AW29">
        <v>2</v>
      </c>
      <c r="AX29">
        <v>71211430</v>
      </c>
      <c r="AY29">
        <v>2</v>
      </c>
      <c r="AZ29">
        <v>16384</v>
      </c>
      <c r="BA29">
        <v>219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Y29*Source!I112</f>
        <v>0</v>
      </c>
      <c r="CY29">
        <f t="shared" ref="CY29:CY36" si="0">AA29</f>
        <v>6555.36</v>
      </c>
      <c r="CZ29">
        <f t="shared" ref="CZ29:CZ36" si="1">AE29</f>
        <v>6555.36</v>
      </c>
      <c r="DA29">
        <f t="shared" ref="DA29:DA36" si="2">AI29</f>
        <v>1</v>
      </c>
      <c r="DB29">
        <f>ROUND((ROUND(AT29*CZ29,2)*0),6)</f>
        <v>0</v>
      </c>
      <c r="DC29">
        <f>ROUND((ROUND(AT29*AG29,2)*0),6)</f>
        <v>0</v>
      </c>
    </row>
    <row r="30" spans="1:107" x14ac:dyDescent="0.2">
      <c r="A30">
        <f>ROW(Source!A112)</f>
        <v>112</v>
      </c>
      <c r="B30">
        <v>71209905</v>
      </c>
      <c r="C30">
        <v>71211423</v>
      </c>
      <c r="D30">
        <v>61382915</v>
      </c>
      <c r="E30">
        <v>1</v>
      </c>
      <c r="F30">
        <v>1</v>
      </c>
      <c r="G30">
        <v>27</v>
      </c>
      <c r="H30">
        <v>3</v>
      </c>
      <c r="I30" t="s">
        <v>595</v>
      </c>
      <c r="J30" t="s">
        <v>596</v>
      </c>
      <c r="K30" t="s">
        <v>597</v>
      </c>
      <c r="L30">
        <v>1339</v>
      </c>
      <c r="N30">
        <v>1007</v>
      </c>
      <c r="O30" t="s">
        <v>236</v>
      </c>
      <c r="P30" t="s">
        <v>236</v>
      </c>
      <c r="Q30">
        <v>1</v>
      </c>
      <c r="W30">
        <v>0</v>
      </c>
      <c r="X30">
        <v>-1765931154</v>
      </c>
      <c r="Y30">
        <v>0</v>
      </c>
      <c r="AA30">
        <v>6263.84</v>
      </c>
      <c r="AB30">
        <v>0</v>
      </c>
      <c r="AC30">
        <v>0</v>
      </c>
      <c r="AD30">
        <v>0</v>
      </c>
      <c r="AE30">
        <v>6263.84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1</v>
      </c>
      <c r="AQ30">
        <v>0</v>
      </c>
      <c r="AR30">
        <v>0</v>
      </c>
      <c r="AS30" t="s">
        <v>3</v>
      </c>
      <c r="AT30">
        <v>9.0000000000000006E-5</v>
      </c>
      <c r="AU30" t="s">
        <v>52</v>
      </c>
      <c r="AV30">
        <v>0</v>
      </c>
      <c r="AW30">
        <v>2</v>
      </c>
      <c r="AX30">
        <v>71211431</v>
      </c>
      <c r="AY30">
        <v>2</v>
      </c>
      <c r="AZ30">
        <v>16384</v>
      </c>
      <c r="BA30">
        <v>220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Y30*Source!I112</f>
        <v>0</v>
      </c>
      <c r="CY30">
        <f t="shared" si="0"/>
        <v>6263.84</v>
      </c>
      <c r="CZ30">
        <f t="shared" si="1"/>
        <v>6263.84</v>
      </c>
      <c r="DA30">
        <f t="shared" si="2"/>
        <v>1</v>
      </c>
      <c r="DB30">
        <f>ROUND((ROUND(AT30*CZ30,2)*0),6)</f>
        <v>0</v>
      </c>
      <c r="DC30">
        <f>ROUND((ROUND(AT30*AG30,2)*0),6)</f>
        <v>0</v>
      </c>
    </row>
    <row r="31" spans="1:107" x14ac:dyDescent="0.2">
      <c r="A31">
        <f>ROW(Source!A164)</f>
        <v>164</v>
      </c>
      <c r="B31">
        <v>71209905</v>
      </c>
      <c r="C31">
        <v>71211493</v>
      </c>
      <c r="D31">
        <v>67894958</v>
      </c>
      <c r="E31">
        <v>1</v>
      </c>
      <c r="F31">
        <v>1</v>
      </c>
      <c r="G31">
        <v>27</v>
      </c>
      <c r="H31">
        <v>3</v>
      </c>
      <c r="I31" t="s">
        <v>264</v>
      </c>
      <c r="J31" t="s">
        <v>266</v>
      </c>
      <c r="K31" t="s">
        <v>265</v>
      </c>
      <c r="L31">
        <v>1348</v>
      </c>
      <c r="N31">
        <v>1009</v>
      </c>
      <c r="O31" t="s">
        <v>35</v>
      </c>
      <c r="P31" t="s">
        <v>35</v>
      </c>
      <c r="Q31">
        <v>1000</v>
      </c>
      <c r="W31">
        <v>0</v>
      </c>
      <c r="X31">
        <v>-740831190</v>
      </c>
      <c r="Y31">
        <v>-7.14</v>
      </c>
      <c r="AA31">
        <v>2652.04</v>
      </c>
      <c r="AB31">
        <v>0</v>
      </c>
      <c r="AC31">
        <v>0</v>
      </c>
      <c r="AD31">
        <v>0</v>
      </c>
      <c r="AE31">
        <v>2652.04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3</v>
      </c>
      <c r="AT31">
        <v>-7.14</v>
      </c>
      <c r="AU31" t="s">
        <v>3</v>
      </c>
      <c r="AV31">
        <v>0</v>
      </c>
      <c r="AW31">
        <v>2</v>
      </c>
      <c r="AX31">
        <v>71211499</v>
      </c>
      <c r="AY31">
        <v>1</v>
      </c>
      <c r="AZ31">
        <v>6144</v>
      </c>
      <c r="BA31">
        <v>269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Y31*Source!I164</f>
        <v>-20.706</v>
      </c>
      <c r="CY31">
        <f t="shared" si="0"/>
        <v>2652.04</v>
      </c>
      <c r="CZ31">
        <f t="shared" si="1"/>
        <v>2652.04</v>
      </c>
      <c r="DA31">
        <f t="shared" si="2"/>
        <v>1</v>
      </c>
      <c r="DB31">
        <f t="shared" ref="DB31:DB62" si="3">ROUND(ROUND(AT31*CZ31,2),6)</f>
        <v>-18935.57</v>
      </c>
      <c r="DC31">
        <f t="shared" ref="DC31:DC62" si="4">ROUND(ROUND(AT31*AG31,2),6)</f>
        <v>0</v>
      </c>
    </row>
    <row r="32" spans="1:107" x14ac:dyDescent="0.2">
      <c r="A32">
        <f>ROW(Source!A164)</f>
        <v>164</v>
      </c>
      <c r="B32">
        <v>71209905</v>
      </c>
      <c r="C32">
        <v>71211493</v>
      </c>
      <c r="D32">
        <v>67894958</v>
      </c>
      <c r="E32">
        <v>1</v>
      </c>
      <c r="F32">
        <v>1</v>
      </c>
      <c r="G32">
        <v>27</v>
      </c>
      <c r="H32">
        <v>3</v>
      </c>
      <c r="I32" t="s">
        <v>264</v>
      </c>
      <c r="J32" t="s">
        <v>266</v>
      </c>
      <c r="K32" t="s">
        <v>268</v>
      </c>
      <c r="L32">
        <v>1348</v>
      </c>
      <c r="N32">
        <v>1009</v>
      </c>
      <c r="O32" t="s">
        <v>35</v>
      </c>
      <c r="P32" t="s">
        <v>35</v>
      </c>
      <c r="Q32">
        <v>1000</v>
      </c>
      <c r="W32">
        <v>0</v>
      </c>
      <c r="X32">
        <v>1697094267</v>
      </c>
      <c r="Y32">
        <v>11.9</v>
      </c>
      <c r="AA32">
        <v>2652.04</v>
      </c>
      <c r="AB32">
        <v>0</v>
      </c>
      <c r="AC32">
        <v>0</v>
      </c>
      <c r="AD32">
        <v>0</v>
      </c>
      <c r="AE32">
        <v>2652.04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3</v>
      </c>
      <c r="AT32">
        <v>11.9</v>
      </c>
      <c r="AU32" t="s">
        <v>3</v>
      </c>
      <c r="AV32">
        <v>0</v>
      </c>
      <c r="AW32">
        <v>1</v>
      </c>
      <c r="AX32">
        <v>-1</v>
      </c>
      <c r="AY32">
        <v>0</v>
      </c>
      <c r="AZ32">
        <v>0</v>
      </c>
      <c r="BA32" t="s">
        <v>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Y32*Source!I164</f>
        <v>34.51</v>
      </c>
      <c r="CY32">
        <f t="shared" si="0"/>
        <v>2652.04</v>
      </c>
      <c r="CZ32">
        <f t="shared" si="1"/>
        <v>2652.04</v>
      </c>
      <c r="DA32">
        <f t="shared" si="2"/>
        <v>1</v>
      </c>
      <c r="DB32">
        <f t="shared" si="3"/>
        <v>31559.279999999999</v>
      </c>
      <c r="DC32">
        <f t="shared" si="4"/>
        <v>0</v>
      </c>
    </row>
    <row r="33" spans="1:107" x14ac:dyDescent="0.2">
      <c r="A33">
        <f>ROW(Source!A167)</f>
        <v>167</v>
      </c>
      <c r="B33">
        <v>71209905</v>
      </c>
      <c r="C33">
        <v>71211502</v>
      </c>
      <c r="D33">
        <v>67892259</v>
      </c>
      <c r="E33">
        <v>1</v>
      </c>
      <c r="F33">
        <v>1</v>
      </c>
      <c r="G33">
        <v>27</v>
      </c>
      <c r="H33">
        <v>3</v>
      </c>
      <c r="I33" t="s">
        <v>274</v>
      </c>
      <c r="J33" t="s">
        <v>276</v>
      </c>
      <c r="K33" t="s">
        <v>275</v>
      </c>
      <c r="L33">
        <v>1348</v>
      </c>
      <c r="N33">
        <v>1009</v>
      </c>
      <c r="O33" t="s">
        <v>35</v>
      </c>
      <c r="P33" t="s">
        <v>35</v>
      </c>
      <c r="Q33">
        <v>1000</v>
      </c>
      <c r="W33">
        <v>0</v>
      </c>
      <c r="X33">
        <v>-629368275</v>
      </c>
      <c r="Y33">
        <v>-5.2499999999999998E-2</v>
      </c>
      <c r="AA33">
        <v>748299.67</v>
      </c>
      <c r="AB33">
        <v>0</v>
      </c>
      <c r="AC33">
        <v>0</v>
      </c>
      <c r="AD33">
        <v>0</v>
      </c>
      <c r="AE33">
        <v>748299.67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3</v>
      </c>
      <c r="AT33">
        <v>-5.2499999999999998E-2</v>
      </c>
      <c r="AU33" t="s">
        <v>3</v>
      </c>
      <c r="AV33">
        <v>0</v>
      </c>
      <c r="AW33">
        <v>2</v>
      </c>
      <c r="AX33">
        <v>71211513</v>
      </c>
      <c r="AY33">
        <v>1</v>
      </c>
      <c r="AZ33">
        <v>6144</v>
      </c>
      <c r="BA33">
        <v>279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Y33*Source!I167</f>
        <v>-0.15225</v>
      </c>
      <c r="CY33">
        <f t="shared" si="0"/>
        <v>748299.67</v>
      </c>
      <c r="CZ33">
        <f t="shared" si="1"/>
        <v>748299.67</v>
      </c>
      <c r="DA33">
        <f t="shared" si="2"/>
        <v>1</v>
      </c>
      <c r="DB33">
        <f t="shared" si="3"/>
        <v>-39285.730000000003</v>
      </c>
      <c r="DC33">
        <f t="shared" si="4"/>
        <v>0</v>
      </c>
    </row>
    <row r="34" spans="1:107" x14ac:dyDescent="0.2">
      <c r="A34">
        <f>ROW(Source!A169)</f>
        <v>169</v>
      </c>
      <c r="B34">
        <v>71209905</v>
      </c>
      <c r="C34">
        <v>71211515</v>
      </c>
      <c r="D34">
        <v>67892259</v>
      </c>
      <c r="E34">
        <v>1</v>
      </c>
      <c r="F34">
        <v>1</v>
      </c>
      <c r="G34">
        <v>27</v>
      </c>
      <c r="H34">
        <v>3</v>
      </c>
      <c r="I34" t="s">
        <v>274</v>
      </c>
      <c r="J34" t="s">
        <v>276</v>
      </c>
      <c r="K34" t="s">
        <v>275</v>
      </c>
      <c r="L34">
        <v>1348</v>
      </c>
      <c r="N34">
        <v>1009</v>
      </c>
      <c r="O34" t="s">
        <v>35</v>
      </c>
      <c r="P34" t="s">
        <v>35</v>
      </c>
      <c r="Q34">
        <v>1000</v>
      </c>
      <c r="W34">
        <v>0</v>
      </c>
      <c r="X34">
        <v>-629368275</v>
      </c>
      <c r="Y34">
        <v>-0.10500000000000001</v>
      </c>
      <c r="AA34">
        <v>748299.67</v>
      </c>
      <c r="AB34">
        <v>0</v>
      </c>
      <c r="AC34">
        <v>0</v>
      </c>
      <c r="AD34">
        <v>0</v>
      </c>
      <c r="AE34">
        <v>748299.67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3</v>
      </c>
      <c r="AT34">
        <v>-0.10500000000000001</v>
      </c>
      <c r="AU34" t="s">
        <v>3</v>
      </c>
      <c r="AV34">
        <v>0</v>
      </c>
      <c r="AW34">
        <v>2</v>
      </c>
      <c r="AX34">
        <v>71211522</v>
      </c>
      <c r="AY34">
        <v>1</v>
      </c>
      <c r="AZ34">
        <v>6144</v>
      </c>
      <c r="BA34">
        <v>285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Y34*Source!I169</f>
        <v>-0.30449999999999999</v>
      </c>
      <c r="CY34">
        <f t="shared" si="0"/>
        <v>748299.67</v>
      </c>
      <c r="CZ34">
        <f t="shared" si="1"/>
        <v>748299.67</v>
      </c>
      <c r="DA34">
        <f t="shared" si="2"/>
        <v>1</v>
      </c>
      <c r="DB34">
        <f t="shared" si="3"/>
        <v>-78571.47</v>
      </c>
      <c r="DC34">
        <f t="shared" si="4"/>
        <v>0</v>
      </c>
    </row>
    <row r="35" spans="1:107" x14ac:dyDescent="0.2">
      <c r="A35">
        <f>ROW(Source!A171)</f>
        <v>171</v>
      </c>
      <c r="B35">
        <v>71209905</v>
      </c>
      <c r="C35">
        <v>71211524</v>
      </c>
      <c r="D35">
        <v>67894285</v>
      </c>
      <c r="E35">
        <v>1</v>
      </c>
      <c r="F35">
        <v>1</v>
      </c>
      <c r="G35">
        <v>27</v>
      </c>
      <c r="H35">
        <v>3</v>
      </c>
      <c r="I35" t="s">
        <v>286</v>
      </c>
      <c r="J35" t="s">
        <v>289</v>
      </c>
      <c r="K35" t="s">
        <v>287</v>
      </c>
      <c r="L35">
        <v>1346</v>
      </c>
      <c r="N35">
        <v>1009</v>
      </c>
      <c r="O35" t="s">
        <v>288</v>
      </c>
      <c r="P35" t="s">
        <v>288</v>
      </c>
      <c r="Q35">
        <v>1</v>
      </c>
      <c r="W35">
        <v>0</v>
      </c>
      <c r="X35">
        <v>-78256104</v>
      </c>
      <c r="Y35">
        <v>0</v>
      </c>
      <c r="AA35">
        <v>17.77</v>
      </c>
      <c r="AB35">
        <v>0</v>
      </c>
      <c r="AC35">
        <v>0</v>
      </c>
      <c r="AD35">
        <v>0</v>
      </c>
      <c r="AE35">
        <v>17.77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3</v>
      </c>
      <c r="AT35">
        <v>0</v>
      </c>
      <c r="AU35" t="s">
        <v>3</v>
      </c>
      <c r="AV35">
        <v>0</v>
      </c>
      <c r="AW35">
        <v>2</v>
      </c>
      <c r="AX35">
        <v>71211530</v>
      </c>
      <c r="AY35">
        <v>1</v>
      </c>
      <c r="AZ35">
        <v>6144</v>
      </c>
      <c r="BA35">
        <v>289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Y35*Source!I171</f>
        <v>0</v>
      </c>
      <c r="CY35">
        <f t="shared" si="0"/>
        <v>17.77</v>
      </c>
      <c r="CZ35">
        <f t="shared" si="1"/>
        <v>17.77</v>
      </c>
      <c r="DA35">
        <f t="shared" si="2"/>
        <v>1</v>
      </c>
      <c r="DB35">
        <f t="shared" si="3"/>
        <v>0</v>
      </c>
      <c r="DC35">
        <f t="shared" si="4"/>
        <v>0</v>
      </c>
    </row>
    <row r="36" spans="1:107" x14ac:dyDescent="0.2">
      <c r="A36">
        <f>ROW(Source!A171)</f>
        <v>171</v>
      </c>
      <c r="B36">
        <v>71209905</v>
      </c>
      <c r="C36">
        <v>71211524</v>
      </c>
      <c r="D36">
        <v>67894286</v>
      </c>
      <c r="E36">
        <v>1</v>
      </c>
      <c r="F36">
        <v>1</v>
      </c>
      <c r="G36">
        <v>27</v>
      </c>
      <c r="H36">
        <v>3</v>
      </c>
      <c r="I36" t="s">
        <v>291</v>
      </c>
      <c r="J36" t="s">
        <v>293</v>
      </c>
      <c r="K36" t="s">
        <v>292</v>
      </c>
      <c r="L36">
        <v>1346</v>
      </c>
      <c r="N36">
        <v>1009</v>
      </c>
      <c r="O36" t="s">
        <v>288</v>
      </c>
      <c r="P36" t="s">
        <v>288</v>
      </c>
      <c r="Q36">
        <v>1</v>
      </c>
      <c r="W36">
        <v>0</v>
      </c>
      <c r="X36">
        <v>1723842548</v>
      </c>
      <c r="Y36">
        <v>0</v>
      </c>
      <c r="AA36">
        <v>94.72</v>
      </c>
      <c r="AB36">
        <v>0</v>
      </c>
      <c r="AC36">
        <v>0</v>
      </c>
      <c r="AD36">
        <v>0</v>
      </c>
      <c r="AE36">
        <v>94.72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</v>
      </c>
      <c r="AT36">
        <v>0</v>
      </c>
      <c r="AU36" t="s">
        <v>3</v>
      </c>
      <c r="AV36">
        <v>0</v>
      </c>
      <c r="AW36">
        <v>1</v>
      </c>
      <c r="AX36">
        <v>-1</v>
      </c>
      <c r="AY36">
        <v>0</v>
      </c>
      <c r="AZ36">
        <v>0</v>
      </c>
      <c r="BA36" t="s">
        <v>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Y36*Source!I171</f>
        <v>0</v>
      </c>
      <c r="CY36">
        <f t="shared" si="0"/>
        <v>94.72</v>
      </c>
      <c r="CZ36">
        <f t="shared" si="1"/>
        <v>94.72</v>
      </c>
      <c r="DA36">
        <f t="shared" si="2"/>
        <v>1</v>
      </c>
      <c r="DB36">
        <f t="shared" si="3"/>
        <v>0</v>
      </c>
      <c r="DC36">
        <f t="shared" si="4"/>
        <v>0</v>
      </c>
    </row>
    <row r="37" spans="1:107" x14ac:dyDescent="0.2">
      <c r="A37">
        <f>ROW(Source!A211)</f>
        <v>211</v>
      </c>
      <c r="B37">
        <v>71209905</v>
      </c>
      <c r="C37">
        <v>71211554</v>
      </c>
      <c r="D37">
        <v>67878646</v>
      </c>
      <c r="E37">
        <v>27</v>
      </c>
      <c r="F37">
        <v>1</v>
      </c>
      <c r="G37">
        <v>27</v>
      </c>
      <c r="H37">
        <v>1</v>
      </c>
      <c r="I37" t="s">
        <v>565</v>
      </c>
      <c r="J37" t="s">
        <v>3</v>
      </c>
      <c r="K37" t="s">
        <v>566</v>
      </c>
      <c r="L37">
        <v>1191</v>
      </c>
      <c r="N37">
        <v>1013</v>
      </c>
      <c r="O37" t="s">
        <v>567</v>
      </c>
      <c r="P37" t="s">
        <v>567</v>
      </c>
      <c r="Q37">
        <v>1</v>
      </c>
      <c r="W37">
        <v>0</v>
      </c>
      <c r="X37">
        <v>476480486</v>
      </c>
      <c r="Y37">
        <v>134.08000000000001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134.08000000000001</v>
      </c>
      <c r="AU37" t="s">
        <v>3</v>
      </c>
      <c r="AV37">
        <v>1</v>
      </c>
      <c r="AW37">
        <v>2</v>
      </c>
      <c r="AX37">
        <v>71211562</v>
      </c>
      <c r="AY37">
        <v>1</v>
      </c>
      <c r="AZ37">
        <v>0</v>
      </c>
      <c r="BA37">
        <v>309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Y37*Source!I211</f>
        <v>92.515200000000007</v>
      </c>
      <c r="CY37">
        <f>AD37</f>
        <v>0</v>
      </c>
      <c r="CZ37">
        <f>AH37</f>
        <v>0</v>
      </c>
      <c r="DA37">
        <f>AL37</f>
        <v>1</v>
      </c>
      <c r="DB37">
        <f t="shared" si="3"/>
        <v>0</v>
      </c>
      <c r="DC37">
        <f t="shared" si="4"/>
        <v>0</v>
      </c>
    </row>
    <row r="38" spans="1:107" x14ac:dyDescent="0.2">
      <c r="A38">
        <f>ROW(Source!A211)</f>
        <v>211</v>
      </c>
      <c r="B38">
        <v>71209905</v>
      </c>
      <c r="C38">
        <v>71211554</v>
      </c>
      <c r="D38">
        <v>67891492</v>
      </c>
      <c r="E38">
        <v>1</v>
      </c>
      <c r="F38">
        <v>1</v>
      </c>
      <c r="G38">
        <v>27</v>
      </c>
      <c r="H38">
        <v>2</v>
      </c>
      <c r="I38" t="s">
        <v>598</v>
      </c>
      <c r="J38" t="s">
        <v>599</v>
      </c>
      <c r="K38" t="s">
        <v>600</v>
      </c>
      <c r="L38">
        <v>1368</v>
      </c>
      <c r="N38">
        <v>1011</v>
      </c>
      <c r="O38" t="s">
        <v>571</v>
      </c>
      <c r="P38" t="s">
        <v>571</v>
      </c>
      <c r="Q38">
        <v>1</v>
      </c>
      <c r="W38">
        <v>0</v>
      </c>
      <c r="X38">
        <v>1502345835</v>
      </c>
      <c r="Y38">
        <v>4.0999999999999996</v>
      </c>
      <c r="AA38">
        <v>0</v>
      </c>
      <c r="AB38">
        <v>94.06</v>
      </c>
      <c r="AC38">
        <v>4.3499999999999996</v>
      </c>
      <c r="AD38">
        <v>0</v>
      </c>
      <c r="AE38">
        <v>0</v>
      </c>
      <c r="AF38">
        <v>94.06</v>
      </c>
      <c r="AG38">
        <v>4.3499999999999996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4.0999999999999996</v>
      </c>
      <c r="AU38" t="s">
        <v>3</v>
      </c>
      <c r="AV38">
        <v>0</v>
      </c>
      <c r="AW38">
        <v>2</v>
      </c>
      <c r="AX38">
        <v>71211563</v>
      </c>
      <c r="AY38">
        <v>1</v>
      </c>
      <c r="AZ38">
        <v>0</v>
      </c>
      <c r="BA38">
        <v>310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Y38*Source!I211</f>
        <v>2.8289999999999997</v>
      </c>
      <c r="CY38">
        <f>AB38</f>
        <v>94.06</v>
      </c>
      <c r="CZ38">
        <f>AF38</f>
        <v>94.06</v>
      </c>
      <c r="DA38">
        <f>AJ38</f>
        <v>1</v>
      </c>
      <c r="DB38">
        <f t="shared" si="3"/>
        <v>385.65</v>
      </c>
      <c r="DC38">
        <f t="shared" si="4"/>
        <v>17.84</v>
      </c>
    </row>
    <row r="39" spans="1:107" x14ac:dyDescent="0.2">
      <c r="A39">
        <f>ROW(Source!A211)</f>
        <v>211</v>
      </c>
      <c r="B39">
        <v>71209905</v>
      </c>
      <c r="C39">
        <v>71211554</v>
      </c>
      <c r="D39">
        <v>67891707</v>
      </c>
      <c r="E39">
        <v>1</v>
      </c>
      <c r="F39">
        <v>1</v>
      </c>
      <c r="G39">
        <v>27</v>
      </c>
      <c r="H39">
        <v>2</v>
      </c>
      <c r="I39" t="s">
        <v>601</v>
      </c>
      <c r="J39" t="s">
        <v>602</v>
      </c>
      <c r="K39" t="s">
        <v>603</v>
      </c>
      <c r="L39">
        <v>1368</v>
      </c>
      <c r="N39">
        <v>1011</v>
      </c>
      <c r="O39" t="s">
        <v>571</v>
      </c>
      <c r="P39" t="s">
        <v>571</v>
      </c>
      <c r="Q39">
        <v>1</v>
      </c>
      <c r="W39">
        <v>0</v>
      </c>
      <c r="X39">
        <v>373646074</v>
      </c>
      <c r="Y39">
        <v>2.1800000000000002</v>
      </c>
      <c r="AA39">
        <v>0</v>
      </c>
      <c r="AB39">
        <v>4.16</v>
      </c>
      <c r="AC39">
        <v>0.01</v>
      </c>
      <c r="AD39">
        <v>0</v>
      </c>
      <c r="AE39">
        <v>0</v>
      </c>
      <c r="AF39">
        <v>4.16</v>
      </c>
      <c r="AG39">
        <v>0.01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2.1800000000000002</v>
      </c>
      <c r="AU39" t="s">
        <v>3</v>
      </c>
      <c r="AV39">
        <v>0</v>
      </c>
      <c r="AW39">
        <v>2</v>
      </c>
      <c r="AX39">
        <v>71211564</v>
      </c>
      <c r="AY39">
        <v>1</v>
      </c>
      <c r="AZ39">
        <v>0</v>
      </c>
      <c r="BA39">
        <v>311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Y39*Source!I211</f>
        <v>1.5042</v>
      </c>
      <c r="CY39">
        <f>AB39</f>
        <v>4.16</v>
      </c>
      <c r="CZ39">
        <f>AF39</f>
        <v>4.16</v>
      </c>
      <c r="DA39">
        <f>AJ39</f>
        <v>1</v>
      </c>
      <c r="DB39">
        <f t="shared" si="3"/>
        <v>9.07</v>
      </c>
      <c r="DC39">
        <f t="shared" si="4"/>
        <v>0.02</v>
      </c>
    </row>
    <row r="40" spans="1:107" x14ac:dyDescent="0.2">
      <c r="A40">
        <f>ROW(Source!A211)</f>
        <v>211</v>
      </c>
      <c r="B40">
        <v>71209905</v>
      </c>
      <c r="C40">
        <v>71211554</v>
      </c>
      <c r="D40">
        <v>67893015</v>
      </c>
      <c r="E40">
        <v>1</v>
      </c>
      <c r="F40">
        <v>1</v>
      </c>
      <c r="G40">
        <v>27</v>
      </c>
      <c r="H40">
        <v>3</v>
      </c>
      <c r="I40" t="s">
        <v>604</v>
      </c>
      <c r="J40" t="s">
        <v>605</v>
      </c>
      <c r="K40" t="s">
        <v>606</v>
      </c>
      <c r="L40">
        <v>1339</v>
      </c>
      <c r="N40">
        <v>1007</v>
      </c>
      <c r="O40" t="s">
        <v>236</v>
      </c>
      <c r="P40" t="s">
        <v>236</v>
      </c>
      <c r="Q40">
        <v>1</v>
      </c>
      <c r="W40">
        <v>0</v>
      </c>
      <c r="X40">
        <v>-1662970571</v>
      </c>
      <c r="Y40">
        <v>0.21</v>
      </c>
      <c r="AA40">
        <v>590.78</v>
      </c>
      <c r="AB40">
        <v>0</v>
      </c>
      <c r="AC40">
        <v>0</v>
      </c>
      <c r="AD40">
        <v>0</v>
      </c>
      <c r="AE40">
        <v>590.78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0.21</v>
      </c>
      <c r="AU40" t="s">
        <v>3</v>
      </c>
      <c r="AV40">
        <v>0</v>
      </c>
      <c r="AW40">
        <v>2</v>
      </c>
      <c r="AX40">
        <v>71211565</v>
      </c>
      <c r="AY40">
        <v>1</v>
      </c>
      <c r="AZ40">
        <v>0</v>
      </c>
      <c r="BA40">
        <v>312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Y40*Source!I211</f>
        <v>0.14489999999999997</v>
      </c>
      <c r="CY40">
        <f>AA40</f>
        <v>590.78</v>
      </c>
      <c r="CZ40">
        <f>AE40</f>
        <v>590.78</v>
      </c>
      <c r="DA40">
        <f>AI40</f>
        <v>1</v>
      </c>
      <c r="DB40">
        <f t="shared" si="3"/>
        <v>124.06</v>
      </c>
      <c r="DC40">
        <f t="shared" si="4"/>
        <v>0</v>
      </c>
    </row>
    <row r="41" spans="1:107" x14ac:dyDescent="0.2">
      <c r="A41">
        <f>ROW(Source!A211)</f>
        <v>211</v>
      </c>
      <c r="B41">
        <v>71209905</v>
      </c>
      <c r="C41">
        <v>71211554</v>
      </c>
      <c r="D41">
        <v>67894837</v>
      </c>
      <c r="E41">
        <v>1</v>
      </c>
      <c r="F41">
        <v>1</v>
      </c>
      <c r="G41">
        <v>27</v>
      </c>
      <c r="H41">
        <v>3</v>
      </c>
      <c r="I41" t="s">
        <v>607</v>
      </c>
      <c r="J41" t="s">
        <v>608</v>
      </c>
      <c r="K41" t="s">
        <v>609</v>
      </c>
      <c r="L41">
        <v>1348</v>
      </c>
      <c r="N41">
        <v>1009</v>
      </c>
      <c r="O41" t="s">
        <v>35</v>
      </c>
      <c r="P41" t="s">
        <v>35</v>
      </c>
      <c r="Q41">
        <v>1000</v>
      </c>
      <c r="W41">
        <v>0</v>
      </c>
      <c r="X41">
        <v>-487600674</v>
      </c>
      <c r="Y41">
        <v>8.5299999999999994</v>
      </c>
      <c r="AA41">
        <v>3886.85</v>
      </c>
      <c r="AB41">
        <v>0</v>
      </c>
      <c r="AC41">
        <v>0</v>
      </c>
      <c r="AD41">
        <v>0</v>
      </c>
      <c r="AE41">
        <v>3886.85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8.5299999999999994</v>
      </c>
      <c r="AU41" t="s">
        <v>3</v>
      </c>
      <c r="AV41">
        <v>0</v>
      </c>
      <c r="AW41">
        <v>2</v>
      </c>
      <c r="AX41">
        <v>71211566</v>
      </c>
      <c r="AY41">
        <v>1</v>
      </c>
      <c r="AZ41">
        <v>0</v>
      </c>
      <c r="BA41">
        <v>313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Y41*Source!I211</f>
        <v>5.885699999999999</v>
      </c>
      <c r="CY41">
        <f>AA41</f>
        <v>3886.85</v>
      </c>
      <c r="CZ41">
        <f>AE41</f>
        <v>3886.85</v>
      </c>
      <c r="DA41">
        <f>AI41</f>
        <v>1</v>
      </c>
      <c r="DB41">
        <f t="shared" si="3"/>
        <v>33154.83</v>
      </c>
      <c r="DC41">
        <f t="shared" si="4"/>
        <v>0</v>
      </c>
    </row>
    <row r="42" spans="1:107" x14ac:dyDescent="0.2">
      <c r="A42">
        <f>ROW(Source!A211)</f>
        <v>211</v>
      </c>
      <c r="B42">
        <v>71209905</v>
      </c>
      <c r="C42">
        <v>71211554</v>
      </c>
      <c r="D42">
        <v>67895536</v>
      </c>
      <c r="E42">
        <v>1</v>
      </c>
      <c r="F42">
        <v>1</v>
      </c>
      <c r="G42">
        <v>27</v>
      </c>
      <c r="H42">
        <v>3</v>
      </c>
      <c r="I42" t="s">
        <v>300</v>
      </c>
      <c r="J42" t="s">
        <v>302</v>
      </c>
      <c r="K42" t="s">
        <v>301</v>
      </c>
      <c r="L42">
        <v>1327</v>
      </c>
      <c r="N42">
        <v>1005</v>
      </c>
      <c r="O42" t="s">
        <v>18</v>
      </c>
      <c r="P42" t="s">
        <v>18</v>
      </c>
      <c r="Q42">
        <v>1</v>
      </c>
      <c r="W42">
        <v>0</v>
      </c>
      <c r="X42">
        <v>503634635</v>
      </c>
      <c r="Y42">
        <v>100</v>
      </c>
      <c r="AA42">
        <v>968.56</v>
      </c>
      <c r="AB42">
        <v>0</v>
      </c>
      <c r="AC42">
        <v>0</v>
      </c>
      <c r="AD42">
        <v>0</v>
      </c>
      <c r="AE42">
        <v>968.56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3</v>
      </c>
      <c r="AT42">
        <v>100</v>
      </c>
      <c r="AU42" t="s">
        <v>3</v>
      </c>
      <c r="AV42">
        <v>0</v>
      </c>
      <c r="AW42">
        <v>1</v>
      </c>
      <c r="AX42">
        <v>-1</v>
      </c>
      <c r="AY42">
        <v>0</v>
      </c>
      <c r="AZ42">
        <v>0</v>
      </c>
      <c r="BA42" t="s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Y42*Source!I211</f>
        <v>69</v>
      </c>
      <c r="CY42">
        <f>AA42</f>
        <v>968.56</v>
      </c>
      <c r="CZ42">
        <f>AE42</f>
        <v>968.56</v>
      </c>
      <c r="DA42">
        <f>AI42</f>
        <v>1</v>
      </c>
      <c r="DB42">
        <f t="shared" si="3"/>
        <v>96856</v>
      </c>
      <c r="DC42">
        <f t="shared" si="4"/>
        <v>0</v>
      </c>
    </row>
    <row r="43" spans="1:107" x14ac:dyDescent="0.2">
      <c r="A43">
        <f>ROW(Source!A211)</f>
        <v>211</v>
      </c>
      <c r="B43">
        <v>71209905</v>
      </c>
      <c r="C43">
        <v>71211554</v>
      </c>
      <c r="D43">
        <v>67895993</v>
      </c>
      <c r="E43">
        <v>1</v>
      </c>
      <c r="F43">
        <v>1</v>
      </c>
      <c r="G43">
        <v>27</v>
      </c>
      <c r="H43">
        <v>3</v>
      </c>
      <c r="I43" t="s">
        <v>610</v>
      </c>
      <c r="J43" t="s">
        <v>611</v>
      </c>
      <c r="K43" t="s">
        <v>612</v>
      </c>
      <c r="L43">
        <v>1354</v>
      </c>
      <c r="N43">
        <v>1010</v>
      </c>
      <c r="O43" t="s">
        <v>232</v>
      </c>
      <c r="P43" t="s">
        <v>232</v>
      </c>
      <c r="Q43">
        <v>1</v>
      </c>
      <c r="W43">
        <v>0</v>
      </c>
      <c r="X43">
        <v>976136319</v>
      </c>
      <c r="Y43">
        <v>1.5</v>
      </c>
      <c r="AA43">
        <v>5215.0200000000004</v>
      </c>
      <c r="AB43">
        <v>0</v>
      </c>
      <c r="AC43">
        <v>0</v>
      </c>
      <c r="AD43">
        <v>0</v>
      </c>
      <c r="AE43">
        <v>5215.0200000000004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1.5</v>
      </c>
      <c r="AU43" t="s">
        <v>3</v>
      </c>
      <c r="AV43">
        <v>0</v>
      </c>
      <c r="AW43">
        <v>2</v>
      </c>
      <c r="AX43">
        <v>71211567</v>
      </c>
      <c r="AY43">
        <v>1</v>
      </c>
      <c r="AZ43">
        <v>0</v>
      </c>
      <c r="BA43">
        <v>314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Y43*Source!I211</f>
        <v>1.0349999999999999</v>
      </c>
      <c r="CY43">
        <f>AA43</f>
        <v>5215.0200000000004</v>
      </c>
      <c r="CZ43">
        <f>AE43</f>
        <v>5215.0200000000004</v>
      </c>
      <c r="DA43">
        <f>AI43</f>
        <v>1</v>
      </c>
      <c r="DB43">
        <f t="shared" si="3"/>
        <v>7822.53</v>
      </c>
      <c r="DC43">
        <f t="shared" si="4"/>
        <v>0</v>
      </c>
    </row>
    <row r="44" spans="1:107" x14ac:dyDescent="0.2">
      <c r="A44">
        <f>ROW(Source!A213)</f>
        <v>213</v>
      </c>
      <c r="B44">
        <v>71209905</v>
      </c>
      <c r="C44">
        <v>71211570</v>
      </c>
      <c r="D44">
        <v>67894838</v>
      </c>
      <c r="E44">
        <v>1</v>
      </c>
      <c r="F44">
        <v>1</v>
      </c>
      <c r="G44">
        <v>27</v>
      </c>
      <c r="H44">
        <v>3</v>
      </c>
      <c r="I44" t="s">
        <v>308</v>
      </c>
      <c r="J44" t="s">
        <v>310</v>
      </c>
      <c r="K44" t="s">
        <v>309</v>
      </c>
      <c r="L44">
        <v>1348</v>
      </c>
      <c r="N44">
        <v>1009</v>
      </c>
      <c r="O44" t="s">
        <v>35</v>
      </c>
      <c r="P44" t="s">
        <v>35</v>
      </c>
      <c r="Q44">
        <v>1000</v>
      </c>
      <c r="W44">
        <v>0</v>
      </c>
      <c r="X44">
        <v>921660342</v>
      </c>
      <c r="Y44">
        <v>0</v>
      </c>
      <c r="AA44">
        <v>3907.67</v>
      </c>
      <c r="AB44">
        <v>0</v>
      </c>
      <c r="AC44">
        <v>0</v>
      </c>
      <c r="AD44">
        <v>0</v>
      </c>
      <c r="AE44">
        <v>3907.67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3</v>
      </c>
      <c r="AT44">
        <v>0</v>
      </c>
      <c r="AU44" t="s">
        <v>3</v>
      </c>
      <c r="AV44">
        <v>0</v>
      </c>
      <c r="AW44">
        <v>1</v>
      </c>
      <c r="AX44">
        <v>-1</v>
      </c>
      <c r="AY44">
        <v>0</v>
      </c>
      <c r="AZ44">
        <v>0</v>
      </c>
      <c r="BA44" t="s">
        <v>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Y44*Source!I213</f>
        <v>0</v>
      </c>
      <c r="CY44">
        <f>AA44</f>
        <v>3907.67</v>
      </c>
      <c r="CZ44">
        <f>AE44</f>
        <v>3907.67</v>
      </c>
      <c r="DA44">
        <f>AI44</f>
        <v>1</v>
      </c>
      <c r="DB44">
        <f t="shared" si="3"/>
        <v>0</v>
      </c>
      <c r="DC44">
        <f t="shared" si="4"/>
        <v>0</v>
      </c>
    </row>
    <row r="45" spans="1:107" x14ac:dyDescent="0.2">
      <c r="A45">
        <f>ROW(Source!A252)</f>
        <v>252</v>
      </c>
      <c r="B45">
        <v>71209905</v>
      </c>
      <c r="C45">
        <v>71211596</v>
      </c>
      <c r="D45">
        <v>67878646</v>
      </c>
      <c r="E45">
        <v>27</v>
      </c>
      <c r="F45">
        <v>1</v>
      </c>
      <c r="G45">
        <v>27</v>
      </c>
      <c r="H45">
        <v>1</v>
      </c>
      <c r="I45" t="s">
        <v>565</v>
      </c>
      <c r="J45" t="s">
        <v>3</v>
      </c>
      <c r="K45" t="s">
        <v>566</v>
      </c>
      <c r="L45">
        <v>1191</v>
      </c>
      <c r="N45">
        <v>1013</v>
      </c>
      <c r="O45" t="s">
        <v>567</v>
      </c>
      <c r="P45" t="s">
        <v>567</v>
      </c>
      <c r="Q45">
        <v>1</v>
      </c>
      <c r="W45">
        <v>0</v>
      </c>
      <c r="X45">
        <v>476480486</v>
      </c>
      <c r="Y45">
        <v>134.08000000000001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134.08000000000001</v>
      </c>
      <c r="AU45" t="s">
        <v>3</v>
      </c>
      <c r="AV45">
        <v>1</v>
      </c>
      <c r="AW45">
        <v>2</v>
      </c>
      <c r="AX45">
        <v>71211604</v>
      </c>
      <c r="AY45">
        <v>1</v>
      </c>
      <c r="AZ45">
        <v>0</v>
      </c>
      <c r="BA45">
        <v>337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Y45*Source!I252</f>
        <v>27.084160000000004</v>
      </c>
      <c r="CY45">
        <f>AD45</f>
        <v>0</v>
      </c>
      <c r="CZ45">
        <f>AH45</f>
        <v>0</v>
      </c>
      <c r="DA45">
        <f>AL45</f>
        <v>1</v>
      </c>
      <c r="DB45">
        <f t="shared" si="3"/>
        <v>0</v>
      </c>
      <c r="DC45">
        <f t="shared" si="4"/>
        <v>0</v>
      </c>
    </row>
    <row r="46" spans="1:107" x14ac:dyDescent="0.2">
      <c r="A46">
        <f>ROW(Source!A252)</f>
        <v>252</v>
      </c>
      <c r="B46">
        <v>71209905</v>
      </c>
      <c r="C46">
        <v>71211596</v>
      </c>
      <c r="D46">
        <v>67891492</v>
      </c>
      <c r="E46">
        <v>1</v>
      </c>
      <c r="F46">
        <v>1</v>
      </c>
      <c r="G46">
        <v>27</v>
      </c>
      <c r="H46">
        <v>2</v>
      </c>
      <c r="I46" t="s">
        <v>598</v>
      </c>
      <c r="J46" t="s">
        <v>599</v>
      </c>
      <c r="K46" t="s">
        <v>600</v>
      </c>
      <c r="L46">
        <v>1368</v>
      </c>
      <c r="N46">
        <v>1011</v>
      </c>
      <c r="O46" t="s">
        <v>571</v>
      </c>
      <c r="P46" t="s">
        <v>571</v>
      </c>
      <c r="Q46">
        <v>1</v>
      </c>
      <c r="W46">
        <v>0</v>
      </c>
      <c r="X46">
        <v>1502345835</v>
      </c>
      <c r="Y46">
        <v>4.0999999999999996</v>
      </c>
      <c r="AA46">
        <v>0</v>
      </c>
      <c r="AB46">
        <v>94.06</v>
      </c>
      <c r="AC46">
        <v>4.3499999999999996</v>
      </c>
      <c r="AD46">
        <v>0</v>
      </c>
      <c r="AE46">
        <v>0</v>
      </c>
      <c r="AF46">
        <v>94.06</v>
      </c>
      <c r="AG46">
        <v>4.3499999999999996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4.0999999999999996</v>
      </c>
      <c r="AU46" t="s">
        <v>3</v>
      </c>
      <c r="AV46">
        <v>0</v>
      </c>
      <c r="AW46">
        <v>2</v>
      </c>
      <c r="AX46">
        <v>71211605</v>
      </c>
      <c r="AY46">
        <v>1</v>
      </c>
      <c r="AZ46">
        <v>0</v>
      </c>
      <c r="BA46">
        <v>338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Y46*Source!I252</f>
        <v>0.82819999999999994</v>
      </c>
      <c r="CY46">
        <f>AB46</f>
        <v>94.06</v>
      </c>
      <c r="CZ46">
        <f>AF46</f>
        <v>94.06</v>
      </c>
      <c r="DA46">
        <f>AJ46</f>
        <v>1</v>
      </c>
      <c r="DB46">
        <f t="shared" si="3"/>
        <v>385.65</v>
      </c>
      <c r="DC46">
        <f t="shared" si="4"/>
        <v>17.84</v>
      </c>
    </row>
    <row r="47" spans="1:107" x14ac:dyDescent="0.2">
      <c r="A47">
        <f>ROW(Source!A252)</f>
        <v>252</v>
      </c>
      <c r="B47">
        <v>71209905</v>
      </c>
      <c r="C47">
        <v>71211596</v>
      </c>
      <c r="D47">
        <v>67891707</v>
      </c>
      <c r="E47">
        <v>1</v>
      </c>
      <c r="F47">
        <v>1</v>
      </c>
      <c r="G47">
        <v>27</v>
      </c>
      <c r="H47">
        <v>2</v>
      </c>
      <c r="I47" t="s">
        <v>601</v>
      </c>
      <c r="J47" t="s">
        <v>602</v>
      </c>
      <c r="K47" t="s">
        <v>603</v>
      </c>
      <c r="L47">
        <v>1368</v>
      </c>
      <c r="N47">
        <v>1011</v>
      </c>
      <c r="O47" t="s">
        <v>571</v>
      </c>
      <c r="P47" t="s">
        <v>571</v>
      </c>
      <c r="Q47">
        <v>1</v>
      </c>
      <c r="W47">
        <v>0</v>
      </c>
      <c r="X47">
        <v>373646074</v>
      </c>
      <c r="Y47">
        <v>2.1800000000000002</v>
      </c>
      <c r="AA47">
        <v>0</v>
      </c>
      <c r="AB47">
        <v>4.16</v>
      </c>
      <c r="AC47">
        <v>0.01</v>
      </c>
      <c r="AD47">
        <v>0</v>
      </c>
      <c r="AE47">
        <v>0</v>
      </c>
      <c r="AF47">
        <v>4.16</v>
      </c>
      <c r="AG47">
        <v>0.01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2.1800000000000002</v>
      </c>
      <c r="AU47" t="s">
        <v>3</v>
      </c>
      <c r="AV47">
        <v>0</v>
      </c>
      <c r="AW47">
        <v>2</v>
      </c>
      <c r="AX47">
        <v>71211606</v>
      </c>
      <c r="AY47">
        <v>1</v>
      </c>
      <c r="AZ47">
        <v>0</v>
      </c>
      <c r="BA47">
        <v>339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Y47*Source!I252</f>
        <v>0.44036000000000008</v>
      </c>
      <c r="CY47">
        <f>AB47</f>
        <v>4.16</v>
      </c>
      <c r="CZ47">
        <f>AF47</f>
        <v>4.16</v>
      </c>
      <c r="DA47">
        <f>AJ47</f>
        <v>1</v>
      </c>
      <c r="DB47">
        <f t="shared" si="3"/>
        <v>9.07</v>
      </c>
      <c r="DC47">
        <f t="shared" si="4"/>
        <v>0.02</v>
      </c>
    </row>
    <row r="48" spans="1:107" x14ac:dyDescent="0.2">
      <c r="A48">
        <f>ROW(Source!A252)</f>
        <v>252</v>
      </c>
      <c r="B48">
        <v>71209905</v>
      </c>
      <c r="C48">
        <v>71211596</v>
      </c>
      <c r="D48">
        <v>67893015</v>
      </c>
      <c r="E48">
        <v>1</v>
      </c>
      <c r="F48">
        <v>1</v>
      </c>
      <c r="G48">
        <v>27</v>
      </c>
      <c r="H48">
        <v>3</v>
      </c>
      <c r="I48" t="s">
        <v>604</v>
      </c>
      <c r="J48" t="s">
        <v>605</v>
      </c>
      <c r="K48" t="s">
        <v>606</v>
      </c>
      <c r="L48">
        <v>1339</v>
      </c>
      <c r="N48">
        <v>1007</v>
      </c>
      <c r="O48" t="s">
        <v>236</v>
      </c>
      <c r="P48" t="s">
        <v>236</v>
      </c>
      <c r="Q48">
        <v>1</v>
      </c>
      <c r="W48">
        <v>0</v>
      </c>
      <c r="X48">
        <v>-1662970571</v>
      </c>
      <c r="Y48">
        <v>0.21</v>
      </c>
      <c r="AA48">
        <v>590.78</v>
      </c>
      <c r="AB48">
        <v>0</v>
      </c>
      <c r="AC48">
        <v>0</v>
      </c>
      <c r="AD48">
        <v>0</v>
      </c>
      <c r="AE48">
        <v>590.78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0.21</v>
      </c>
      <c r="AU48" t="s">
        <v>3</v>
      </c>
      <c r="AV48">
        <v>0</v>
      </c>
      <c r="AW48">
        <v>2</v>
      </c>
      <c r="AX48">
        <v>71211607</v>
      </c>
      <c r="AY48">
        <v>1</v>
      </c>
      <c r="AZ48">
        <v>0</v>
      </c>
      <c r="BA48">
        <v>340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Y48*Source!I252</f>
        <v>4.2419999999999999E-2</v>
      </c>
      <c r="CY48">
        <f>AA48</f>
        <v>590.78</v>
      </c>
      <c r="CZ48">
        <f>AE48</f>
        <v>590.78</v>
      </c>
      <c r="DA48">
        <f>AI48</f>
        <v>1</v>
      </c>
      <c r="DB48">
        <f t="shared" si="3"/>
        <v>124.06</v>
      </c>
      <c r="DC48">
        <f t="shared" si="4"/>
        <v>0</v>
      </c>
    </row>
    <row r="49" spans="1:107" x14ac:dyDescent="0.2">
      <c r="A49">
        <f>ROW(Source!A252)</f>
        <v>252</v>
      </c>
      <c r="B49">
        <v>71209905</v>
      </c>
      <c r="C49">
        <v>71211596</v>
      </c>
      <c r="D49">
        <v>67894837</v>
      </c>
      <c r="E49">
        <v>1</v>
      </c>
      <c r="F49">
        <v>1</v>
      </c>
      <c r="G49">
        <v>27</v>
      </c>
      <c r="H49">
        <v>3</v>
      </c>
      <c r="I49" t="s">
        <v>607</v>
      </c>
      <c r="J49" t="s">
        <v>608</v>
      </c>
      <c r="K49" t="s">
        <v>609</v>
      </c>
      <c r="L49">
        <v>1348</v>
      </c>
      <c r="N49">
        <v>1009</v>
      </c>
      <c r="O49" t="s">
        <v>35</v>
      </c>
      <c r="P49" t="s">
        <v>35</v>
      </c>
      <c r="Q49">
        <v>1000</v>
      </c>
      <c r="W49">
        <v>0</v>
      </c>
      <c r="X49">
        <v>-487600674</v>
      </c>
      <c r="Y49">
        <v>8.5299999999999994</v>
      </c>
      <c r="AA49">
        <v>3886.85</v>
      </c>
      <c r="AB49">
        <v>0</v>
      </c>
      <c r="AC49">
        <v>0</v>
      </c>
      <c r="AD49">
        <v>0</v>
      </c>
      <c r="AE49">
        <v>3886.85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8.5299999999999994</v>
      </c>
      <c r="AU49" t="s">
        <v>3</v>
      </c>
      <c r="AV49">
        <v>0</v>
      </c>
      <c r="AW49">
        <v>2</v>
      </c>
      <c r="AX49">
        <v>71211608</v>
      </c>
      <c r="AY49">
        <v>1</v>
      </c>
      <c r="AZ49">
        <v>0</v>
      </c>
      <c r="BA49">
        <v>341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Y49*Source!I252</f>
        <v>1.72306</v>
      </c>
      <c r="CY49">
        <f>AA49</f>
        <v>3886.85</v>
      </c>
      <c r="CZ49">
        <f>AE49</f>
        <v>3886.85</v>
      </c>
      <c r="DA49">
        <f>AI49</f>
        <v>1</v>
      </c>
      <c r="DB49">
        <f t="shared" si="3"/>
        <v>33154.83</v>
      </c>
      <c r="DC49">
        <f t="shared" si="4"/>
        <v>0</v>
      </c>
    </row>
    <row r="50" spans="1:107" x14ac:dyDescent="0.2">
      <c r="A50">
        <f>ROW(Source!A252)</f>
        <v>252</v>
      </c>
      <c r="B50">
        <v>71209905</v>
      </c>
      <c r="C50">
        <v>71211596</v>
      </c>
      <c r="D50">
        <v>67895536</v>
      </c>
      <c r="E50">
        <v>1</v>
      </c>
      <c r="F50">
        <v>1</v>
      </c>
      <c r="G50">
        <v>27</v>
      </c>
      <c r="H50">
        <v>3</v>
      </c>
      <c r="I50" t="s">
        <v>300</v>
      </c>
      <c r="J50" t="s">
        <v>302</v>
      </c>
      <c r="K50" t="s">
        <v>301</v>
      </c>
      <c r="L50">
        <v>1327</v>
      </c>
      <c r="N50">
        <v>1005</v>
      </c>
      <c r="O50" t="s">
        <v>18</v>
      </c>
      <c r="P50" t="s">
        <v>18</v>
      </c>
      <c r="Q50">
        <v>1</v>
      </c>
      <c r="W50">
        <v>0</v>
      </c>
      <c r="X50">
        <v>503634635</v>
      </c>
      <c r="Y50">
        <v>100</v>
      </c>
      <c r="AA50">
        <v>968.56</v>
      </c>
      <c r="AB50">
        <v>0</v>
      </c>
      <c r="AC50">
        <v>0</v>
      </c>
      <c r="AD50">
        <v>0</v>
      </c>
      <c r="AE50">
        <v>968.56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3</v>
      </c>
      <c r="AT50">
        <v>100</v>
      </c>
      <c r="AU50" t="s">
        <v>3</v>
      </c>
      <c r="AV50">
        <v>0</v>
      </c>
      <c r="AW50">
        <v>1</v>
      </c>
      <c r="AX50">
        <v>-1</v>
      </c>
      <c r="AY50">
        <v>0</v>
      </c>
      <c r="AZ50">
        <v>0</v>
      </c>
      <c r="BA50" t="s">
        <v>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Y50*Source!I252</f>
        <v>20.200000000000003</v>
      </c>
      <c r="CY50">
        <f>AA50</f>
        <v>968.56</v>
      </c>
      <c r="CZ50">
        <f>AE50</f>
        <v>968.56</v>
      </c>
      <c r="DA50">
        <f>AI50</f>
        <v>1</v>
      </c>
      <c r="DB50">
        <f t="shared" si="3"/>
        <v>96856</v>
      </c>
      <c r="DC50">
        <f t="shared" si="4"/>
        <v>0</v>
      </c>
    </row>
    <row r="51" spans="1:107" x14ac:dyDescent="0.2">
      <c r="A51">
        <f>ROW(Source!A252)</f>
        <v>252</v>
      </c>
      <c r="B51">
        <v>71209905</v>
      </c>
      <c r="C51">
        <v>71211596</v>
      </c>
      <c r="D51">
        <v>67895993</v>
      </c>
      <c r="E51">
        <v>1</v>
      </c>
      <c r="F51">
        <v>1</v>
      </c>
      <c r="G51">
        <v>27</v>
      </c>
      <c r="H51">
        <v>3</v>
      </c>
      <c r="I51" t="s">
        <v>610</v>
      </c>
      <c r="J51" t="s">
        <v>611</v>
      </c>
      <c r="K51" t="s">
        <v>612</v>
      </c>
      <c r="L51">
        <v>1354</v>
      </c>
      <c r="N51">
        <v>1010</v>
      </c>
      <c r="O51" t="s">
        <v>232</v>
      </c>
      <c r="P51" t="s">
        <v>232</v>
      </c>
      <c r="Q51">
        <v>1</v>
      </c>
      <c r="W51">
        <v>0</v>
      </c>
      <c r="X51">
        <v>976136319</v>
      </c>
      <c r="Y51">
        <v>1.5</v>
      </c>
      <c r="AA51">
        <v>5215.0200000000004</v>
      </c>
      <c r="AB51">
        <v>0</v>
      </c>
      <c r="AC51">
        <v>0</v>
      </c>
      <c r="AD51">
        <v>0</v>
      </c>
      <c r="AE51">
        <v>5215.0200000000004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1.5</v>
      </c>
      <c r="AU51" t="s">
        <v>3</v>
      </c>
      <c r="AV51">
        <v>0</v>
      </c>
      <c r="AW51">
        <v>2</v>
      </c>
      <c r="AX51">
        <v>71211609</v>
      </c>
      <c r="AY51">
        <v>1</v>
      </c>
      <c r="AZ51">
        <v>0</v>
      </c>
      <c r="BA51">
        <v>342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Y51*Source!I252</f>
        <v>0.30300000000000005</v>
      </c>
      <c r="CY51">
        <f>AA51</f>
        <v>5215.0200000000004</v>
      </c>
      <c r="CZ51">
        <f>AE51</f>
        <v>5215.0200000000004</v>
      </c>
      <c r="DA51">
        <f>AI51</f>
        <v>1</v>
      </c>
      <c r="DB51">
        <f t="shared" si="3"/>
        <v>7822.53</v>
      </c>
      <c r="DC51">
        <f t="shared" si="4"/>
        <v>0</v>
      </c>
    </row>
    <row r="52" spans="1:107" x14ac:dyDescent="0.2">
      <c r="A52">
        <f>ROW(Source!A291)</f>
        <v>291</v>
      </c>
      <c r="B52">
        <v>71209905</v>
      </c>
      <c r="C52">
        <v>71211631</v>
      </c>
      <c r="D52">
        <v>67878646</v>
      </c>
      <c r="E52">
        <v>27</v>
      </c>
      <c r="F52">
        <v>1</v>
      </c>
      <c r="G52">
        <v>27</v>
      </c>
      <c r="H52">
        <v>1</v>
      </c>
      <c r="I52" t="s">
        <v>565</v>
      </c>
      <c r="J52" t="s">
        <v>3</v>
      </c>
      <c r="K52" t="s">
        <v>566</v>
      </c>
      <c r="L52">
        <v>1191</v>
      </c>
      <c r="N52">
        <v>1013</v>
      </c>
      <c r="O52" t="s">
        <v>567</v>
      </c>
      <c r="P52" t="s">
        <v>567</v>
      </c>
      <c r="Q52">
        <v>1</v>
      </c>
      <c r="W52">
        <v>0</v>
      </c>
      <c r="X52">
        <v>476480486</v>
      </c>
      <c r="Y52">
        <v>134.08000000000001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134.08000000000001</v>
      </c>
      <c r="AU52" t="s">
        <v>3</v>
      </c>
      <c r="AV52">
        <v>1</v>
      </c>
      <c r="AW52">
        <v>2</v>
      </c>
      <c r="AX52">
        <v>71211639</v>
      </c>
      <c r="AY52">
        <v>1</v>
      </c>
      <c r="AZ52">
        <v>0</v>
      </c>
      <c r="BA52">
        <v>361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Y52*Source!I291</f>
        <v>7.1062400000000006</v>
      </c>
      <c r="CY52">
        <f>AD52</f>
        <v>0</v>
      </c>
      <c r="CZ52">
        <f>AH52</f>
        <v>0</v>
      </c>
      <c r="DA52">
        <f>AL52</f>
        <v>1</v>
      </c>
      <c r="DB52">
        <f t="shared" si="3"/>
        <v>0</v>
      </c>
      <c r="DC52">
        <f t="shared" si="4"/>
        <v>0</v>
      </c>
    </row>
    <row r="53" spans="1:107" x14ac:dyDescent="0.2">
      <c r="A53">
        <f>ROW(Source!A291)</f>
        <v>291</v>
      </c>
      <c r="B53">
        <v>71209905</v>
      </c>
      <c r="C53">
        <v>71211631</v>
      </c>
      <c r="D53">
        <v>67891492</v>
      </c>
      <c r="E53">
        <v>1</v>
      </c>
      <c r="F53">
        <v>1</v>
      </c>
      <c r="G53">
        <v>27</v>
      </c>
      <c r="H53">
        <v>2</v>
      </c>
      <c r="I53" t="s">
        <v>598</v>
      </c>
      <c r="J53" t="s">
        <v>599</v>
      </c>
      <c r="K53" t="s">
        <v>600</v>
      </c>
      <c r="L53">
        <v>1368</v>
      </c>
      <c r="N53">
        <v>1011</v>
      </c>
      <c r="O53" t="s">
        <v>571</v>
      </c>
      <c r="P53" t="s">
        <v>571</v>
      </c>
      <c r="Q53">
        <v>1</v>
      </c>
      <c r="W53">
        <v>0</v>
      </c>
      <c r="X53">
        <v>1502345835</v>
      </c>
      <c r="Y53">
        <v>4.0999999999999996</v>
      </c>
      <c r="AA53">
        <v>0</v>
      </c>
      <c r="AB53">
        <v>94.06</v>
      </c>
      <c r="AC53">
        <v>4.3499999999999996</v>
      </c>
      <c r="AD53">
        <v>0</v>
      </c>
      <c r="AE53">
        <v>0</v>
      </c>
      <c r="AF53">
        <v>94.06</v>
      </c>
      <c r="AG53">
        <v>4.3499999999999996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4.0999999999999996</v>
      </c>
      <c r="AU53" t="s">
        <v>3</v>
      </c>
      <c r="AV53">
        <v>0</v>
      </c>
      <c r="AW53">
        <v>2</v>
      </c>
      <c r="AX53">
        <v>71211640</v>
      </c>
      <c r="AY53">
        <v>1</v>
      </c>
      <c r="AZ53">
        <v>0</v>
      </c>
      <c r="BA53">
        <v>362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Y53*Source!I291</f>
        <v>0.21729999999999997</v>
      </c>
      <c r="CY53">
        <f>AB53</f>
        <v>94.06</v>
      </c>
      <c r="CZ53">
        <f>AF53</f>
        <v>94.06</v>
      </c>
      <c r="DA53">
        <f>AJ53</f>
        <v>1</v>
      </c>
      <c r="DB53">
        <f t="shared" si="3"/>
        <v>385.65</v>
      </c>
      <c r="DC53">
        <f t="shared" si="4"/>
        <v>17.84</v>
      </c>
    </row>
    <row r="54" spans="1:107" x14ac:dyDescent="0.2">
      <c r="A54">
        <f>ROW(Source!A291)</f>
        <v>291</v>
      </c>
      <c r="B54">
        <v>71209905</v>
      </c>
      <c r="C54">
        <v>71211631</v>
      </c>
      <c r="D54">
        <v>67891707</v>
      </c>
      <c r="E54">
        <v>1</v>
      </c>
      <c r="F54">
        <v>1</v>
      </c>
      <c r="G54">
        <v>27</v>
      </c>
      <c r="H54">
        <v>2</v>
      </c>
      <c r="I54" t="s">
        <v>601</v>
      </c>
      <c r="J54" t="s">
        <v>602</v>
      </c>
      <c r="K54" t="s">
        <v>603</v>
      </c>
      <c r="L54">
        <v>1368</v>
      </c>
      <c r="N54">
        <v>1011</v>
      </c>
      <c r="O54" t="s">
        <v>571</v>
      </c>
      <c r="P54" t="s">
        <v>571</v>
      </c>
      <c r="Q54">
        <v>1</v>
      </c>
      <c r="W54">
        <v>0</v>
      </c>
      <c r="X54">
        <v>373646074</v>
      </c>
      <c r="Y54">
        <v>2.1800000000000002</v>
      </c>
      <c r="AA54">
        <v>0</v>
      </c>
      <c r="AB54">
        <v>4.16</v>
      </c>
      <c r="AC54">
        <v>0.01</v>
      </c>
      <c r="AD54">
        <v>0</v>
      </c>
      <c r="AE54">
        <v>0</v>
      </c>
      <c r="AF54">
        <v>4.16</v>
      </c>
      <c r="AG54">
        <v>0.01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2.1800000000000002</v>
      </c>
      <c r="AU54" t="s">
        <v>3</v>
      </c>
      <c r="AV54">
        <v>0</v>
      </c>
      <c r="AW54">
        <v>2</v>
      </c>
      <c r="AX54">
        <v>71211641</v>
      </c>
      <c r="AY54">
        <v>1</v>
      </c>
      <c r="AZ54">
        <v>0</v>
      </c>
      <c r="BA54">
        <v>363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Y54*Source!I291</f>
        <v>0.11554</v>
      </c>
      <c r="CY54">
        <f>AB54</f>
        <v>4.16</v>
      </c>
      <c r="CZ54">
        <f>AF54</f>
        <v>4.16</v>
      </c>
      <c r="DA54">
        <f>AJ54</f>
        <v>1</v>
      </c>
      <c r="DB54">
        <f t="shared" si="3"/>
        <v>9.07</v>
      </c>
      <c r="DC54">
        <f t="shared" si="4"/>
        <v>0.02</v>
      </c>
    </row>
    <row r="55" spans="1:107" x14ac:dyDescent="0.2">
      <c r="A55">
        <f>ROW(Source!A291)</f>
        <v>291</v>
      </c>
      <c r="B55">
        <v>71209905</v>
      </c>
      <c r="C55">
        <v>71211631</v>
      </c>
      <c r="D55">
        <v>67893015</v>
      </c>
      <c r="E55">
        <v>1</v>
      </c>
      <c r="F55">
        <v>1</v>
      </c>
      <c r="G55">
        <v>27</v>
      </c>
      <c r="H55">
        <v>3</v>
      </c>
      <c r="I55" t="s">
        <v>604</v>
      </c>
      <c r="J55" t="s">
        <v>605</v>
      </c>
      <c r="K55" t="s">
        <v>606</v>
      </c>
      <c r="L55">
        <v>1339</v>
      </c>
      <c r="N55">
        <v>1007</v>
      </c>
      <c r="O55" t="s">
        <v>236</v>
      </c>
      <c r="P55" t="s">
        <v>236</v>
      </c>
      <c r="Q55">
        <v>1</v>
      </c>
      <c r="W55">
        <v>0</v>
      </c>
      <c r="X55">
        <v>-1662970571</v>
      </c>
      <c r="Y55">
        <v>0.21</v>
      </c>
      <c r="AA55">
        <v>590.78</v>
      </c>
      <c r="AB55">
        <v>0</v>
      </c>
      <c r="AC55">
        <v>0</v>
      </c>
      <c r="AD55">
        <v>0</v>
      </c>
      <c r="AE55">
        <v>590.78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0.21</v>
      </c>
      <c r="AU55" t="s">
        <v>3</v>
      </c>
      <c r="AV55">
        <v>0</v>
      </c>
      <c r="AW55">
        <v>2</v>
      </c>
      <c r="AX55">
        <v>71211642</v>
      </c>
      <c r="AY55">
        <v>1</v>
      </c>
      <c r="AZ55">
        <v>0</v>
      </c>
      <c r="BA55">
        <v>364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Y55*Source!I291</f>
        <v>1.1129999999999999E-2</v>
      </c>
      <c r="CY55">
        <f>AA55</f>
        <v>590.78</v>
      </c>
      <c r="CZ55">
        <f>AE55</f>
        <v>590.78</v>
      </c>
      <c r="DA55">
        <f>AI55</f>
        <v>1</v>
      </c>
      <c r="DB55">
        <f t="shared" si="3"/>
        <v>124.06</v>
      </c>
      <c r="DC55">
        <f t="shared" si="4"/>
        <v>0</v>
      </c>
    </row>
    <row r="56" spans="1:107" x14ac:dyDescent="0.2">
      <c r="A56">
        <f>ROW(Source!A291)</f>
        <v>291</v>
      </c>
      <c r="B56">
        <v>71209905</v>
      </c>
      <c r="C56">
        <v>71211631</v>
      </c>
      <c r="D56">
        <v>67894837</v>
      </c>
      <c r="E56">
        <v>1</v>
      </c>
      <c r="F56">
        <v>1</v>
      </c>
      <c r="G56">
        <v>27</v>
      </c>
      <c r="H56">
        <v>3</v>
      </c>
      <c r="I56" t="s">
        <v>607</v>
      </c>
      <c r="J56" t="s">
        <v>608</v>
      </c>
      <c r="K56" t="s">
        <v>609</v>
      </c>
      <c r="L56">
        <v>1348</v>
      </c>
      <c r="N56">
        <v>1009</v>
      </c>
      <c r="O56" t="s">
        <v>35</v>
      </c>
      <c r="P56" t="s">
        <v>35</v>
      </c>
      <c r="Q56">
        <v>1000</v>
      </c>
      <c r="W56">
        <v>0</v>
      </c>
      <c r="X56">
        <v>-487600674</v>
      </c>
      <c r="Y56">
        <v>8.5299999999999994</v>
      </c>
      <c r="AA56">
        <v>3886.85</v>
      </c>
      <c r="AB56">
        <v>0</v>
      </c>
      <c r="AC56">
        <v>0</v>
      </c>
      <c r="AD56">
        <v>0</v>
      </c>
      <c r="AE56">
        <v>3886.85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8.5299999999999994</v>
      </c>
      <c r="AU56" t="s">
        <v>3</v>
      </c>
      <c r="AV56">
        <v>0</v>
      </c>
      <c r="AW56">
        <v>2</v>
      </c>
      <c r="AX56">
        <v>71211643</v>
      </c>
      <c r="AY56">
        <v>1</v>
      </c>
      <c r="AZ56">
        <v>0</v>
      </c>
      <c r="BA56">
        <v>365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Y56*Source!I291</f>
        <v>0.45208999999999994</v>
      </c>
      <c r="CY56">
        <f>AA56</f>
        <v>3886.85</v>
      </c>
      <c r="CZ56">
        <f>AE56</f>
        <v>3886.85</v>
      </c>
      <c r="DA56">
        <f>AI56</f>
        <v>1</v>
      </c>
      <c r="DB56">
        <f t="shared" si="3"/>
        <v>33154.83</v>
      </c>
      <c r="DC56">
        <f t="shared" si="4"/>
        <v>0</v>
      </c>
    </row>
    <row r="57" spans="1:107" x14ac:dyDescent="0.2">
      <c r="A57">
        <f>ROW(Source!A291)</f>
        <v>291</v>
      </c>
      <c r="B57">
        <v>71209905</v>
      </c>
      <c r="C57">
        <v>71211631</v>
      </c>
      <c r="D57">
        <v>67895536</v>
      </c>
      <c r="E57">
        <v>1</v>
      </c>
      <c r="F57">
        <v>1</v>
      </c>
      <c r="G57">
        <v>27</v>
      </c>
      <c r="H57">
        <v>3</v>
      </c>
      <c r="I57" t="s">
        <v>300</v>
      </c>
      <c r="J57" t="s">
        <v>302</v>
      </c>
      <c r="K57" t="s">
        <v>301</v>
      </c>
      <c r="L57">
        <v>1327</v>
      </c>
      <c r="N57">
        <v>1005</v>
      </c>
      <c r="O57" t="s">
        <v>18</v>
      </c>
      <c r="P57" t="s">
        <v>18</v>
      </c>
      <c r="Q57">
        <v>1</v>
      </c>
      <c r="W57">
        <v>0</v>
      </c>
      <c r="X57">
        <v>503634635</v>
      </c>
      <c r="Y57">
        <v>105</v>
      </c>
      <c r="AA57">
        <v>968.56</v>
      </c>
      <c r="AB57">
        <v>0</v>
      </c>
      <c r="AC57">
        <v>0</v>
      </c>
      <c r="AD57">
        <v>0</v>
      </c>
      <c r="AE57">
        <v>968.56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3</v>
      </c>
      <c r="AT57">
        <v>105</v>
      </c>
      <c r="AU57" t="s">
        <v>3</v>
      </c>
      <c r="AV57">
        <v>0</v>
      </c>
      <c r="AW57">
        <v>1</v>
      </c>
      <c r="AX57">
        <v>-1</v>
      </c>
      <c r="AY57">
        <v>0</v>
      </c>
      <c r="AZ57">
        <v>0</v>
      </c>
      <c r="BA57" t="s">
        <v>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Y57*Source!I291</f>
        <v>5.5649999999999995</v>
      </c>
      <c r="CY57">
        <f>AA57</f>
        <v>968.56</v>
      </c>
      <c r="CZ57">
        <f>AE57</f>
        <v>968.56</v>
      </c>
      <c r="DA57">
        <f>AI57</f>
        <v>1</v>
      </c>
      <c r="DB57">
        <f t="shared" si="3"/>
        <v>101698.8</v>
      </c>
      <c r="DC57">
        <f t="shared" si="4"/>
        <v>0</v>
      </c>
    </row>
    <row r="58" spans="1:107" x14ac:dyDescent="0.2">
      <c r="A58">
        <f>ROW(Source!A291)</f>
        <v>291</v>
      </c>
      <c r="B58">
        <v>71209905</v>
      </c>
      <c r="C58">
        <v>71211631</v>
      </c>
      <c r="D58">
        <v>67895993</v>
      </c>
      <c r="E58">
        <v>1</v>
      </c>
      <c r="F58">
        <v>1</v>
      </c>
      <c r="G58">
        <v>27</v>
      </c>
      <c r="H58">
        <v>3</v>
      </c>
      <c r="I58" t="s">
        <v>610</v>
      </c>
      <c r="J58" t="s">
        <v>611</v>
      </c>
      <c r="K58" t="s">
        <v>612</v>
      </c>
      <c r="L58">
        <v>1354</v>
      </c>
      <c r="N58">
        <v>1010</v>
      </c>
      <c r="O58" t="s">
        <v>232</v>
      </c>
      <c r="P58" t="s">
        <v>232</v>
      </c>
      <c r="Q58">
        <v>1</v>
      </c>
      <c r="W58">
        <v>0</v>
      </c>
      <c r="X58">
        <v>976136319</v>
      </c>
      <c r="Y58">
        <v>1.5</v>
      </c>
      <c r="AA58">
        <v>5215.0200000000004</v>
      </c>
      <c r="AB58">
        <v>0</v>
      </c>
      <c r="AC58">
        <v>0</v>
      </c>
      <c r="AD58">
        <v>0</v>
      </c>
      <c r="AE58">
        <v>5215.0200000000004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1.5</v>
      </c>
      <c r="AU58" t="s">
        <v>3</v>
      </c>
      <c r="AV58">
        <v>0</v>
      </c>
      <c r="AW58">
        <v>2</v>
      </c>
      <c r="AX58">
        <v>71211644</v>
      </c>
      <c r="AY58">
        <v>1</v>
      </c>
      <c r="AZ58">
        <v>0</v>
      </c>
      <c r="BA58">
        <v>366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Y58*Source!I291</f>
        <v>7.9500000000000001E-2</v>
      </c>
      <c r="CY58">
        <f>AA58</f>
        <v>5215.0200000000004</v>
      </c>
      <c r="CZ58">
        <f>AE58</f>
        <v>5215.0200000000004</v>
      </c>
      <c r="DA58">
        <f>AI58</f>
        <v>1</v>
      </c>
      <c r="DB58">
        <f t="shared" si="3"/>
        <v>7822.53</v>
      </c>
      <c r="DC58">
        <f t="shared" si="4"/>
        <v>0</v>
      </c>
    </row>
    <row r="59" spans="1:107" x14ac:dyDescent="0.2">
      <c r="A59">
        <f>ROW(Source!A293)</f>
        <v>293</v>
      </c>
      <c r="B59">
        <v>71209905</v>
      </c>
      <c r="C59">
        <v>71211647</v>
      </c>
      <c r="D59">
        <v>67894838</v>
      </c>
      <c r="E59">
        <v>1</v>
      </c>
      <c r="F59">
        <v>1</v>
      </c>
      <c r="G59">
        <v>27</v>
      </c>
      <c r="H59">
        <v>3</v>
      </c>
      <c r="I59" t="s">
        <v>308</v>
      </c>
      <c r="J59" t="s">
        <v>310</v>
      </c>
      <c r="K59" t="s">
        <v>309</v>
      </c>
      <c r="L59">
        <v>1348</v>
      </c>
      <c r="N59">
        <v>1009</v>
      </c>
      <c r="O59" t="s">
        <v>35</v>
      </c>
      <c r="P59" t="s">
        <v>35</v>
      </c>
      <c r="Q59">
        <v>1000</v>
      </c>
      <c r="W59">
        <v>0</v>
      </c>
      <c r="X59">
        <v>921660342</v>
      </c>
      <c r="Y59">
        <v>5.25</v>
      </c>
      <c r="AA59">
        <v>3907.67</v>
      </c>
      <c r="AB59">
        <v>0</v>
      </c>
      <c r="AC59">
        <v>0</v>
      </c>
      <c r="AD59">
        <v>0</v>
      </c>
      <c r="AE59">
        <v>3907.67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3</v>
      </c>
      <c r="AT59">
        <v>5.25</v>
      </c>
      <c r="AU59" t="s">
        <v>3</v>
      </c>
      <c r="AV59">
        <v>0</v>
      </c>
      <c r="AW59">
        <v>1</v>
      </c>
      <c r="AX59">
        <v>-1</v>
      </c>
      <c r="AY59">
        <v>0</v>
      </c>
      <c r="AZ59">
        <v>0</v>
      </c>
      <c r="BA59" t="s">
        <v>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Y59*Source!I293</f>
        <v>0.27825</v>
      </c>
      <c r="CY59">
        <f>AA59</f>
        <v>3907.67</v>
      </c>
      <c r="CZ59">
        <f>AE59</f>
        <v>3907.67</v>
      </c>
      <c r="DA59">
        <f>AI59</f>
        <v>1</v>
      </c>
      <c r="DB59">
        <f t="shared" si="3"/>
        <v>20515.27</v>
      </c>
      <c r="DC59">
        <f t="shared" si="4"/>
        <v>0</v>
      </c>
    </row>
    <row r="60" spans="1:107" x14ac:dyDescent="0.2">
      <c r="A60">
        <f>ROW(Source!A295)</f>
        <v>295</v>
      </c>
      <c r="B60">
        <v>71209905</v>
      </c>
      <c r="C60">
        <v>71211654</v>
      </c>
      <c r="D60">
        <v>67878646</v>
      </c>
      <c r="E60">
        <v>27</v>
      </c>
      <c r="F60">
        <v>1</v>
      </c>
      <c r="G60">
        <v>27</v>
      </c>
      <c r="H60">
        <v>1</v>
      </c>
      <c r="I60" t="s">
        <v>565</v>
      </c>
      <c r="J60" t="s">
        <v>3</v>
      </c>
      <c r="K60" t="s">
        <v>566</v>
      </c>
      <c r="L60">
        <v>1191</v>
      </c>
      <c r="N60">
        <v>1013</v>
      </c>
      <c r="O60" t="s">
        <v>567</v>
      </c>
      <c r="P60" t="s">
        <v>567</v>
      </c>
      <c r="Q60">
        <v>1</v>
      </c>
      <c r="W60">
        <v>0</v>
      </c>
      <c r="X60">
        <v>476480486</v>
      </c>
      <c r="Y60">
        <v>80.27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80.27</v>
      </c>
      <c r="AU60" t="s">
        <v>3</v>
      </c>
      <c r="AV60">
        <v>1</v>
      </c>
      <c r="AW60">
        <v>2</v>
      </c>
      <c r="AX60">
        <v>71211659</v>
      </c>
      <c r="AY60">
        <v>1</v>
      </c>
      <c r="AZ60">
        <v>0</v>
      </c>
      <c r="BA60">
        <v>372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Y60*Source!I295</f>
        <v>15.251299999999999</v>
      </c>
      <c r="CY60">
        <f>AD60</f>
        <v>0</v>
      </c>
      <c r="CZ60">
        <f>AH60</f>
        <v>0</v>
      </c>
      <c r="DA60">
        <f>AL60</f>
        <v>1</v>
      </c>
      <c r="DB60">
        <f t="shared" si="3"/>
        <v>0</v>
      </c>
      <c r="DC60">
        <f t="shared" si="4"/>
        <v>0</v>
      </c>
    </row>
    <row r="61" spans="1:107" x14ac:dyDescent="0.2">
      <c r="A61">
        <f>ROW(Source!A295)</f>
        <v>295</v>
      </c>
      <c r="B61">
        <v>71209905</v>
      </c>
      <c r="C61">
        <v>71211654</v>
      </c>
      <c r="D61">
        <v>67894729</v>
      </c>
      <c r="E61">
        <v>1</v>
      </c>
      <c r="F61">
        <v>1</v>
      </c>
      <c r="G61">
        <v>27</v>
      </c>
      <c r="H61">
        <v>3</v>
      </c>
      <c r="I61" t="s">
        <v>613</v>
      </c>
      <c r="J61" t="s">
        <v>614</v>
      </c>
      <c r="K61" t="s">
        <v>615</v>
      </c>
      <c r="L61">
        <v>1339</v>
      </c>
      <c r="N61">
        <v>1007</v>
      </c>
      <c r="O61" t="s">
        <v>236</v>
      </c>
      <c r="P61" t="s">
        <v>236</v>
      </c>
      <c r="Q61">
        <v>1</v>
      </c>
      <c r="W61">
        <v>0</v>
      </c>
      <c r="X61">
        <v>-697630842</v>
      </c>
      <c r="Y61">
        <v>5.9</v>
      </c>
      <c r="AA61">
        <v>3714.73</v>
      </c>
      <c r="AB61">
        <v>0</v>
      </c>
      <c r="AC61">
        <v>0</v>
      </c>
      <c r="AD61">
        <v>0</v>
      </c>
      <c r="AE61">
        <v>3714.73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5.9</v>
      </c>
      <c r="AU61" t="s">
        <v>3</v>
      </c>
      <c r="AV61">
        <v>0</v>
      </c>
      <c r="AW61">
        <v>2</v>
      </c>
      <c r="AX61">
        <v>71211660</v>
      </c>
      <c r="AY61">
        <v>1</v>
      </c>
      <c r="AZ61">
        <v>0</v>
      </c>
      <c r="BA61">
        <v>373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Y61*Source!I295</f>
        <v>1.121</v>
      </c>
      <c r="CY61">
        <f>AA61</f>
        <v>3714.73</v>
      </c>
      <c r="CZ61">
        <f>AE61</f>
        <v>3714.73</v>
      </c>
      <c r="DA61">
        <f>AI61</f>
        <v>1</v>
      </c>
      <c r="DB61">
        <f t="shared" si="3"/>
        <v>21916.91</v>
      </c>
      <c r="DC61">
        <f t="shared" si="4"/>
        <v>0</v>
      </c>
    </row>
    <row r="62" spans="1:107" x14ac:dyDescent="0.2">
      <c r="A62">
        <f>ROW(Source!A295)</f>
        <v>295</v>
      </c>
      <c r="B62">
        <v>71209905</v>
      </c>
      <c r="C62">
        <v>71211654</v>
      </c>
      <c r="D62">
        <v>67894805</v>
      </c>
      <c r="E62">
        <v>1</v>
      </c>
      <c r="F62">
        <v>1</v>
      </c>
      <c r="G62">
        <v>27</v>
      </c>
      <c r="H62">
        <v>3</v>
      </c>
      <c r="I62" t="s">
        <v>616</v>
      </c>
      <c r="J62" t="s">
        <v>617</v>
      </c>
      <c r="K62" t="s">
        <v>618</v>
      </c>
      <c r="L62">
        <v>1339</v>
      </c>
      <c r="N62">
        <v>1007</v>
      </c>
      <c r="O62" t="s">
        <v>236</v>
      </c>
      <c r="P62" t="s">
        <v>236</v>
      </c>
      <c r="Q62">
        <v>1</v>
      </c>
      <c r="W62">
        <v>0</v>
      </c>
      <c r="X62">
        <v>253260963</v>
      </c>
      <c r="Y62">
        <v>0.06</v>
      </c>
      <c r="AA62">
        <v>3392.59</v>
      </c>
      <c r="AB62">
        <v>0</v>
      </c>
      <c r="AC62">
        <v>0</v>
      </c>
      <c r="AD62">
        <v>0</v>
      </c>
      <c r="AE62">
        <v>3392.59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0.06</v>
      </c>
      <c r="AU62" t="s">
        <v>3</v>
      </c>
      <c r="AV62">
        <v>0</v>
      </c>
      <c r="AW62">
        <v>2</v>
      </c>
      <c r="AX62">
        <v>71211661</v>
      </c>
      <c r="AY62">
        <v>1</v>
      </c>
      <c r="AZ62">
        <v>0</v>
      </c>
      <c r="BA62">
        <v>374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Y62*Source!I295</f>
        <v>1.14E-2</v>
      </c>
      <c r="CY62">
        <f>AA62</f>
        <v>3392.59</v>
      </c>
      <c r="CZ62">
        <f>AE62</f>
        <v>3392.59</v>
      </c>
      <c r="DA62">
        <f>AI62</f>
        <v>1</v>
      </c>
      <c r="DB62">
        <f t="shared" si="3"/>
        <v>203.56</v>
      </c>
      <c r="DC62">
        <f t="shared" si="4"/>
        <v>0</v>
      </c>
    </row>
    <row r="63" spans="1:107" x14ac:dyDescent="0.2">
      <c r="A63">
        <f>ROW(Source!A295)</f>
        <v>295</v>
      </c>
      <c r="B63">
        <v>71209905</v>
      </c>
      <c r="C63">
        <v>71211654</v>
      </c>
      <c r="D63">
        <v>67895543</v>
      </c>
      <c r="E63">
        <v>1</v>
      </c>
      <c r="F63">
        <v>1</v>
      </c>
      <c r="G63">
        <v>27</v>
      </c>
      <c r="H63">
        <v>3</v>
      </c>
      <c r="I63" t="s">
        <v>339</v>
      </c>
      <c r="J63" t="s">
        <v>341</v>
      </c>
      <c r="K63" t="s">
        <v>340</v>
      </c>
      <c r="L63">
        <v>1339</v>
      </c>
      <c r="N63">
        <v>1007</v>
      </c>
      <c r="O63" t="s">
        <v>236</v>
      </c>
      <c r="P63" t="s">
        <v>236</v>
      </c>
      <c r="Q63">
        <v>1</v>
      </c>
      <c r="W63">
        <v>0</v>
      </c>
      <c r="X63">
        <v>1857369686</v>
      </c>
      <c r="Y63">
        <v>4.3</v>
      </c>
      <c r="AA63">
        <v>7833.01</v>
      </c>
      <c r="AB63">
        <v>0</v>
      </c>
      <c r="AC63">
        <v>0</v>
      </c>
      <c r="AD63">
        <v>0</v>
      </c>
      <c r="AE63">
        <v>7833.01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4.3</v>
      </c>
      <c r="AU63" t="s">
        <v>3</v>
      </c>
      <c r="AV63">
        <v>0</v>
      </c>
      <c r="AW63">
        <v>2</v>
      </c>
      <c r="AX63">
        <v>71211662</v>
      </c>
      <c r="AY63">
        <v>1</v>
      </c>
      <c r="AZ63">
        <v>0</v>
      </c>
      <c r="BA63">
        <v>375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Y63*Source!I295</f>
        <v>0.81699999999999995</v>
      </c>
      <c r="CY63">
        <f>AA63</f>
        <v>7833.01</v>
      </c>
      <c r="CZ63">
        <f>AE63</f>
        <v>7833.01</v>
      </c>
      <c r="DA63">
        <f>AI63</f>
        <v>1</v>
      </c>
      <c r="DB63">
        <f t="shared" ref="DB63:DB94" si="5">ROUND(ROUND(AT63*CZ63,2),6)</f>
        <v>33681.94</v>
      </c>
      <c r="DC63">
        <f t="shared" ref="DC63:DC94" si="6">ROUND(ROUND(AT63*AG63,2),6)</f>
        <v>0</v>
      </c>
    </row>
    <row r="64" spans="1:107" x14ac:dyDescent="0.2">
      <c r="A64">
        <f>ROW(Source!A371)</f>
        <v>371</v>
      </c>
      <c r="B64">
        <v>71209905</v>
      </c>
      <c r="C64">
        <v>71211784</v>
      </c>
      <c r="D64">
        <v>67878646</v>
      </c>
      <c r="E64">
        <v>27</v>
      </c>
      <c r="F64">
        <v>1</v>
      </c>
      <c r="G64">
        <v>27</v>
      </c>
      <c r="H64">
        <v>1</v>
      </c>
      <c r="I64" t="s">
        <v>565</v>
      </c>
      <c r="J64" t="s">
        <v>3</v>
      </c>
      <c r="K64" t="s">
        <v>566</v>
      </c>
      <c r="L64">
        <v>1191</v>
      </c>
      <c r="N64">
        <v>1013</v>
      </c>
      <c r="O64" t="s">
        <v>567</v>
      </c>
      <c r="P64" t="s">
        <v>567</v>
      </c>
      <c r="Q64">
        <v>1</v>
      </c>
      <c r="W64">
        <v>0</v>
      </c>
      <c r="X64">
        <v>476480486</v>
      </c>
      <c r="Y64">
        <v>80.27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80.27</v>
      </c>
      <c r="AU64" t="s">
        <v>3</v>
      </c>
      <c r="AV64">
        <v>1</v>
      </c>
      <c r="AW64">
        <v>2</v>
      </c>
      <c r="AX64">
        <v>71211791</v>
      </c>
      <c r="AY64">
        <v>1</v>
      </c>
      <c r="AZ64">
        <v>0</v>
      </c>
      <c r="BA64">
        <v>407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Y64*Source!I371</f>
        <v>23.278299999999998</v>
      </c>
      <c r="CY64">
        <f>AD64</f>
        <v>0</v>
      </c>
      <c r="CZ64">
        <f>AH64</f>
        <v>0</v>
      </c>
      <c r="DA64">
        <f>AL64</f>
        <v>1</v>
      </c>
      <c r="DB64">
        <f t="shared" si="5"/>
        <v>0</v>
      </c>
      <c r="DC64">
        <f t="shared" si="6"/>
        <v>0</v>
      </c>
    </row>
    <row r="65" spans="1:107" x14ac:dyDescent="0.2">
      <c r="A65">
        <f>ROW(Source!A371)</f>
        <v>371</v>
      </c>
      <c r="B65">
        <v>71209905</v>
      </c>
      <c r="C65">
        <v>71211784</v>
      </c>
      <c r="D65">
        <v>67894729</v>
      </c>
      <c r="E65">
        <v>1</v>
      </c>
      <c r="F65">
        <v>1</v>
      </c>
      <c r="G65">
        <v>27</v>
      </c>
      <c r="H65">
        <v>3</v>
      </c>
      <c r="I65" t="s">
        <v>613</v>
      </c>
      <c r="J65" t="s">
        <v>614</v>
      </c>
      <c r="K65" t="s">
        <v>615</v>
      </c>
      <c r="L65">
        <v>1339</v>
      </c>
      <c r="N65">
        <v>1007</v>
      </c>
      <c r="O65" t="s">
        <v>236</v>
      </c>
      <c r="P65" t="s">
        <v>236</v>
      </c>
      <c r="Q65">
        <v>1</v>
      </c>
      <c r="W65">
        <v>0</v>
      </c>
      <c r="X65">
        <v>-697630842</v>
      </c>
      <c r="Y65">
        <v>5.9</v>
      </c>
      <c r="AA65">
        <v>3714.73</v>
      </c>
      <c r="AB65">
        <v>0</v>
      </c>
      <c r="AC65">
        <v>0</v>
      </c>
      <c r="AD65">
        <v>0</v>
      </c>
      <c r="AE65">
        <v>3714.73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 t="s">
        <v>3</v>
      </c>
      <c r="AT65">
        <v>5.9</v>
      </c>
      <c r="AU65" t="s">
        <v>3</v>
      </c>
      <c r="AV65">
        <v>0</v>
      </c>
      <c r="AW65">
        <v>2</v>
      </c>
      <c r="AX65">
        <v>71211792</v>
      </c>
      <c r="AY65">
        <v>1</v>
      </c>
      <c r="AZ65">
        <v>0</v>
      </c>
      <c r="BA65">
        <v>408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Y65*Source!I371</f>
        <v>1.7110000000000001</v>
      </c>
      <c r="CY65">
        <f>AA65</f>
        <v>3714.73</v>
      </c>
      <c r="CZ65">
        <f>AE65</f>
        <v>3714.73</v>
      </c>
      <c r="DA65">
        <f>AI65</f>
        <v>1</v>
      </c>
      <c r="DB65">
        <f t="shared" si="5"/>
        <v>21916.91</v>
      </c>
      <c r="DC65">
        <f t="shared" si="6"/>
        <v>0</v>
      </c>
    </row>
    <row r="66" spans="1:107" x14ac:dyDescent="0.2">
      <c r="A66">
        <f>ROW(Source!A371)</f>
        <v>371</v>
      </c>
      <c r="B66">
        <v>71209905</v>
      </c>
      <c r="C66">
        <v>71211784</v>
      </c>
      <c r="D66">
        <v>67894805</v>
      </c>
      <c r="E66">
        <v>1</v>
      </c>
      <c r="F66">
        <v>1</v>
      </c>
      <c r="G66">
        <v>27</v>
      </c>
      <c r="H66">
        <v>3</v>
      </c>
      <c r="I66" t="s">
        <v>616</v>
      </c>
      <c r="J66" t="s">
        <v>617</v>
      </c>
      <c r="K66" t="s">
        <v>618</v>
      </c>
      <c r="L66">
        <v>1339</v>
      </c>
      <c r="N66">
        <v>1007</v>
      </c>
      <c r="O66" t="s">
        <v>236</v>
      </c>
      <c r="P66" t="s">
        <v>236</v>
      </c>
      <c r="Q66">
        <v>1</v>
      </c>
      <c r="W66">
        <v>0</v>
      </c>
      <c r="X66">
        <v>253260963</v>
      </c>
      <c r="Y66">
        <v>0.06</v>
      </c>
      <c r="AA66">
        <v>3392.59</v>
      </c>
      <c r="AB66">
        <v>0</v>
      </c>
      <c r="AC66">
        <v>0</v>
      </c>
      <c r="AD66">
        <v>0</v>
      </c>
      <c r="AE66">
        <v>3392.59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1</v>
      </c>
      <c r="AQ66">
        <v>0</v>
      </c>
      <c r="AR66">
        <v>0</v>
      </c>
      <c r="AS66" t="s">
        <v>3</v>
      </c>
      <c r="AT66">
        <v>0.06</v>
      </c>
      <c r="AU66" t="s">
        <v>3</v>
      </c>
      <c r="AV66">
        <v>0</v>
      </c>
      <c r="AW66">
        <v>2</v>
      </c>
      <c r="AX66">
        <v>71211793</v>
      </c>
      <c r="AY66">
        <v>1</v>
      </c>
      <c r="AZ66">
        <v>0</v>
      </c>
      <c r="BA66">
        <v>409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Y66*Source!I371</f>
        <v>1.7399999999999999E-2</v>
      </c>
      <c r="CY66">
        <f>AA66</f>
        <v>3392.59</v>
      </c>
      <c r="CZ66">
        <f>AE66</f>
        <v>3392.59</v>
      </c>
      <c r="DA66">
        <f>AI66</f>
        <v>1</v>
      </c>
      <c r="DB66">
        <f t="shared" si="5"/>
        <v>203.56</v>
      </c>
      <c r="DC66">
        <f t="shared" si="6"/>
        <v>0</v>
      </c>
    </row>
    <row r="67" spans="1:107" x14ac:dyDescent="0.2">
      <c r="A67">
        <f>ROW(Source!A371)</f>
        <v>371</v>
      </c>
      <c r="B67">
        <v>71209905</v>
      </c>
      <c r="C67">
        <v>71211784</v>
      </c>
      <c r="D67">
        <v>67895543</v>
      </c>
      <c r="E67">
        <v>1</v>
      </c>
      <c r="F67">
        <v>1</v>
      </c>
      <c r="G67">
        <v>27</v>
      </c>
      <c r="H67">
        <v>3</v>
      </c>
      <c r="I67" t="s">
        <v>339</v>
      </c>
      <c r="J67" t="s">
        <v>341</v>
      </c>
      <c r="K67" t="s">
        <v>340</v>
      </c>
      <c r="L67">
        <v>1339</v>
      </c>
      <c r="N67">
        <v>1007</v>
      </c>
      <c r="O67" t="s">
        <v>236</v>
      </c>
      <c r="P67" t="s">
        <v>236</v>
      </c>
      <c r="Q67">
        <v>1</v>
      </c>
      <c r="W67">
        <v>0</v>
      </c>
      <c r="X67">
        <v>1857369686</v>
      </c>
      <c r="Y67">
        <v>4.3</v>
      </c>
      <c r="AA67">
        <v>7833.01</v>
      </c>
      <c r="AB67">
        <v>0</v>
      </c>
      <c r="AC67">
        <v>0</v>
      </c>
      <c r="AD67">
        <v>0</v>
      </c>
      <c r="AE67">
        <v>7833.01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1</v>
      </c>
      <c r="AQ67">
        <v>0</v>
      </c>
      <c r="AR67">
        <v>0</v>
      </c>
      <c r="AS67" t="s">
        <v>3</v>
      </c>
      <c r="AT67">
        <v>4.3</v>
      </c>
      <c r="AU67" t="s">
        <v>3</v>
      </c>
      <c r="AV67">
        <v>0</v>
      </c>
      <c r="AW67">
        <v>2</v>
      </c>
      <c r="AX67">
        <v>71211794</v>
      </c>
      <c r="AY67">
        <v>1</v>
      </c>
      <c r="AZ67">
        <v>0</v>
      </c>
      <c r="BA67">
        <v>410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Y67*Source!I371</f>
        <v>1.2469999999999999</v>
      </c>
      <c r="CY67">
        <f>AA67</f>
        <v>7833.01</v>
      </c>
      <c r="CZ67">
        <f>AE67</f>
        <v>7833.01</v>
      </c>
      <c r="DA67">
        <f>AI67</f>
        <v>1</v>
      </c>
      <c r="DB67">
        <f t="shared" si="5"/>
        <v>33681.94</v>
      </c>
      <c r="DC67">
        <f t="shared" si="6"/>
        <v>0</v>
      </c>
    </row>
    <row r="68" spans="1:107" x14ac:dyDescent="0.2">
      <c r="A68">
        <f>ROW(Source!A371)</f>
        <v>371</v>
      </c>
      <c r="B68">
        <v>71209905</v>
      </c>
      <c r="C68">
        <v>71211784</v>
      </c>
      <c r="D68">
        <v>67895543</v>
      </c>
      <c r="E68">
        <v>1</v>
      </c>
      <c r="F68">
        <v>1</v>
      </c>
      <c r="G68">
        <v>27</v>
      </c>
      <c r="H68">
        <v>3</v>
      </c>
      <c r="I68" t="s">
        <v>339</v>
      </c>
      <c r="J68" t="s">
        <v>341</v>
      </c>
      <c r="K68" t="s">
        <v>340</v>
      </c>
      <c r="L68">
        <v>1339</v>
      </c>
      <c r="N68">
        <v>1007</v>
      </c>
      <c r="O68" t="s">
        <v>236</v>
      </c>
      <c r="P68" t="s">
        <v>236</v>
      </c>
      <c r="Q68">
        <v>1</v>
      </c>
      <c r="W68">
        <v>0</v>
      </c>
      <c r="X68">
        <v>1857369686</v>
      </c>
      <c r="Y68">
        <v>-4.3</v>
      </c>
      <c r="AA68">
        <v>7833.01</v>
      </c>
      <c r="AB68">
        <v>0</v>
      </c>
      <c r="AC68">
        <v>0</v>
      </c>
      <c r="AD68">
        <v>0</v>
      </c>
      <c r="AE68">
        <v>7833.01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0</v>
      </c>
      <c r="AP68">
        <v>1</v>
      </c>
      <c r="AQ68">
        <v>0</v>
      </c>
      <c r="AR68">
        <v>0</v>
      </c>
      <c r="AS68" t="s">
        <v>3</v>
      </c>
      <c r="AT68">
        <v>-4.3</v>
      </c>
      <c r="AU68" t="s">
        <v>3</v>
      </c>
      <c r="AV68">
        <v>0</v>
      </c>
      <c r="AW68">
        <v>1</v>
      </c>
      <c r="AX68">
        <v>-1</v>
      </c>
      <c r="AY68">
        <v>0</v>
      </c>
      <c r="AZ68">
        <v>0</v>
      </c>
      <c r="BA68" t="s">
        <v>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Y68*Source!I371</f>
        <v>-1.2469999999999999</v>
      </c>
      <c r="CY68">
        <f>AA68</f>
        <v>7833.01</v>
      </c>
      <c r="CZ68">
        <f>AE68</f>
        <v>7833.01</v>
      </c>
      <c r="DA68">
        <f>AI68</f>
        <v>1</v>
      </c>
      <c r="DB68">
        <f t="shared" si="5"/>
        <v>-33681.94</v>
      </c>
      <c r="DC68">
        <f t="shared" si="6"/>
        <v>0</v>
      </c>
    </row>
    <row r="69" spans="1:107" x14ac:dyDescent="0.2">
      <c r="A69">
        <f>ROW(Source!A371)</f>
        <v>371</v>
      </c>
      <c r="B69">
        <v>71209905</v>
      </c>
      <c r="C69">
        <v>71211784</v>
      </c>
      <c r="D69">
        <v>67895544</v>
      </c>
      <c r="E69">
        <v>1</v>
      </c>
      <c r="F69">
        <v>1</v>
      </c>
      <c r="G69">
        <v>27</v>
      </c>
      <c r="H69">
        <v>3</v>
      </c>
      <c r="I69" t="s">
        <v>343</v>
      </c>
      <c r="J69" t="s">
        <v>345</v>
      </c>
      <c r="K69" t="s">
        <v>344</v>
      </c>
      <c r="L69">
        <v>1339</v>
      </c>
      <c r="N69">
        <v>1007</v>
      </c>
      <c r="O69" t="s">
        <v>236</v>
      </c>
      <c r="P69" t="s">
        <v>236</v>
      </c>
      <c r="Q69">
        <v>1</v>
      </c>
      <c r="W69">
        <v>0</v>
      </c>
      <c r="X69">
        <v>-1844080394</v>
      </c>
      <c r="Y69">
        <v>12</v>
      </c>
      <c r="AA69">
        <v>6794.53</v>
      </c>
      <c r="AB69">
        <v>0</v>
      </c>
      <c r="AC69">
        <v>0</v>
      </c>
      <c r="AD69">
        <v>0</v>
      </c>
      <c r="AE69">
        <v>6794.53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0</v>
      </c>
      <c r="AP69">
        <v>1</v>
      </c>
      <c r="AQ69">
        <v>0</v>
      </c>
      <c r="AR69">
        <v>0</v>
      </c>
      <c r="AS69" t="s">
        <v>3</v>
      </c>
      <c r="AT69">
        <v>12</v>
      </c>
      <c r="AU69" t="s">
        <v>3</v>
      </c>
      <c r="AV69">
        <v>0</v>
      </c>
      <c r="AW69">
        <v>1</v>
      </c>
      <c r="AX69">
        <v>-1</v>
      </c>
      <c r="AY69">
        <v>0</v>
      </c>
      <c r="AZ69">
        <v>0</v>
      </c>
      <c r="BA69" t="s">
        <v>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Y69*Source!I371</f>
        <v>3.4799999999999995</v>
      </c>
      <c r="CY69">
        <f>AA69</f>
        <v>6794.53</v>
      </c>
      <c r="CZ69">
        <f>AE69</f>
        <v>6794.53</v>
      </c>
      <c r="DA69">
        <f>AI69</f>
        <v>1</v>
      </c>
      <c r="DB69">
        <f t="shared" si="5"/>
        <v>81534.36</v>
      </c>
      <c r="DC69">
        <f t="shared" si="6"/>
        <v>0</v>
      </c>
    </row>
    <row r="70" spans="1:107" x14ac:dyDescent="0.2">
      <c r="A70">
        <f>ROW(Source!A460)</f>
        <v>460</v>
      </c>
      <c r="B70">
        <v>71209905</v>
      </c>
      <c r="C70">
        <v>71211802</v>
      </c>
      <c r="D70">
        <v>67878646</v>
      </c>
      <c r="E70">
        <v>27</v>
      </c>
      <c r="F70">
        <v>1</v>
      </c>
      <c r="G70">
        <v>27</v>
      </c>
      <c r="H70">
        <v>1</v>
      </c>
      <c r="I70" t="s">
        <v>565</v>
      </c>
      <c r="J70" t="s">
        <v>3</v>
      </c>
      <c r="K70" t="s">
        <v>566</v>
      </c>
      <c r="L70">
        <v>1191</v>
      </c>
      <c r="N70">
        <v>1013</v>
      </c>
      <c r="O70" t="s">
        <v>567</v>
      </c>
      <c r="P70" t="s">
        <v>567</v>
      </c>
      <c r="Q70">
        <v>1</v>
      </c>
      <c r="W70">
        <v>0</v>
      </c>
      <c r="X70">
        <v>476480486</v>
      </c>
      <c r="Y70">
        <v>47.72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47.72</v>
      </c>
      <c r="AU70" t="s">
        <v>3</v>
      </c>
      <c r="AV70">
        <v>1</v>
      </c>
      <c r="AW70">
        <v>2</v>
      </c>
      <c r="AX70">
        <v>71211806</v>
      </c>
      <c r="AY70">
        <v>1</v>
      </c>
      <c r="AZ70">
        <v>0</v>
      </c>
      <c r="BA70">
        <v>411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Y70*Source!I460</f>
        <v>2.8632</v>
      </c>
      <c r="CY70">
        <f>AD70</f>
        <v>0</v>
      </c>
      <c r="CZ70">
        <f>AH70</f>
        <v>0</v>
      </c>
      <c r="DA70">
        <f>AL70</f>
        <v>1</v>
      </c>
      <c r="DB70">
        <f t="shared" si="5"/>
        <v>0</v>
      </c>
      <c r="DC70">
        <f t="shared" si="6"/>
        <v>0</v>
      </c>
    </row>
    <row r="71" spans="1:107" x14ac:dyDescent="0.2">
      <c r="A71">
        <f>ROW(Source!A460)</f>
        <v>460</v>
      </c>
      <c r="B71">
        <v>71209905</v>
      </c>
      <c r="C71">
        <v>71211802</v>
      </c>
      <c r="D71">
        <v>67891963</v>
      </c>
      <c r="E71">
        <v>1</v>
      </c>
      <c r="F71">
        <v>1</v>
      </c>
      <c r="G71">
        <v>27</v>
      </c>
      <c r="H71">
        <v>3</v>
      </c>
      <c r="I71" t="s">
        <v>619</v>
      </c>
      <c r="J71" t="s">
        <v>620</v>
      </c>
      <c r="K71" t="s">
        <v>621</v>
      </c>
      <c r="L71">
        <v>1348</v>
      </c>
      <c r="N71">
        <v>1009</v>
      </c>
      <c r="O71" t="s">
        <v>35</v>
      </c>
      <c r="P71" t="s">
        <v>35</v>
      </c>
      <c r="Q71">
        <v>1000</v>
      </c>
      <c r="W71">
        <v>0</v>
      </c>
      <c r="X71">
        <v>213373920</v>
      </c>
      <c r="Y71">
        <v>0.15</v>
      </c>
      <c r="AA71">
        <v>4207.5</v>
      </c>
      <c r="AB71">
        <v>0</v>
      </c>
      <c r="AC71">
        <v>0</v>
      </c>
      <c r="AD71">
        <v>0</v>
      </c>
      <c r="AE71">
        <v>4207.5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0.15</v>
      </c>
      <c r="AU71" t="s">
        <v>3</v>
      </c>
      <c r="AV71">
        <v>0</v>
      </c>
      <c r="AW71">
        <v>2</v>
      </c>
      <c r="AX71">
        <v>71211807</v>
      </c>
      <c r="AY71">
        <v>1</v>
      </c>
      <c r="AZ71">
        <v>0</v>
      </c>
      <c r="BA71">
        <v>412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Y71*Source!I460</f>
        <v>8.9999999999999993E-3</v>
      </c>
      <c r="CY71">
        <f>AA71</f>
        <v>4207.5</v>
      </c>
      <c r="CZ71">
        <f>AE71</f>
        <v>4207.5</v>
      </c>
      <c r="DA71">
        <f>AI71</f>
        <v>1</v>
      </c>
      <c r="DB71">
        <f t="shared" si="5"/>
        <v>631.13</v>
      </c>
      <c r="DC71">
        <f t="shared" si="6"/>
        <v>0</v>
      </c>
    </row>
    <row r="72" spans="1:107" x14ac:dyDescent="0.2">
      <c r="A72">
        <f>ROW(Source!A460)</f>
        <v>460</v>
      </c>
      <c r="B72">
        <v>71209905</v>
      </c>
      <c r="C72">
        <v>71211802</v>
      </c>
      <c r="D72">
        <v>67895752</v>
      </c>
      <c r="E72">
        <v>1</v>
      </c>
      <c r="F72">
        <v>1</v>
      </c>
      <c r="G72">
        <v>27</v>
      </c>
      <c r="H72">
        <v>3</v>
      </c>
      <c r="I72" t="s">
        <v>622</v>
      </c>
      <c r="J72" t="s">
        <v>623</v>
      </c>
      <c r="K72" t="s">
        <v>624</v>
      </c>
      <c r="L72">
        <v>1348</v>
      </c>
      <c r="N72">
        <v>1009</v>
      </c>
      <c r="O72" t="s">
        <v>35</v>
      </c>
      <c r="P72" t="s">
        <v>35</v>
      </c>
      <c r="Q72">
        <v>1000</v>
      </c>
      <c r="W72">
        <v>0</v>
      </c>
      <c r="X72">
        <v>-1572191198</v>
      </c>
      <c r="Y72">
        <v>2.09</v>
      </c>
      <c r="AA72">
        <v>75453.460000000006</v>
      </c>
      <c r="AB72">
        <v>0</v>
      </c>
      <c r="AC72">
        <v>0</v>
      </c>
      <c r="AD72">
        <v>0</v>
      </c>
      <c r="AE72">
        <v>75453.460000000006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2.09</v>
      </c>
      <c r="AU72" t="s">
        <v>3</v>
      </c>
      <c r="AV72">
        <v>0</v>
      </c>
      <c r="AW72">
        <v>2</v>
      </c>
      <c r="AX72">
        <v>71211808</v>
      </c>
      <c r="AY72">
        <v>1</v>
      </c>
      <c r="AZ72">
        <v>0</v>
      </c>
      <c r="BA72">
        <v>413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Y72*Source!I460</f>
        <v>0.12539999999999998</v>
      </c>
      <c r="CY72">
        <f>AA72</f>
        <v>75453.460000000006</v>
      </c>
      <c r="CZ72">
        <f>AE72</f>
        <v>75453.460000000006</v>
      </c>
      <c r="DA72">
        <f>AI72</f>
        <v>1</v>
      </c>
      <c r="DB72">
        <f t="shared" si="5"/>
        <v>157697.73000000001</v>
      </c>
      <c r="DC72">
        <f t="shared" si="6"/>
        <v>0</v>
      </c>
    </row>
    <row r="73" spans="1:107" x14ac:dyDescent="0.2">
      <c r="A73">
        <f>ROW(Source!A463)</f>
        <v>463</v>
      </c>
      <c r="B73">
        <v>71209905</v>
      </c>
      <c r="C73">
        <v>71211811</v>
      </c>
      <c r="D73">
        <v>67896447</v>
      </c>
      <c r="E73">
        <v>1</v>
      </c>
      <c r="F73">
        <v>1</v>
      </c>
      <c r="G73">
        <v>27</v>
      </c>
      <c r="H73">
        <v>3</v>
      </c>
      <c r="I73" t="s">
        <v>383</v>
      </c>
      <c r="J73" t="s">
        <v>385</v>
      </c>
      <c r="K73" t="s">
        <v>384</v>
      </c>
      <c r="L73">
        <v>1354</v>
      </c>
      <c r="N73">
        <v>1010</v>
      </c>
      <c r="O73" t="s">
        <v>232</v>
      </c>
      <c r="P73" t="s">
        <v>232</v>
      </c>
      <c r="Q73">
        <v>1</v>
      </c>
      <c r="W73">
        <v>0</v>
      </c>
      <c r="X73">
        <v>-1214334053</v>
      </c>
      <c r="Y73">
        <v>10</v>
      </c>
      <c r="AA73">
        <v>236.53</v>
      </c>
      <c r="AB73">
        <v>0</v>
      </c>
      <c r="AC73">
        <v>0</v>
      </c>
      <c r="AD73">
        <v>0</v>
      </c>
      <c r="AE73">
        <v>236.53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3</v>
      </c>
      <c r="AT73">
        <v>10</v>
      </c>
      <c r="AU73" t="s">
        <v>3</v>
      </c>
      <c r="AV73">
        <v>0</v>
      </c>
      <c r="AW73">
        <v>2</v>
      </c>
      <c r="AX73">
        <v>71211817</v>
      </c>
      <c r="AY73">
        <v>1</v>
      </c>
      <c r="AZ73">
        <v>0</v>
      </c>
      <c r="BA73">
        <v>418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Y73*Source!I463</f>
        <v>17</v>
      </c>
      <c r="CY73">
        <f>AA73</f>
        <v>236.53</v>
      </c>
      <c r="CZ73">
        <f>AE73</f>
        <v>236.53</v>
      </c>
      <c r="DA73">
        <f>AI73</f>
        <v>1</v>
      </c>
      <c r="DB73">
        <f t="shared" si="5"/>
        <v>2365.3000000000002</v>
      </c>
      <c r="DC73">
        <f t="shared" si="6"/>
        <v>0</v>
      </c>
    </row>
    <row r="74" spans="1:107" x14ac:dyDescent="0.2">
      <c r="A74">
        <f>ROW(Source!A516)</f>
        <v>516</v>
      </c>
      <c r="B74">
        <v>71209905</v>
      </c>
      <c r="C74">
        <v>71211835</v>
      </c>
      <c r="D74">
        <v>67878646</v>
      </c>
      <c r="E74">
        <v>27</v>
      </c>
      <c r="F74">
        <v>1</v>
      </c>
      <c r="G74">
        <v>27</v>
      </c>
      <c r="H74">
        <v>1</v>
      </c>
      <c r="I74" t="s">
        <v>565</v>
      </c>
      <c r="J74" t="s">
        <v>3</v>
      </c>
      <c r="K74" t="s">
        <v>566</v>
      </c>
      <c r="L74">
        <v>1191</v>
      </c>
      <c r="N74">
        <v>1013</v>
      </c>
      <c r="O74" t="s">
        <v>567</v>
      </c>
      <c r="P74" t="s">
        <v>567</v>
      </c>
      <c r="Q74">
        <v>1</v>
      </c>
      <c r="W74">
        <v>0</v>
      </c>
      <c r="X74">
        <v>476480486</v>
      </c>
      <c r="Y74">
        <v>19.899999999999999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19.899999999999999</v>
      </c>
      <c r="AU74" t="s">
        <v>3</v>
      </c>
      <c r="AV74">
        <v>1</v>
      </c>
      <c r="AW74">
        <v>2</v>
      </c>
      <c r="AX74">
        <v>71211845</v>
      </c>
      <c r="AY74">
        <v>1</v>
      </c>
      <c r="AZ74">
        <v>0</v>
      </c>
      <c r="BA74">
        <v>419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Y74*Source!I516</f>
        <v>4.9749999999999996</v>
      </c>
      <c r="CY74">
        <f>AD74</f>
        <v>0</v>
      </c>
      <c r="CZ74">
        <f>AH74</f>
        <v>0</v>
      </c>
      <c r="DA74">
        <f>AL74</f>
        <v>1</v>
      </c>
      <c r="DB74">
        <f t="shared" si="5"/>
        <v>0</v>
      </c>
      <c r="DC74">
        <f t="shared" si="6"/>
        <v>0</v>
      </c>
    </row>
    <row r="75" spans="1:107" x14ac:dyDescent="0.2">
      <c r="A75">
        <f>ROW(Source!A516)</f>
        <v>516</v>
      </c>
      <c r="B75">
        <v>71209905</v>
      </c>
      <c r="C75">
        <v>71211835</v>
      </c>
      <c r="D75">
        <v>67891319</v>
      </c>
      <c r="E75">
        <v>1</v>
      </c>
      <c r="F75">
        <v>1</v>
      </c>
      <c r="G75">
        <v>27</v>
      </c>
      <c r="H75">
        <v>2</v>
      </c>
      <c r="I75" t="s">
        <v>625</v>
      </c>
      <c r="J75" t="s">
        <v>626</v>
      </c>
      <c r="K75" t="s">
        <v>627</v>
      </c>
      <c r="L75">
        <v>1368</v>
      </c>
      <c r="N75">
        <v>1011</v>
      </c>
      <c r="O75" t="s">
        <v>571</v>
      </c>
      <c r="P75" t="s">
        <v>571</v>
      </c>
      <c r="Q75">
        <v>1</v>
      </c>
      <c r="W75">
        <v>0</v>
      </c>
      <c r="X75">
        <v>844705367</v>
      </c>
      <c r="Y75">
        <v>0.31</v>
      </c>
      <c r="AA75">
        <v>0</v>
      </c>
      <c r="AB75">
        <v>41.19</v>
      </c>
      <c r="AC75">
        <v>0.34</v>
      </c>
      <c r="AD75">
        <v>0</v>
      </c>
      <c r="AE75">
        <v>0</v>
      </c>
      <c r="AF75">
        <v>41.19</v>
      </c>
      <c r="AG75">
        <v>0.34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0.31</v>
      </c>
      <c r="AU75" t="s">
        <v>3</v>
      </c>
      <c r="AV75">
        <v>0</v>
      </c>
      <c r="AW75">
        <v>2</v>
      </c>
      <c r="AX75">
        <v>71211846</v>
      </c>
      <c r="AY75">
        <v>1</v>
      </c>
      <c r="AZ75">
        <v>0</v>
      </c>
      <c r="BA75">
        <v>420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Y75*Source!I516</f>
        <v>7.7499999999999999E-2</v>
      </c>
      <c r="CY75">
        <f>AB75</f>
        <v>41.19</v>
      </c>
      <c r="CZ75">
        <f>AF75</f>
        <v>41.19</v>
      </c>
      <c r="DA75">
        <f>AJ75</f>
        <v>1</v>
      </c>
      <c r="DB75">
        <f t="shared" si="5"/>
        <v>12.77</v>
      </c>
      <c r="DC75">
        <f t="shared" si="6"/>
        <v>0.11</v>
      </c>
    </row>
    <row r="76" spans="1:107" x14ac:dyDescent="0.2">
      <c r="A76">
        <f>ROW(Source!A516)</f>
        <v>516</v>
      </c>
      <c r="B76">
        <v>71209905</v>
      </c>
      <c r="C76">
        <v>71211835</v>
      </c>
      <c r="D76">
        <v>67891725</v>
      </c>
      <c r="E76">
        <v>1</v>
      </c>
      <c r="F76">
        <v>1</v>
      </c>
      <c r="G76">
        <v>27</v>
      </c>
      <c r="H76">
        <v>2</v>
      </c>
      <c r="I76" t="s">
        <v>628</v>
      </c>
      <c r="J76" t="s">
        <v>629</v>
      </c>
      <c r="K76" t="s">
        <v>630</v>
      </c>
      <c r="L76">
        <v>1368</v>
      </c>
      <c r="N76">
        <v>1011</v>
      </c>
      <c r="O76" t="s">
        <v>571</v>
      </c>
      <c r="P76" t="s">
        <v>571</v>
      </c>
      <c r="Q76">
        <v>1</v>
      </c>
      <c r="W76">
        <v>0</v>
      </c>
      <c r="X76">
        <v>118009128</v>
      </c>
      <c r="Y76">
        <v>5.56</v>
      </c>
      <c r="AA76">
        <v>0</v>
      </c>
      <c r="AB76">
        <v>27.02</v>
      </c>
      <c r="AC76">
        <v>0.03</v>
      </c>
      <c r="AD76">
        <v>0</v>
      </c>
      <c r="AE76">
        <v>0</v>
      </c>
      <c r="AF76">
        <v>27.02</v>
      </c>
      <c r="AG76">
        <v>0.03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5.56</v>
      </c>
      <c r="AU76" t="s">
        <v>3</v>
      </c>
      <c r="AV76">
        <v>0</v>
      </c>
      <c r="AW76">
        <v>2</v>
      </c>
      <c r="AX76">
        <v>71211847</v>
      </c>
      <c r="AY76">
        <v>1</v>
      </c>
      <c r="AZ76">
        <v>0</v>
      </c>
      <c r="BA76">
        <v>421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Y76*Source!I516</f>
        <v>1.39</v>
      </c>
      <c r="CY76">
        <f>AB76</f>
        <v>27.02</v>
      </c>
      <c r="CZ76">
        <f>AF76</f>
        <v>27.02</v>
      </c>
      <c r="DA76">
        <f>AJ76</f>
        <v>1</v>
      </c>
      <c r="DB76">
        <f t="shared" si="5"/>
        <v>150.22999999999999</v>
      </c>
      <c r="DC76">
        <f t="shared" si="6"/>
        <v>0.17</v>
      </c>
    </row>
    <row r="77" spans="1:107" x14ac:dyDescent="0.2">
      <c r="A77">
        <f>ROW(Source!A516)</f>
        <v>516</v>
      </c>
      <c r="B77">
        <v>71209905</v>
      </c>
      <c r="C77">
        <v>71211835</v>
      </c>
      <c r="D77">
        <v>67890994</v>
      </c>
      <c r="E77">
        <v>1</v>
      </c>
      <c r="F77">
        <v>1</v>
      </c>
      <c r="G77">
        <v>27</v>
      </c>
      <c r="H77">
        <v>2</v>
      </c>
      <c r="I77" t="s">
        <v>631</v>
      </c>
      <c r="J77" t="s">
        <v>632</v>
      </c>
      <c r="K77" t="s">
        <v>633</v>
      </c>
      <c r="L77">
        <v>1368</v>
      </c>
      <c r="N77">
        <v>1011</v>
      </c>
      <c r="O77" t="s">
        <v>571</v>
      </c>
      <c r="P77" t="s">
        <v>571</v>
      </c>
      <c r="Q77">
        <v>1</v>
      </c>
      <c r="W77">
        <v>0</v>
      </c>
      <c r="X77">
        <v>1421943841</v>
      </c>
      <c r="Y77">
        <v>1.08</v>
      </c>
      <c r="AA77">
        <v>0</v>
      </c>
      <c r="AB77">
        <v>132.63</v>
      </c>
      <c r="AC77">
        <v>1.55</v>
      </c>
      <c r="AD77">
        <v>0</v>
      </c>
      <c r="AE77">
        <v>0</v>
      </c>
      <c r="AF77">
        <v>132.63</v>
      </c>
      <c r="AG77">
        <v>1.55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1.08</v>
      </c>
      <c r="AU77" t="s">
        <v>3</v>
      </c>
      <c r="AV77">
        <v>0</v>
      </c>
      <c r="AW77">
        <v>2</v>
      </c>
      <c r="AX77">
        <v>71211848</v>
      </c>
      <c r="AY77">
        <v>1</v>
      </c>
      <c r="AZ77">
        <v>0</v>
      </c>
      <c r="BA77">
        <v>422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Y77*Source!I516</f>
        <v>0.27</v>
      </c>
      <c r="CY77">
        <f>AB77</f>
        <v>132.63</v>
      </c>
      <c r="CZ77">
        <f>AF77</f>
        <v>132.63</v>
      </c>
      <c r="DA77">
        <f>AJ77</f>
        <v>1</v>
      </c>
      <c r="DB77">
        <f t="shared" si="5"/>
        <v>143.24</v>
      </c>
      <c r="DC77">
        <f t="shared" si="6"/>
        <v>1.67</v>
      </c>
    </row>
    <row r="78" spans="1:107" x14ac:dyDescent="0.2">
      <c r="A78">
        <f>ROW(Source!A516)</f>
        <v>516</v>
      </c>
      <c r="B78">
        <v>71209905</v>
      </c>
      <c r="C78">
        <v>71211835</v>
      </c>
      <c r="D78">
        <v>67892810</v>
      </c>
      <c r="E78">
        <v>1</v>
      </c>
      <c r="F78">
        <v>1</v>
      </c>
      <c r="G78">
        <v>27</v>
      </c>
      <c r="H78">
        <v>3</v>
      </c>
      <c r="I78" t="s">
        <v>572</v>
      </c>
      <c r="J78" t="s">
        <v>573</v>
      </c>
      <c r="K78" t="s">
        <v>574</v>
      </c>
      <c r="L78">
        <v>1348</v>
      </c>
      <c r="N78">
        <v>1009</v>
      </c>
      <c r="O78" t="s">
        <v>35</v>
      </c>
      <c r="P78" t="s">
        <v>35</v>
      </c>
      <c r="Q78">
        <v>1000</v>
      </c>
      <c r="W78">
        <v>0</v>
      </c>
      <c r="X78">
        <v>-1356276541</v>
      </c>
      <c r="Y78">
        <v>4.0000000000000001E-3</v>
      </c>
      <c r="AA78">
        <v>105084.63</v>
      </c>
      <c r="AB78">
        <v>0</v>
      </c>
      <c r="AC78">
        <v>0</v>
      </c>
      <c r="AD78">
        <v>0</v>
      </c>
      <c r="AE78">
        <v>105084.63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4.0000000000000001E-3</v>
      </c>
      <c r="AU78" t="s">
        <v>3</v>
      </c>
      <c r="AV78">
        <v>0</v>
      </c>
      <c r="AW78">
        <v>2</v>
      </c>
      <c r="AX78">
        <v>71211849</v>
      </c>
      <c r="AY78">
        <v>1</v>
      </c>
      <c r="AZ78">
        <v>0</v>
      </c>
      <c r="BA78">
        <v>423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Y78*Source!I516</f>
        <v>1E-3</v>
      </c>
      <c r="CY78">
        <f>AA78</f>
        <v>105084.63</v>
      </c>
      <c r="CZ78">
        <f>AE78</f>
        <v>105084.63</v>
      </c>
      <c r="DA78">
        <f>AI78</f>
        <v>1</v>
      </c>
      <c r="DB78">
        <f t="shared" si="5"/>
        <v>420.34</v>
      </c>
      <c r="DC78">
        <f t="shared" si="6"/>
        <v>0</v>
      </c>
    </row>
    <row r="79" spans="1:107" x14ac:dyDescent="0.2">
      <c r="A79">
        <f>ROW(Source!A516)</f>
        <v>516</v>
      </c>
      <c r="B79">
        <v>71209905</v>
      </c>
      <c r="C79">
        <v>71211835</v>
      </c>
      <c r="D79">
        <v>67893667</v>
      </c>
      <c r="E79">
        <v>1</v>
      </c>
      <c r="F79">
        <v>1</v>
      </c>
      <c r="G79">
        <v>27</v>
      </c>
      <c r="H79">
        <v>3</v>
      </c>
      <c r="I79" t="s">
        <v>575</v>
      </c>
      <c r="J79" t="s">
        <v>576</v>
      </c>
      <c r="K79" t="s">
        <v>577</v>
      </c>
      <c r="L79">
        <v>1348</v>
      </c>
      <c r="N79">
        <v>1009</v>
      </c>
      <c r="O79" t="s">
        <v>35</v>
      </c>
      <c r="P79" t="s">
        <v>35</v>
      </c>
      <c r="Q79">
        <v>1000</v>
      </c>
      <c r="W79">
        <v>0</v>
      </c>
      <c r="X79">
        <v>-941081254</v>
      </c>
      <c r="Y79">
        <v>3.1E-2</v>
      </c>
      <c r="AA79">
        <v>110781.14</v>
      </c>
      <c r="AB79">
        <v>0</v>
      </c>
      <c r="AC79">
        <v>0</v>
      </c>
      <c r="AD79">
        <v>0</v>
      </c>
      <c r="AE79">
        <v>110781.14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3.1E-2</v>
      </c>
      <c r="AU79" t="s">
        <v>3</v>
      </c>
      <c r="AV79">
        <v>0</v>
      </c>
      <c r="AW79">
        <v>2</v>
      </c>
      <c r="AX79">
        <v>71211850</v>
      </c>
      <c r="AY79">
        <v>1</v>
      </c>
      <c r="AZ79">
        <v>0</v>
      </c>
      <c r="BA79">
        <v>424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Y79*Source!I516</f>
        <v>7.7499999999999999E-3</v>
      </c>
      <c r="CY79">
        <f>AA79</f>
        <v>110781.14</v>
      </c>
      <c r="CZ79">
        <f>AE79</f>
        <v>110781.14</v>
      </c>
      <c r="DA79">
        <f>AI79</f>
        <v>1</v>
      </c>
      <c r="DB79">
        <f t="shared" si="5"/>
        <v>3434.22</v>
      </c>
      <c r="DC79">
        <f t="shared" si="6"/>
        <v>0</v>
      </c>
    </row>
    <row r="80" spans="1:107" x14ac:dyDescent="0.2">
      <c r="A80">
        <f>ROW(Source!A516)</f>
        <v>516</v>
      </c>
      <c r="B80">
        <v>71209905</v>
      </c>
      <c r="C80">
        <v>71211835</v>
      </c>
      <c r="D80">
        <v>67895770</v>
      </c>
      <c r="E80">
        <v>1</v>
      </c>
      <c r="F80">
        <v>1</v>
      </c>
      <c r="G80">
        <v>27</v>
      </c>
      <c r="H80">
        <v>3</v>
      </c>
      <c r="I80" t="s">
        <v>424</v>
      </c>
      <c r="J80" t="s">
        <v>426</v>
      </c>
      <c r="K80" t="s">
        <v>425</v>
      </c>
      <c r="L80">
        <v>1348</v>
      </c>
      <c r="N80">
        <v>1009</v>
      </c>
      <c r="O80" t="s">
        <v>35</v>
      </c>
      <c r="P80" t="s">
        <v>35</v>
      </c>
      <c r="Q80">
        <v>1000</v>
      </c>
      <c r="W80">
        <v>0</v>
      </c>
      <c r="X80">
        <v>741875256</v>
      </c>
      <c r="Y80">
        <v>1</v>
      </c>
      <c r="AA80">
        <v>67754.539999999994</v>
      </c>
      <c r="AB80">
        <v>0</v>
      </c>
      <c r="AC80">
        <v>0</v>
      </c>
      <c r="AD80">
        <v>0</v>
      </c>
      <c r="AE80">
        <v>67754.539999999994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1</v>
      </c>
      <c r="AU80" t="s">
        <v>3</v>
      </c>
      <c r="AV80">
        <v>0</v>
      </c>
      <c r="AW80">
        <v>2</v>
      </c>
      <c r="AX80">
        <v>71211851</v>
      </c>
      <c r="AY80">
        <v>1</v>
      </c>
      <c r="AZ80">
        <v>0</v>
      </c>
      <c r="BA80">
        <v>425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Y80*Source!I516</f>
        <v>0.25</v>
      </c>
      <c r="CY80">
        <f>AA80</f>
        <v>67754.539999999994</v>
      </c>
      <c r="CZ80">
        <f>AE80</f>
        <v>67754.539999999994</v>
      </c>
      <c r="DA80">
        <f>AI80</f>
        <v>1</v>
      </c>
      <c r="DB80">
        <f t="shared" si="5"/>
        <v>67754.539999999994</v>
      </c>
      <c r="DC80">
        <f t="shared" si="6"/>
        <v>0</v>
      </c>
    </row>
    <row r="81" spans="1:107" x14ac:dyDescent="0.2">
      <c r="A81">
        <f>ROW(Source!A516)</f>
        <v>516</v>
      </c>
      <c r="B81">
        <v>71209905</v>
      </c>
      <c r="C81">
        <v>71211835</v>
      </c>
      <c r="D81">
        <v>67895770</v>
      </c>
      <c r="E81">
        <v>1</v>
      </c>
      <c r="F81">
        <v>1</v>
      </c>
      <c r="G81">
        <v>27</v>
      </c>
      <c r="H81">
        <v>3</v>
      </c>
      <c r="I81" t="s">
        <v>424</v>
      </c>
      <c r="J81" t="s">
        <v>426</v>
      </c>
      <c r="K81" t="s">
        <v>425</v>
      </c>
      <c r="L81">
        <v>1348</v>
      </c>
      <c r="N81">
        <v>1009</v>
      </c>
      <c r="O81" t="s">
        <v>35</v>
      </c>
      <c r="P81" t="s">
        <v>35</v>
      </c>
      <c r="Q81">
        <v>1000</v>
      </c>
      <c r="W81">
        <v>0</v>
      </c>
      <c r="X81">
        <v>741875256</v>
      </c>
      <c r="Y81">
        <v>-1</v>
      </c>
      <c r="AA81">
        <v>67754.539999999994</v>
      </c>
      <c r="AB81">
        <v>0</v>
      </c>
      <c r="AC81">
        <v>0</v>
      </c>
      <c r="AD81">
        <v>0</v>
      </c>
      <c r="AE81">
        <v>67754.539999999994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3</v>
      </c>
      <c r="AT81">
        <v>-1</v>
      </c>
      <c r="AU81" t="s">
        <v>3</v>
      </c>
      <c r="AV81">
        <v>0</v>
      </c>
      <c r="AW81">
        <v>1</v>
      </c>
      <c r="AX81">
        <v>-1</v>
      </c>
      <c r="AY81">
        <v>0</v>
      </c>
      <c r="AZ81">
        <v>0</v>
      </c>
      <c r="BA81" t="s">
        <v>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Y81*Source!I516</f>
        <v>-0.25</v>
      </c>
      <c r="CY81">
        <f>AA81</f>
        <v>67754.539999999994</v>
      </c>
      <c r="CZ81">
        <f>AE81</f>
        <v>67754.539999999994</v>
      </c>
      <c r="DA81">
        <f>AI81</f>
        <v>1</v>
      </c>
      <c r="DB81">
        <f t="shared" si="5"/>
        <v>-67754.539999999994</v>
      </c>
      <c r="DC81">
        <f t="shared" si="6"/>
        <v>0</v>
      </c>
    </row>
    <row r="82" spans="1:107" x14ac:dyDescent="0.2">
      <c r="A82">
        <f>ROW(Source!A516)</f>
        <v>516</v>
      </c>
      <c r="B82">
        <v>71209905</v>
      </c>
      <c r="C82">
        <v>71211835</v>
      </c>
      <c r="D82">
        <v>67895780</v>
      </c>
      <c r="E82">
        <v>1</v>
      </c>
      <c r="F82">
        <v>1</v>
      </c>
      <c r="G82">
        <v>27</v>
      </c>
      <c r="H82">
        <v>3</v>
      </c>
      <c r="I82" t="s">
        <v>634</v>
      </c>
      <c r="J82" t="s">
        <v>635</v>
      </c>
      <c r="K82" t="s">
        <v>636</v>
      </c>
      <c r="L82">
        <v>1348</v>
      </c>
      <c r="N82">
        <v>1009</v>
      </c>
      <c r="O82" t="s">
        <v>35</v>
      </c>
      <c r="P82" t="s">
        <v>35</v>
      </c>
      <c r="Q82">
        <v>1000</v>
      </c>
      <c r="W82">
        <v>0</v>
      </c>
      <c r="X82">
        <v>-368355619</v>
      </c>
      <c r="Y82">
        <v>5.0000000000000001E-3</v>
      </c>
      <c r="AA82">
        <v>75026.559999999998</v>
      </c>
      <c r="AB82">
        <v>0</v>
      </c>
      <c r="AC82">
        <v>0</v>
      </c>
      <c r="AD82">
        <v>0</v>
      </c>
      <c r="AE82">
        <v>75026.559999999998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5.0000000000000001E-3</v>
      </c>
      <c r="AU82" t="s">
        <v>3</v>
      </c>
      <c r="AV82">
        <v>0</v>
      </c>
      <c r="AW82">
        <v>2</v>
      </c>
      <c r="AX82">
        <v>71211852</v>
      </c>
      <c r="AY82">
        <v>1</v>
      </c>
      <c r="AZ82">
        <v>0</v>
      </c>
      <c r="BA82">
        <v>426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Y82*Source!I516</f>
        <v>1.25E-3</v>
      </c>
      <c r="CY82">
        <f>AA82</f>
        <v>75026.559999999998</v>
      </c>
      <c r="CZ82">
        <f>AE82</f>
        <v>75026.559999999998</v>
      </c>
      <c r="DA82">
        <f>AI82</f>
        <v>1</v>
      </c>
      <c r="DB82">
        <f t="shared" si="5"/>
        <v>375.13</v>
      </c>
      <c r="DC82">
        <f t="shared" si="6"/>
        <v>0</v>
      </c>
    </row>
    <row r="83" spans="1:107" x14ac:dyDescent="0.2">
      <c r="A83">
        <f>ROW(Source!A634)</f>
        <v>634</v>
      </c>
      <c r="B83">
        <v>71209905</v>
      </c>
      <c r="C83">
        <v>71212253</v>
      </c>
      <c r="D83">
        <v>67878646</v>
      </c>
      <c r="E83">
        <v>27</v>
      </c>
      <c r="F83">
        <v>1</v>
      </c>
      <c r="G83">
        <v>27</v>
      </c>
      <c r="H83">
        <v>1</v>
      </c>
      <c r="I83" t="s">
        <v>565</v>
      </c>
      <c r="J83" t="s">
        <v>3</v>
      </c>
      <c r="K83" t="s">
        <v>566</v>
      </c>
      <c r="L83">
        <v>1191</v>
      </c>
      <c r="N83">
        <v>1013</v>
      </c>
      <c r="O83" t="s">
        <v>567</v>
      </c>
      <c r="P83" t="s">
        <v>567</v>
      </c>
      <c r="Q83">
        <v>1</v>
      </c>
      <c r="W83">
        <v>0</v>
      </c>
      <c r="X83">
        <v>476480486</v>
      </c>
      <c r="Y83">
        <v>5.57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5.57</v>
      </c>
      <c r="AU83" t="s">
        <v>3</v>
      </c>
      <c r="AV83">
        <v>1</v>
      </c>
      <c r="AW83">
        <v>2</v>
      </c>
      <c r="AX83">
        <v>71212259</v>
      </c>
      <c r="AY83">
        <v>1</v>
      </c>
      <c r="AZ83">
        <v>0</v>
      </c>
      <c r="BA83">
        <v>517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Y83*Source!I634</f>
        <v>72.41</v>
      </c>
      <c r="CY83">
        <f>AD83</f>
        <v>0</v>
      </c>
      <c r="CZ83">
        <f>AH83</f>
        <v>0</v>
      </c>
      <c r="DA83">
        <f>AL83</f>
        <v>1</v>
      </c>
      <c r="DB83">
        <f t="shared" si="5"/>
        <v>0</v>
      </c>
      <c r="DC83">
        <f t="shared" si="6"/>
        <v>0</v>
      </c>
    </row>
    <row r="84" spans="1:107" x14ac:dyDescent="0.2">
      <c r="A84">
        <f>ROW(Source!A634)</f>
        <v>634</v>
      </c>
      <c r="B84">
        <v>71209905</v>
      </c>
      <c r="C84">
        <v>71212253</v>
      </c>
      <c r="D84">
        <v>67891471</v>
      </c>
      <c r="E84">
        <v>1</v>
      </c>
      <c r="F84">
        <v>1</v>
      </c>
      <c r="G84">
        <v>27</v>
      </c>
      <c r="H84">
        <v>2</v>
      </c>
      <c r="I84" t="s">
        <v>637</v>
      </c>
      <c r="J84" t="s">
        <v>638</v>
      </c>
      <c r="K84" t="s">
        <v>639</v>
      </c>
      <c r="L84">
        <v>1368</v>
      </c>
      <c r="N84">
        <v>1011</v>
      </c>
      <c r="O84" t="s">
        <v>571</v>
      </c>
      <c r="P84" t="s">
        <v>571</v>
      </c>
      <c r="Q84">
        <v>1</v>
      </c>
      <c r="W84">
        <v>0</v>
      </c>
      <c r="X84">
        <v>1659540691</v>
      </c>
      <c r="Y84">
        <v>0.25</v>
      </c>
      <c r="AA84">
        <v>0</v>
      </c>
      <c r="AB84">
        <v>27.58</v>
      </c>
      <c r="AC84">
        <v>12.08</v>
      </c>
      <c r="AD84">
        <v>0</v>
      </c>
      <c r="AE84">
        <v>0</v>
      </c>
      <c r="AF84">
        <v>27.58</v>
      </c>
      <c r="AG84">
        <v>12.08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0.25</v>
      </c>
      <c r="AU84" t="s">
        <v>3</v>
      </c>
      <c r="AV84">
        <v>0</v>
      </c>
      <c r="AW84">
        <v>2</v>
      </c>
      <c r="AX84">
        <v>71212260</v>
      </c>
      <c r="AY84">
        <v>1</v>
      </c>
      <c r="AZ84">
        <v>0</v>
      </c>
      <c r="BA84">
        <v>518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Y84*Source!I634</f>
        <v>3.25</v>
      </c>
      <c r="CY84">
        <f>AB84</f>
        <v>27.58</v>
      </c>
      <c r="CZ84">
        <f>AF84</f>
        <v>27.58</v>
      </c>
      <c r="DA84">
        <f>AJ84</f>
        <v>1</v>
      </c>
      <c r="DB84">
        <f t="shared" si="5"/>
        <v>6.9</v>
      </c>
      <c r="DC84">
        <f t="shared" si="6"/>
        <v>3.02</v>
      </c>
    </row>
    <row r="85" spans="1:107" x14ac:dyDescent="0.2">
      <c r="A85">
        <f>ROW(Source!A634)</f>
        <v>634</v>
      </c>
      <c r="B85">
        <v>71209905</v>
      </c>
      <c r="C85">
        <v>71212253</v>
      </c>
      <c r="D85">
        <v>67890910</v>
      </c>
      <c r="E85">
        <v>1</v>
      </c>
      <c r="F85">
        <v>1</v>
      </c>
      <c r="G85">
        <v>27</v>
      </c>
      <c r="H85">
        <v>2</v>
      </c>
      <c r="I85" t="s">
        <v>640</v>
      </c>
      <c r="J85" t="s">
        <v>641</v>
      </c>
      <c r="K85" t="s">
        <v>642</v>
      </c>
      <c r="L85">
        <v>1368</v>
      </c>
      <c r="N85">
        <v>1011</v>
      </c>
      <c r="O85" t="s">
        <v>571</v>
      </c>
      <c r="P85" t="s">
        <v>571</v>
      </c>
      <c r="Q85">
        <v>1</v>
      </c>
      <c r="W85">
        <v>0</v>
      </c>
      <c r="X85">
        <v>277467460</v>
      </c>
      <c r="Y85">
        <v>0.25</v>
      </c>
      <c r="AA85">
        <v>0</v>
      </c>
      <c r="AB85">
        <v>991.89</v>
      </c>
      <c r="AC85">
        <v>360.79</v>
      </c>
      <c r="AD85">
        <v>0</v>
      </c>
      <c r="AE85">
        <v>0</v>
      </c>
      <c r="AF85">
        <v>991.89</v>
      </c>
      <c r="AG85">
        <v>360.79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0.25</v>
      </c>
      <c r="AU85" t="s">
        <v>3</v>
      </c>
      <c r="AV85">
        <v>0</v>
      </c>
      <c r="AW85">
        <v>2</v>
      </c>
      <c r="AX85">
        <v>71212261</v>
      </c>
      <c r="AY85">
        <v>1</v>
      </c>
      <c r="AZ85">
        <v>0</v>
      </c>
      <c r="BA85">
        <v>519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Y85*Source!I634</f>
        <v>3.25</v>
      </c>
      <c r="CY85">
        <f>AB85</f>
        <v>991.89</v>
      </c>
      <c r="CZ85">
        <f>AF85</f>
        <v>991.89</v>
      </c>
      <c r="DA85">
        <f>AJ85</f>
        <v>1</v>
      </c>
      <c r="DB85">
        <f t="shared" si="5"/>
        <v>247.97</v>
      </c>
      <c r="DC85">
        <f t="shared" si="6"/>
        <v>90.2</v>
      </c>
    </row>
    <row r="86" spans="1:107" x14ac:dyDescent="0.2">
      <c r="A86">
        <f>ROW(Source!A634)</f>
        <v>634</v>
      </c>
      <c r="B86">
        <v>71209905</v>
      </c>
      <c r="C86">
        <v>71212253</v>
      </c>
      <c r="D86">
        <v>67895498</v>
      </c>
      <c r="E86">
        <v>1</v>
      </c>
      <c r="F86">
        <v>1</v>
      </c>
      <c r="G86">
        <v>27</v>
      </c>
      <c r="H86">
        <v>3</v>
      </c>
      <c r="I86" t="s">
        <v>643</v>
      </c>
      <c r="J86" t="s">
        <v>644</v>
      </c>
      <c r="K86" t="s">
        <v>645</v>
      </c>
      <c r="L86">
        <v>1339</v>
      </c>
      <c r="N86">
        <v>1007</v>
      </c>
      <c r="O86" t="s">
        <v>236</v>
      </c>
      <c r="P86" t="s">
        <v>236</v>
      </c>
      <c r="Q86">
        <v>1</v>
      </c>
      <c r="W86">
        <v>0</v>
      </c>
      <c r="X86">
        <v>1876816084</v>
      </c>
      <c r="Y86">
        <v>0.2</v>
      </c>
      <c r="AA86">
        <v>810.33</v>
      </c>
      <c r="AB86">
        <v>0</v>
      </c>
      <c r="AC86">
        <v>0</v>
      </c>
      <c r="AD86">
        <v>0</v>
      </c>
      <c r="AE86">
        <v>810.33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0.2</v>
      </c>
      <c r="AU86" t="s">
        <v>3</v>
      </c>
      <c r="AV86">
        <v>0</v>
      </c>
      <c r="AW86">
        <v>2</v>
      </c>
      <c r="AX86">
        <v>71212262</v>
      </c>
      <c r="AY86">
        <v>1</v>
      </c>
      <c r="AZ86">
        <v>0</v>
      </c>
      <c r="BA86">
        <v>520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Y86*Source!I634</f>
        <v>2.6</v>
      </c>
      <c r="CY86">
        <f>AA86</f>
        <v>810.33</v>
      </c>
      <c r="CZ86">
        <f>AE86</f>
        <v>810.33</v>
      </c>
      <c r="DA86">
        <f>AI86</f>
        <v>1</v>
      </c>
      <c r="DB86">
        <f t="shared" si="5"/>
        <v>162.07</v>
      </c>
      <c r="DC86">
        <f t="shared" si="6"/>
        <v>0</v>
      </c>
    </row>
    <row r="87" spans="1:107" x14ac:dyDescent="0.2">
      <c r="A87">
        <f>ROW(Source!A634)</f>
        <v>634</v>
      </c>
      <c r="B87">
        <v>71209905</v>
      </c>
      <c r="C87">
        <v>71212253</v>
      </c>
      <c r="D87">
        <v>67895489</v>
      </c>
      <c r="E87">
        <v>1</v>
      </c>
      <c r="F87">
        <v>1</v>
      </c>
      <c r="G87">
        <v>27</v>
      </c>
      <c r="H87">
        <v>3</v>
      </c>
      <c r="I87" t="s">
        <v>646</v>
      </c>
      <c r="J87" t="s">
        <v>647</v>
      </c>
      <c r="K87" t="s">
        <v>648</v>
      </c>
      <c r="L87">
        <v>1339</v>
      </c>
      <c r="N87">
        <v>1007</v>
      </c>
      <c r="O87" t="s">
        <v>236</v>
      </c>
      <c r="P87" t="s">
        <v>236</v>
      </c>
      <c r="Q87">
        <v>1</v>
      </c>
      <c r="W87">
        <v>0</v>
      </c>
      <c r="X87">
        <v>-1277312656</v>
      </c>
      <c r="Y87">
        <v>0.7</v>
      </c>
      <c r="AA87">
        <v>753.67</v>
      </c>
      <c r="AB87">
        <v>0</v>
      </c>
      <c r="AC87">
        <v>0</v>
      </c>
      <c r="AD87">
        <v>0</v>
      </c>
      <c r="AE87">
        <v>753.67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0.7</v>
      </c>
      <c r="AU87" t="s">
        <v>3</v>
      </c>
      <c r="AV87">
        <v>0</v>
      </c>
      <c r="AW87">
        <v>2</v>
      </c>
      <c r="AX87">
        <v>71212263</v>
      </c>
      <c r="AY87">
        <v>1</v>
      </c>
      <c r="AZ87">
        <v>0</v>
      </c>
      <c r="BA87">
        <v>521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Y87*Source!I634</f>
        <v>9.1</v>
      </c>
      <c r="CY87">
        <f>AA87</f>
        <v>753.67</v>
      </c>
      <c r="CZ87">
        <f>AE87</f>
        <v>753.67</v>
      </c>
      <c r="DA87">
        <f>AI87</f>
        <v>1</v>
      </c>
      <c r="DB87">
        <f t="shared" si="5"/>
        <v>527.57000000000005</v>
      </c>
      <c r="DC87">
        <f t="shared" si="6"/>
        <v>0</v>
      </c>
    </row>
    <row r="88" spans="1:107" x14ac:dyDescent="0.2">
      <c r="A88">
        <f>ROW(Source!A635)</f>
        <v>635</v>
      </c>
      <c r="B88">
        <v>71209905</v>
      </c>
      <c r="C88">
        <v>71212264</v>
      </c>
      <c r="D88">
        <v>67878646</v>
      </c>
      <c r="E88">
        <v>27</v>
      </c>
      <c r="F88">
        <v>1</v>
      </c>
      <c r="G88">
        <v>27</v>
      </c>
      <c r="H88">
        <v>1</v>
      </c>
      <c r="I88" t="s">
        <v>565</v>
      </c>
      <c r="J88" t="s">
        <v>3</v>
      </c>
      <c r="K88" t="s">
        <v>566</v>
      </c>
      <c r="L88">
        <v>1191</v>
      </c>
      <c r="N88">
        <v>1013</v>
      </c>
      <c r="O88" t="s">
        <v>567</v>
      </c>
      <c r="P88" t="s">
        <v>567</v>
      </c>
      <c r="Q88">
        <v>1</v>
      </c>
      <c r="W88">
        <v>0</v>
      </c>
      <c r="X88">
        <v>476480486</v>
      </c>
      <c r="Y88">
        <v>9.3000000000000007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9.3000000000000007</v>
      </c>
      <c r="AU88" t="s">
        <v>3</v>
      </c>
      <c r="AV88">
        <v>1</v>
      </c>
      <c r="AW88">
        <v>2</v>
      </c>
      <c r="AX88">
        <v>71212268</v>
      </c>
      <c r="AY88">
        <v>1</v>
      </c>
      <c r="AZ88">
        <v>0</v>
      </c>
      <c r="BA88">
        <v>522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Y88*Source!I635</f>
        <v>181.35000000000002</v>
      </c>
      <c r="CY88">
        <f>AD88</f>
        <v>0</v>
      </c>
      <c r="CZ88">
        <f>AH88</f>
        <v>0</v>
      </c>
      <c r="DA88">
        <f>AL88</f>
        <v>1</v>
      </c>
      <c r="DB88">
        <f t="shared" si="5"/>
        <v>0</v>
      </c>
      <c r="DC88">
        <f t="shared" si="6"/>
        <v>0</v>
      </c>
    </row>
    <row r="89" spans="1:107" x14ac:dyDescent="0.2">
      <c r="A89">
        <f>ROW(Source!A635)</f>
        <v>635</v>
      </c>
      <c r="B89">
        <v>71209905</v>
      </c>
      <c r="C89">
        <v>71212264</v>
      </c>
      <c r="D89">
        <v>67895498</v>
      </c>
      <c r="E89">
        <v>1</v>
      </c>
      <c r="F89">
        <v>1</v>
      </c>
      <c r="G89">
        <v>27</v>
      </c>
      <c r="H89">
        <v>3</v>
      </c>
      <c r="I89" t="s">
        <v>643</v>
      </c>
      <c r="J89" t="s">
        <v>644</v>
      </c>
      <c r="K89" t="s">
        <v>645</v>
      </c>
      <c r="L89">
        <v>1339</v>
      </c>
      <c r="N89">
        <v>1007</v>
      </c>
      <c r="O89" t="s">
        <v>236</v>
      </c>
      <c r="P89" t="s">
        <v>236</v>
      </c>
      <c r="Q89">
        <v>1</v>
      </c>
      <c r="W89">
        <v>0</v>
      </c>
      <c r="X89">
        <v>1876816084</v>
      </c>
      <c r="Y89">
        <v>0.2</v>
      </c>
      <c r="AA89">
        <v>810.33</v>
      </c>
      <c r="AB89">
        <v>0</v>
      </c>
      <c r="AC89">
        <v>0</v>
      </c>
      <c r="AD89">
        <v>0</v>
      </c>
      <c r="AE89">
        <v>810.33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0.2</v>
      </c>
      <c r="AU89" t="s">
        <v>3</v>
      </c>
      <c r="AV89">
        <v>0</v>
      </c>
      <c r="AW89">
        <v>2</v>
      </c>
      <c r="AX89">
        <v>71212269</v>
      </c>
      <c r="AY89">
        <v>1</v>
      </c>
      <c r="AZ89">
        <v>0</v>
      </c>
      <c r="BA89">
        <v>523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Y89*Source!I635</f>
        <v>3.9000000000000004</v>
      </c>
      <c r="CY89">
        <f>AA89</f>
        <v>810.33</v>
      </c>
      <c r="CZ89">
        <f>AE89</f>
        <v>810.33</v>
      </c>
      <c r="DA89">
        <f>AI89</f>
        <v>1</v>
      </c>
      <c r="DB89">
        <f t="shared" si="5"/>
        <v>162.07</v>
      </c>
      <c r="DC89">
        <f t="shared" si="6"/>
        <v>0</v>
      </c>
    </row>
    <row r="90" spans="1:107" x14ac:dyDescent="0.2">
      <c r="A90">
        <f>ROW(Source!A635)</f>
        <v>635</v>
      </c>
      <c r="B90">
        <v>71209905</v>
      </c>
      <c r="C90">
        <v>71212264</v>
      </c>
      <c r="D90">
        <v>67895489</v>
      </c>
      <c r="E90">
        <v>1</v>
      </c>
      <c r="F90">
        <v>1</v>
      </c>
      <c r="G90">
        <v>27</v>
      </c>
      <c r="H90">
        <v>3</v>
      </c>
      <c r="I90" t="s">
        <v>646</v>
      </c>
      <c r="J90" t="s">
        <v>647</v>
      </c>
      <c r="K90" t="s">
        <v>648</v>
      </c>
      <c r="L90">
        <v>1339</v>
      </c>
      <c r="N90">
        <v>1007</v>
      </c>
      <c r="O90" t="s">
        <v>236</v>
      </c>
      <c r="P90" t="s">
        <v>236</v>
      </c>
      <c r="Q90">
        <v>1</v>
      </c>
      <c r="W90">
        <v>0</v>
      </c>
      <c r="X90">
        <v>-1277312656</v>
      </c>
      <c r="Y90">
        <v>0.7</v>
      </c>
      <c r="AA90">
        <v>753.67</v>
      </c>
      <c r="AB90">
        <v>0</v>
      </c>
      <c r="AC90">
        <v>0</v>
      </c>
      <c r="AD90">
        <v>0</v>
      </c>
      <c r="AE90">
        <v>753.67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0.7</v>
      </c>
      <c r="AU90" t="s">
        <v>3</v>
      </c>
      <c r="AV90">
        <v>0</v>
      </c>
      <c r="AW90">
        <v>2</v>
      </c>
      <c r="AX90">
        <v>71212270</v>
      </c>
      <c r="AY90">
        <v>1</v>
      </c>
      <c r="AZ90">
        <v>0</v>
      </c>
      <c r="BA90">
        <v>524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Y90*Source!I635</f>
        <v>13.649999999999999</v>
      </c>
      <c r="CY90">
        <f>AA90</f>
        <v>753.67</v>
      </c>
      <c r="CZ90">
        <f>AE90</f>
        <v>753.67</v>
      </c>
      <c r="DA90">
        <f>AI90</f>
        <v>1</v>
      </c>
      <c r="DB90">
        <f t="shared" si="5"/>
        <v>527.57000000000005</v>
      </c>
      <c r="DC90">
        <f t="shared" si="6"/>
        <v>0</v>
      </c>
    </row>
    <row r="91" spans="1:107" x14ac:dyDescent="0.2">
      <c r="A91">
        <f>ROW(Source!A636)</f>
        <v>636</v>
      </c>
      <c r="B91">
        <v>71209905</v>
      </c>
      <c r="C91">
        <v>71212271</v>
      </c>
      <c r="D91">
        <v>67878646</v>
      </c>
      <c r="E91">
        <v>27</v>
      </c>
      <c r="F91">
        <v>1</v>
      </c>
      <c r="G91">
        <v>27</v>
      </c>
      <c r="H91">
        <v>1</v>
      </c>
      <c r="I91" t="s">
        <v>565</v>
      </c>
      <c r="J91" t="s">
        <v>3</v>
      </c>
      <c r="K91" t="s">
        <v>566</v>
      </c>
      <c r="L91">
        <v>1191</v>
      </c>
      <c r="N91">
        <v>1013</v>
      </c>
      <c r="O91" t="s">
        <v>567</v>
      </c>
      <c r="P91" t="s">
        <v>567</v>
      </c>
      <c r="Q91">
        <v>1</v>
      </c>
      <c r="W91">
        <v>0</v>
      </c>
      <c r="X91">
        <v>476480486</v>
      </c>
      <c r="Y91">
        <v>4.51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4.51</v>
      </c>
      <c r="AU91" t="s">
        <v>3</v>
      </c>
      <c r="AV91">
        <v>1</v>
      </c>
      <c r="AW91">
        <v>2</v>
      </c>
      <c r="AX91">
        <v>71212276</v>
      </c>
      <c r="AY91">
        <v>1</v>
      </c>
      <c r="AZ91">
        <v>0</v>
      </c>
      <c r="BA91">
        <v>525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Y91*Source!I636</f>
        <v>146.57499999999999</v>
      </c>
      <c r="CY91">
        <f>AD91</f>
        <v>0</v>
      </c>
      <c r="CZ91">
        <f>AH91</f>
        <v>0</v>
      </c>
      <c r="DA91">
        <f>AL91</f>
        <v>1</v>
      </c>
      <c r="DB91">
        <f t="shared" si="5"/>
        <v>0</v>
      </c>
      <c r="DC91">
        <f t="shared" si="6"/>
        <v>0</v>
      </c>
    </row>
    <row r="92" spans="1:107" x14ac:dyDescent="0.2">
      <c r="A92">
        <f>ROW(Source!A636)</f>
        <v>636</v>
      </c>
      <c r="B92">
        <v>71209905</v>
      </c>
      <c r="C92">
        <v>71212271</v>
      </c>
      <c r="D92">
        <v>67891062</v>
      </c>
      <c r="E92">
        <v>1</v>
      </c>
      <c r="F92">
        <v>1</v>
      </c>
      <c r="G92">
        <v>27</v>
      </c>
      <c r="H92">
        <v>2</v>
      </c>
      <c r="I92" t="s">
        <v>649</v>
      </c>
      <c r="J92" t="s">
        <v>650</v>
      </c>
      <c r="K92" t="s">
        <v>651</v>
      </c>
      <c r="L92">
        <v>1368</v>
      </c>
      <c r="N92">
        <v>1011</v>
      </c>
      <c r="O92" t="s">
        <v>571</v>
      </c>
      <c r="P92" t="s">
        <v>571</v>
      </c>
      <c r="Q92">
        <v>1</v>
      </c>
      <c r="W92">
        <v>0</v>
      </c>
      <c r="X92">
        <v>351519474</v>
      </c>
      <c r="Y92">
        <v>0.32</v>
      </c>
      <c r="AA92">
        <v>0</v>
      </c>
      <c r="AB92">
        <v>2020.59</v>
      </c>
      <c r="AC92">
        <v>458.56</v>
      </c>
      <c r="AD92">
        <v>0</v>
      </c>
      <c r="AE92">
        <v>0</v>
      </c>
      <c r="AF92">
        <v>2020.59</v>
      </c>
      <c r="AG92">
        <v>458.56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0.32</v>
      </c>
      <c r="AU92" t="s">
        <v>3</v>
      </c>
      <c r="AV92">
        <v>0</v>
      </c>
      <c r="AW92">
        <v>2</v>
      </c>
      <c r="AX92">
        <v>71212277</v>
      </c>
      <c r="AY92">
        <v>1</v>
      </c>
      <c r="AZ92">
        <v>0</v>
      </c>
      <c r="BA92">
        <v>526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Y92*Source!I636</f>
        <v>10.4</v>
      </c>
      <c r="CY92">
        <f>AB92</f>
        <v>2020.59</v>
      </c>
      <c r="CZ92">
        <f>AF92</f>
        <v>2020.59</v>
      </c>
      <c r="DA92">
        <f>AJ92</f>
        <v>1</v>
      </c>
      <c r="DB92">
        <f t="shared" si="5"/>
        <v>646.59</v>
      </c>
      <c r="DC92">
        <f t="shared" si="6"/>
        <v>146.74</v>
      </c>
    </row>
    <row r="93" spans="1:107" x14ac:dyDescent="0.2">
      <c r="A93">
        <f>ROW(Source!A636)</f>
        <v>636</v>
      </c>
      <c r="B93">
        <v>71209905</v>
      </c>
      <c r="C93">
        <v>71212271</v>
      </c>
      <c r="D93">
        <v>67893760</v>
      </c>
      <c r="E93">
        <v>1</v>
      </c>
      <c r="F93">
        <v>1</v>
      </c>
      <c r="G93">
        <v>27</v>
      </c>
      <c r="H93">
        <v>3</v>
      </c>
      <c r="I93" t="s">
        <v>652</v>
      </c>
      <c r="J93" t="s">
        <v>653</v>
      </c>
      <c r="K93" t="s">
        <v>654</v>
      </c>
      <c r="L93">
        <v>1339</v>
      </c>
      <c r="N93">
        <v>1007</v>
      </c>
      <c r="O93" t="s">
        <v>236</v>
      </c>
      <c r="P93" t="s">
        <v>236</v>
      </c>
      <c r="Q93">
        <v>1</v>
      </c>
      <c r="W93">
        <v>0</v>
      </c>
      <c r="X93">
        <v>2028445372</v>
      </c>
      <c r="Y93">
        <v>1.07</v>
      </c>
      <c r="AA93">
        <v>35.25</v>
      </c>
      <c r="AB93">
        <v>0</v>
      </c>
      <c r="AC93">
        <v>0</v>
      </c>
      <c r="AD93">
        <v>0</v>
      </c>
      <c r="AE93">
        <v>35.25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1.07</v>
      </c>
      <c r="AU93" t="s">
        <v>3</v>
      </c>
      <c r="AV93">
        <v>0</v>
      </c>
      <c r="AW93">
        <v>2</v>
      </c>
      <c r="AX93">
        <v>71212278</v>
      </c>
      <c r="AY93">
        <v>1</v>
      </c>
      <c r="AZ93">
        <v>0</v>
      </c>
      <c r="BA93">
        <v>527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Y93*Source!I636</f>
        <v>34.774999999999999</v>
      </c>
      <c r="CY93">
        <f>AA93</f>
        <v>35.25</v>
      </c>
      <c r="CZ93">
        <f>AE93</f>
        <v>35.25</v>
      </c>
      <c r="DA93">
        <f>AI93</f>
        <v>1</v>
      </c>
      <c r="DB93">
        <f t="shared" si="5"/>
        <v>37.72</v>
      </c>
      <c r="DC93">
        <f t="shared" si="6"/>
        <v>0</v>
      </c>
    </row>
    <row r="94" spans="1:107" x14ac:dyDescent="0.2">
      <c r="A94">
        <f>ROW(Source!A636)</f>
        <v>636</v>
      </c>
      <c r="B94">
        <v>71209905</v>
      </c>
      <c r="C94">
        <v>71212271</v>
      </c>
      <c r="D94">
        <v>67895079</v>
      </c>
      <c r="E94">
        <v>1</v>
      </c>
      <c r="F94">
        <v>1</v>
      </c>
      <c r="G94">
        <v>27</v>
      </c>
      <c r="H94">
        <v>3</v>
      </c>
      <c r="I94" t="s">
        <v>540</v>
      </c>
      <c r="J94" t="s">
        <v>542</v>
      </c>
      <c r="K94" t="s">
        <v>541</v>
      </c>
      <c r="L94">
        <v>1354</v>
      </c>
      <c r="N94">
        <v>1010</v>
      </c>
      <c r="O94" t="s">
        <v>232</v>
      </c>
      <c r="P94" t="s">
        <v>232</v>
      </c>
      <c r="Q94">
        <v>1</v>
      </c>
      <c r="W94">
        <v>0</v>
      </c>
      <c r="X94">
        <v>1695214232</v>
      </c>
      <c r="Y94">
        <v>10</v>
      </c>
      <c r="AA94">
        <v>227.38</v>
      </c>
      <c r="AB94">
        <v>0</v>
      </c>
      <c r="AC94">
        <v>0</v>
      </c>
      <c r="AD94">
        <v>0</v>
      </c>
      <c r="AE94">
        <v>227.38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3</v>
      </c>
      <c r="AT94">
        <v>10</v>
      </c>
      <c r="AU94" t="s">
        <v>3</v>
      </c>
      <c r="AV94">
        <v>0</v>
      </c>
      <c r="AW94">
        <v>1</v>
      </c>
      <c r="AX94">
        <v>-1</v>
      </c>
      <c r="AY94">
        <v>0</v>
      </c>
      <c r="AZ94">
        <v>0</v>
      </c>
      <c r="BA94" t="s">
        <v>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Y94*Source!I636</f>
        <v>325</v>
      </c>
      <c r="CY94">
        <f>AA94</f>
        <v>227.38</v>
      </c>
      <c r="CZ94">
        <f>AE94</f>
        <v>227.38</v>
      </c>
      <c r="DA94">
        <f>AI94</f>
        <v>1</v>
      </c>
      <c r="DB94">
        <f t="shared" si="5"/>
        <v>2273.8000000000002</v>
      </c>
      <c r="DC94">
        <f t="shared" si="6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9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71210790</v>
      </c>
      <c r="C1">
        <v>71210784</v>
      </c>
      <c r="D1">
        <v>67878646</v>
      </c>
      <c r="E1">
        <v>27</v>
      </c>
      <c r="F1">
        <v>1</v>
      </c>
      <c r="G1">
        <v>27</v>
      </c>
      <c r="H1">
        <v>1</v>
      </c>
      <c r="I1" t="s">
        <v>565</v>
      </c>
      <c r="J1" t="s">
        <v>3</v>
      </c>
      <c r="K1" t="s">
        <v>566</v>
      </c>
      <c r="L1">
        <v>1191</v>
      </c>
      <c r="N1">
        <v>1013</v>
      </c>
      <c r="O1" t="s">
        <v>567</v>
      </c>
      <c r="P1" t="s">
        <v>567</v>
      </c>
      <c r="Q1">
        <v>1</v>
      </c>
      <c r="X1">
        <v>0.03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0.03</v>
      </c>
      <c r="AH1">
        <v>3</v>
      </c>
      <c r="AI1">
        <v>-1</v>
      </c>
      <c r="AJ1" t="s">
        <v>3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71210791</v>
      </c>
      <c r="C2">
        <v>71210784</v>
      </c>
      <c r="D2">
        <v>67891061</v>
      </c>
      <c r="E2">
        <v>1</v>
      </c>
      <c r="F2">
        <v>1</v>
      </c>
      <c r="G2">
        <v>27</v>
      </c>
      <c r="H2">
        <v>2</v>
      </c>
      <c r="I2" t="s">
        <v>655</v>
      </c>
      <c r="J2" t="s">
        <v>656</v>
      </c>
      <c r="K2" t="s">
        <v>657</v>
      </c>
      <c r="L2">
        <v>1368</v>
      </c>
      <c r="N2">
        <v>1011</v>
      </c>
      <c r="O2" t="s">
        <v>571</v>
      </c>
      <c r="P2" t="s">
        <v>571</v>
      </c>
      <c r="Q2">
        <v>1</v>
      </c>
      <c r="X2">
        <v>0.02</v>
      </c>
      <c r="Y2">
        <v>0</v>
      </c>
      <c r="Z2">
        <v>1270.56</v>
      </c>
      <c r="AA2">
        <v>493.86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0.02</v>
      </c>
      <c r="AH2">
        <v>3</v>
      </c>
      <c r="AI2">
        <v>-1</v>
      </c>
      <c r="AJ2" t="s">
        <v>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71210792</v>
      </c>
      <c r="C3">
        <v>71210784</v>
      </c>
      <c r="D3">
        <v>67891082</v>
      </c>
      <c r="E3">
        <v>1</v>
      </c>
      <c r="F3">
        <v>1</v>
      </c>
      <c r="G3">
        <v>27</v>
      </c>
      <c r="H3">
        <v>2</v>
      </c>
      <c r="I3" t="s">
        <v>658</v>
      </c>
      <c r="J3" t="s">
        <v>659</v>
      </c>
      <c r="K3" t="s">
        <v>660</v>
      </c>
      <c r="L3">
        <v>1368</v>
      </c>
      <c r="N3">
        <v>1011</v>
      </c>
      <c r="O3" t="s">
        <v>571</v>
      </c>
      <c r="P3" t="s">
        <v>571</v>
      </c>
      <c r="Q3">
        <v>1</v>
      </c>
      <c r="X3">
        <v>0.02</v>
      </c>
      <c r="Y3">
        <v>0</v>
      </c>
      <c r="Z3">
        <v>2380.65</v>
      </c>
      <c r="AA3">
        <v>1358.74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0.02</v>
      </c>
      <c r="AH3">
        <v>3</v>
      </c>
      <c r="AI3">
        <v>-1</v>
      </c>
      <c r="AJ3" t="s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ROW(Source!A28)</f>
        <v>28</v>
      </c>
      <c r="B4">
        <v>71210793</v>
      </c>
      <c r="C4">
        <v>71210784</v>
      </c>
      <c r="D4">
        <v>67893760</v>
      </c>
      <c r="E4">
        <v>1</v>
      </c>
      <c r="F4">
        <v>1</v>
      </c>
      <c r="G4">
        <v>27</v>
      </c>
      <c r="H4">
        <v>3</v>
      </c>
      <c r="I4" t="s">
        <v>652</v>
      </c>
      <c r="J4" t="s">
        <v>653</v>
      </c>
      <c r="K4" t="s">
        <v>654</v>
      </c>
      <c r="L4">
        <v>1339</v>
      </c>
      <c r="N4">
        <v>1007</v>
      </c>
      <c r="O4" t="s">
        <v>236</v>
      </c>
      <c r="P4" t="s">
        <v>236</v>
      </c>
      <c r="Q4">
        <v>1</v>
      </c>
      <c r="X4">
        <v>3.2000000000000002E-3</v>
      </c>
      <c r="Y4">
        <v>35.25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3.2000000000000002E-3</v>
      </c>
      <c r="AH4">
        <v>3</v>
      </c>
      <c r="AI4">
        <v>-1</v>
      </c>
      <c r="AJ4" t="s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ROW(Source!A28)</f>
        <v>28</v>
      </c>
      <c r="B5">
        <v>71210794</v>
      </c>
      <c r="C5">
        <v>71210784</v>
      </c>
      <c r="D5">
        <v>67894032</v>
      </c>
      <c r="E5">
        <v>1</v>
      </c>
      <c r="F5">
        <v>1</v>
      </c>
      <c r="G5">
        <v>27</v>
      </c>
      <c r="H5">
        <v>3</v>
      </c>
      <c r="I5" t="s">
        <v>661</v>
      </c>
      <c r="J5" t="s">
        <v>662</v>
      </c>
      <c r="K5" t="s">
        <v>663</v>
      </c>
      <c r="L5">
        <v>1354</v>
      </c>
      <c r="N5">
        <v>1010</v>
      </c>
      <c r="O5" t="s">
        <v>232</v>
      </c>
      <c r="P5" t="s">
        <v>232</v>
      </c>
      <c r="Q5">
        <v>1</v>
      </c>
      <c r="X5">
        <v>7.0000000000000007E-2</v>
      </c>
      <c r="Y5">
        <v>132.74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7.0000000000000007E-2</v>
      </c>
      <c r="AH5">
        <v>3</v>
      </c>
      <c r="AI5">
        <v>-1</v>
      </c>
      <c r="AJ5" t="s">
        <v>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ROW(Source!A29)</f>
        <v>29</v>
      </c>
      <c r="B6">
        <v>71210811</v>
      </c>
      <c r="C6">
        <v>71210805</v>
      </c>
      <c r="D6">
        <v>67878646</v>
      </c>
      <c r="E6">
        <v>27</v>
      </c>
      <c r="F6">
        <v>1</v>
      </c>
      <c r="G6">
        <v>27</v>
      </c>
      <c r="H6">
        <v>1</v>
      </c>
      <c r="I6" t="s">
        <v>565</v>
      </c>
      <c r="J6" t="s">
        <v>3</v>
      </c>
      <c r="K6" t="s">
        <v>566</v>
      </c>
      <c r="L6">
        <v>1191</v>
      </c>
      <c r="N6">
        <v>1013</v>
      </c>
      <c r="O6" t="s">
        <v>567</v>
      </c>
      <c r="P6" t="s">
        <v>567</v>
      </c>
      <c r="Q6">
        <v>1</v>
      </c>
      <c r="X6">
        <v>0.05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3</v>
      </c>
      <c r="AG6">
        <v>0.05</v>
      </c>
      <c r="AH6">
        <v>3</v>
      </c>
      <c r="AI6">
        <v>-1</v>
      </c>
      <c r="AJ6" t="s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ROW(Source!A29)</f>
        <v>29</v>
      </c>
      <c r="B7">
        <v>71210812</v>
      </c>
      <c r="C7">
        <v>71210805</v>
      </c>
      <c r="D7">
        <v>67891061</v>
      </c>
      <c r="E7">
        <v>1</v>
      </c>
      <c r="F7">
        <v>1</v>
      </c>
      <c r="G7">
        <v>27</v>
      </c>
      <c r="H7">
        <v>2</v>
      </c>
      <c r="I7" t="s">
        <v>655</v>
      </c>
      <c r="J7" t="s">
        <v>656</v>
      </c>
      <c r="K7" t="s">
        <v>657</v>
      </c>
      <c r="L7">
        <v>1368</v>
      </c>
      <c r="N7">
        <v>1011</v>
      </c>
      <c r="O7" t="s">
        <v>571</v>
      </c>
      <c r="P7" t="s">
        <v>571</v>
      </c>
      <c r="Q7">
        <v>1</v>
      </c>
      <c r="X7">
        <v>0.02</v>
      </c>
      <c r="Y7">
        <v>0</v>
      </c>
      <c r="Z7">
        <v>1270.56</v>
      </c>
      <c r="AA7">
        <v>493.86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0.02</v>
      </c>
      <c r="AH7">
        <v>3</v>
      </c>
      <c r="AI7">
        <v>-1</v>
      </c>
      <c r="AJ7" t="s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ROW(Source!A29)</f>
        <v>29</v>
      </c>
      <c r="B8">
        <v>71210813</v>
      </c>
      <c r="C8">
        <v>71210805</v>
      </c>
      <c r="D8">
        <v>67891082</v>
      </c>
      <c r="E8">
        <v>1</v>
      </c>
      <c r="F8">
        <v>1</v>
      </c>
      <c r="G8">
        <v>27</v>
      </c>
      <c r="H8">
        <v>2</v>
      </c>
      <c r="I8" t="s">
        <v>658</v>
      </c>
      <c r="J8" t="s">
        <v>659</v>
      </c>
      <c r="K8" t="s">
        <v>660</v>
      </c>
      <c r="L8">
        <v>1368</v>
      </c>
      <c r="N8">
        <v>1011</v>
      </c>
      <c r="O8" t="s">
        <v>571</v>
      </c>
      <c r="P8" t="s">
        <v>571</v>
      </c>
      <c r="Q8">
        <v>1</v>
      </c>
      <c r="X8">
        <v>0.02</v>
      </c>
      <c r="Y8">
        <v>0</v>
      </c>
      <c r="Z8">
        <v>2380.65</v>
      </c>
      <c r="AA8">
        <v>1358.74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0.02</v>
      </c>
      <c r="AH8">
        <v>3</v>
      </c>
      <c r="AI8">
        <v>-1</v>
      </c>
      <c r="AJ8" t="s">
        <v>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ROW(Source!A29)</f>
        <v>29</v>
      </c>
      <c r="B9">
        <v>71210814</v>
      </c>
      <c r="C9">
        <v>71210805</v>
      </c>
      <c r="D9">
        <v>67893760</v>
      </c>
      <c r="E9">
        <v>1</v>
      </c>
      <c r="F9">
        <v>1</v>
      </c>
      <c r="G9">
        <v>27</v>
      </c>
      <c r="H9">
        <v>3</v>
      </c>
      <c r="I9" t="s">
        <v>652</v>
      </c>
      <c r="J9" t="s">
        <v>653</v>
      </c>
      <c r="K9" t="s">
        <v>654</v>
      </c>
      <c r="L9">
        <v>1339</v>
      </c>
      <c r="N9">
        <v>1007</v>
      </c>
      <c r="O9" t="s">
        <v>236</v>
      </c>
      <c r="P9" t="s">
        <v>236</v>
      </c>
      <c r="Q9">
        <v>1</v>
      </c>
      <c r="X9">
        <v>5.3299999999999997E-3</v>
      </c>
      <c r="Y9">
        <v>35.25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5.3299999999999997E-3</v>
      </c>
      <c r="AH9">
        <v>3</v>
      </c>
      <c r="AI9">
        <v>-1</v>
      </c>
      <c r="AJ9" t="s">
        <v>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ROW(Source!A29)</f>
        <v>29</v>
      </c>
      <c r="B10">
        <v>71210815</v>
      </c>
      <c r="C10">
        <v>71210805</v>
      </c>
      <c r="D10">
        <v>67894032</v>
      </c>
      <c r="E10">
        <v>1</v>
      </c>
      <c r="F10">
        <v>1</v>
      </c>
      <c r="G10">
        <v>27</v>
      </c>
      <c r="H10">
        <v>3</v>
      </c>
      <c r="I10" t="s">
        <v>661</v>
      </c>
      <c r="J10" t="s">
        <v>662</v>
      </c>
      <c r="K10" t="s">
        <v>663</v>
      </c>
      <c r="L10">
        <v>1354</v>
      </c>
      <c r="N10">
        <v>1010</v>
      </c>
      <c r="O10" t="s">
        <v>232</v>
      </c>
      <c r="P10" t="s">
        <v>232</v>
      </c>
      <c r="Q10">
        <v>1</v>
      </c>
      <c r="X10">
        <v>0.1167</v>
      </c>
      <c r="Y10">
        <v>132.74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0.1167</v>
      </c>
      <c r="AH10">
        <v>3</v>
      </c>
      <c r="AI10">
        <v>-1</v>
      </c>
      <c r="AJ10" t="s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ROW(Source!A30)</f>
        <v>30</v>
      </c>
      <c r="B11">
        <v>71210835</v>
      </c>
      <c r="C11">
        <v>71210826</v>
      </c>
      <c r="D11">
        <v>67878646</v>
      </c>
      <c r="E11">
        <v>27</v>
      </c>
      <c r="F11">
        <v>1</v>
      </c>
      <c r="G11">
        <v>27</v>
      </c>
      <c r="H11">
        <v>1</v>
      </c>
      <c r="I11" t="s">
        <v>565</v>
      </c>
      <c r="J11" t="s">
        <v>3</v>
      </c>
      <c r="K11" t="s">
        <v>566</v>
      </c>
      <c r="L11">
        <v>1191</v>
      </c>
      <c r="N11">
        <v>1013</v>
      </c>
      <c r="O11" t="s">
        <v>567</v>
      </c>
      <c r="P11" t="s">
        <v>567</v>
      </c>
      <c r="Q11">
        <v>1</v>
      </c>
      <c r="X11">
        <v>0.79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 t="s">
        <v>3</v>
      </c>
      <c r="AG11">
        <v>0.79</v>
      </c>
      <c r="AH11">
        <v>3</v>
      </c>
      <c r="AI11">
        <v>-1</v>
      </c>
      <c r="AJ11" t="s">
        <v>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ROW(Source!A30)</f>
        <v>30</v>
      </c>
      <c r="B12">
        <v>71210837</v>
      </c>
      <c r="C12">
        <v>71210826</v>
      </c>
      <c r="D12">
        <v>67891213</v>
      </c>
      <c r="E12">
        <v>1</v>
      </c>
      <c r="F12">
        <v>1</v>
      </c>
      <c r="G12">
        <v>27</v>
      </c>
      <c r="H12">
        <v>2</v>
      </c>
      <c r="I12" t="s">
        <v>664</v>
      </c>
      <c r="J12" t="s">
        <v>665</v>
      </c>
      <c r="K12" t="s">
        <v>666</v>
      </c>
      <c r="L12">
        <v>1368</v>
      </c>
      <c r="N12">
        <v>1011</v>
      </c>
      <c r="O12" t="s">
        <v>571</v>
      </c>
      <c r="P12" t="s">
        <v>571</v>
      </c>
      <c r="Q12">
        <v>1</v>
      </c>
      <c r="X12">
        <v>0.13</v>
      </c>
      <c r="Y12">
        <v>0</v>
      </c>
      <c r="Z12">
        <v>1146.1400000000001</v>
      </c>
      <c r="AA12">
        <v>461.5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0.13</v>
      </c>
      <c r="AH12">
        <v>3</v>
      </c>
      <c r="AI12">
        <v>-1</v>
      </c>
      <c r="AJ12" t="s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ROW(Source!A30)</f>
        <v>30</v>
      </c>
      <c r="B13">
        <v>71210836</v>
      </c>
      <c r="C13">
        <v>71210826</v>
      </c>
      <c r="D13">
        <v>67890901</v>
      </c>
      <c r="E13">
        <v>1</v>
      </c>
      <c r="F13">
        <v>1</v>
      </c>
      <c r="G13">
        <v>27</v>
      </c>
      <c r="H13">
        <v>2</v>
      </c>
      <c r="I13" t="s">
        <v>667</v>
      </c>
      <c r="J13" t="s">
        <v>668</v>
      </c>
      <c r="K13" t="s">
        <v>669</v>
      </c>
      <c r="L13">
        <v>1368</v>
      </c>
      <c r="N13">
        <v>1011</v>
      </c>
      <c r="O13" t="s">
        <v>571</v>
      </c>
      <c r="P13" t="s">
        <v>571</v>
      </c>
      <c r="Q13">
        <v>1</v>
      </c>
      <c r="X13">
        <v>0.13</v>
      </c>
      <c r="Y13">
        <v>0</v>
      </c>
      <c r="Z13">
        <v>950.99</v>
      </c>
      <c r="AA13">
        <v>416.71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0.13</v>
      </c>
      <c r="AH13">
        <v>3</v>
      </c>
      <c r="AI13">
        <v>-1</v>
      </c>
      <c r="AJ13" t="s">
        <v>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ROW(Source!A30)</f>
        <v>30</v>
      </c>
      <c r="B14">
        <v>71210838</v>
      </c>
      <c r="C14">
        <v>71210826</v>
      </c>
      <c r="D14">
        <v>67891731</v>
      </c>
      <c r="E14">
        <v>1</v>
      </c>
      <c r="F14">
        <v>1</v>
      </c>
      <c r="G14">
        <v>27</v>
      </c>
      <c r="H14">
        <v>2</v>
      </c>
      <c r="I14" t="s">
        <v>670</v>
      </c>
      <c r="J14" t="s">
        <v>671</v>
      </c>
      <c r="K14" t="s">
        <v>672</v>
      </c>
      <c r="L14">
        <v>1368</v>
      </c>
      <c r="N14">
        <v>1011</v>
      </c>
      <c r="O14" t="s">
        <v>571</v>
      </c>
      <c r="P14" t="s">
        <v>571</v>
      </c>
      <c r="Q14">
        <v>1</v>
      </c>
      <c r="X14">
        <v>0.26</v>
      </c>
      <c r="Y14">
        <v>0</v>
      </c>
      <c r="Z14">
        <v>6.02</v>
      </c>
      <c r="AA14">
        <v>0.02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0.26</v>
      </c>
      <c r="AH14">
        <v>3</v>
      </c>
      <c r="AI14">
        <v>-1</v>
      </c>
      <c r="AJ14" t="s">
        <v>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ROW(Source!A30)</f>
        <v>30</v>
      </c>
      <c r="B15">
        <v>71210839</v>
      </c>
      <c r="C15">
        <v>71210826</v>
      </c>
      <c r="D15">
        <v>67891115</v>
      </c>
      <c r="E15">
        <v>1</v>
      </c>
      <c r="F15">
        <v>1</v>
      </c>
      <c r="G15">
        <v>27</v>
      </c>
      <c r="H15">
        <v>2</v>
      </c>
      <c r="I15" t="s">
        <v>673</v>
      </c>
      <c r="J15" t="s">
        <v>674</v>
      </c>
      <c r="K15" t="s">
        <v>675</v>
      </c>
      <c r="L15">
        <v>1368</v>
      </c>
      <c r="N15">
        <v>1011</v>
      </c>
      <c r="O15" t="s">
        <v>571</v>
      </c>
      <c r="P15" t="s">
        <v>571</v>
      </c>
      <c r="Q15">
        <v>1</v>
      </c>
      <c r="X15">
        <v>0.25</v>
      </c>
      <c r="Y15">
        <v>0</v>
      </c>
      <c r="Z15">
        <v>7582.52</v>
      </c>
      <c r="AA15">
        <v>988.34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0.25</v>
      </c>
      <c r="AH15">
        <v>3</v>
      </c>
      <c r="AI15">
        <v>-1</v>
      </c>
      <c r="AJ15" t="s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ROW(Source!A30)</f>
        <v>30</v>
      </c>
      <c r="B16">
        <v>71210840</v>
      </c>
      <c r="C16">
        <v>71210826</v>
      </c>
      <c r="D16">
        <v>67891110</v>
      </c>
      <c r="E16">
        <v>1</v>
      </c>
      <c r="F16">
        <v>1</v>
      </c>
      <c r="G16">
        <v>27</v>
      </c>
      <c r="H16">
        <v>2</v>
      </c>
      <c r="I16" t="s">
        <v>676</v>
      </c>
      <c r="J16" t="s">
        <v>677</v>
      </c>
      <c r="K16" t="s">
        <v>678</v>
      </c>
      <c r="L16">
        <v>1368</v>
      </c>
      <c r="N16">
        <v>1011</v>
      </c>
      <c r="O16" t="s">
        <v>571</v>
      </c>
      <c r="P16" t="s">
        <v>571</v>
      </c>
      <c r="Q16">
        <v>1</v>
      </c>
      <c r="X16">
        <v>0.25</v>
      </c>
      <c r="Y16">
        <v>0</v>
      </c>
      <c r="Z16">
        <v>1331.71</v>
      </c>
      <c r="AA16">
        <v>497.83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0.25</v>
      </c>
      <c r="AH16">
        <v>3</v>
      </c>
      <c r="AI16">
        <v>-1</v>
      </c>
      <c r="AJ16" t="s">
        <v>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ROW(Source!A30)</f>
        <v>30</v>
      </c>
      <c r="B17">
        <v>71210841</v>
      </c>
      <c r="C17">
        <v>71210826</v>
      </c>
      <c r="D17">
        <v>67893760</v>
      </c>
      <c r="E17">
        <v>1</v>
      </c>
      <c r="F17">
        <v>1</v>
      </c>
      <c r="G17">
        <v>27</v>
      </c>
      <c r="H17">
        <v>3</v>
      </c>
      <c r="I17" t="s">
        <v>652</v>
      </c>
      <c r="J17" t="s">
        <v>653</v>
      </c>
      <c r="K17" t="s">
        <v>654</v>
      </c>
      <c r="L17">
        <v>1339</v>
      </c>
      <c r="N17">
        <v>1007</v>
      </c>
      <c r="O17" t="s">
        <v>236</v>
      </c>
      <c r="P17" t="s">
        <v>236</v>
      </c>
      <c r="Q17">
        <v>1</v>
      </c>
      <c r="X17">
        <v>0.26700000000000002</v>
      </c>
      <c r="Y17">
        <v>35.25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0.26700000000000002</v>
      </c>
      <c r="AH17">
        <v>3</v>
      </c>
      <c r="AI17">
        <v>-1</v>
      </c>
      <c r="AJ17" t="s">
        <v>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ROW(Source!A30)</f>
        <v>30</v>
      </c>
      <c r="B18">
        <v>71210858</v>
      </c>
      <c r="C18">
        <v>71210826</v>
      </c>
      <c r="D18">
        <v>67894485</v>
      </c>
      <c r="E18">
        <v>1</v>
      </c>
      <c r="F18">
        <v>1</v>
      </c>
      <c r="G18">
        <v>27</v>
      </c>
      <c r="H18">
        <v>3</v>
      </c>
      <c r="I18" t="s">
        <v>679</v>
      </c>
      <c r="J18" t="s">
        <v>680</v>
      </c>
      <c r="K18" t="s">
        <v>681</v>
      </c>
      <c r="L18">
        <v>1354</v>
      </c>
      <c r="N18">
        <v>1010</v>
      </c>
      <c r="O18" t="s">
        <v>232</v>
      </c>
      <c r="P18" t="s">
        <v>232</v>
      </c>
      <c r="Q18">
        <v>1</v>
      </c>
      <c r="X18">
        <v>2.5</v>
      </c>
      <c r="Y18">
        <v>232.95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2.5</v>
      </c>
      <c r="AH18">
        <v>3</v>
      </c>
      <c r="AI18">
        <v>-1</v>
      </c>
      <c r="AJ18" t="s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ROW(Source!A31)</f>
        <v>31</v>
      </c>
      <c r="B19">
        <v>71210875</v>
      </c>
      <c r="C19">
        <v>71210859</v>
      </c>
      <c r="D19">
        <v>67878646</v>
      </c>
      <c r="E19">
        <v>27</v>
      </c>
      <c r="F19">
        <v>1</v>
      </c>
      <c r="G19">
        <v>27</v>
      </c>
      <c r="H19">
        <v>1</v>
      </c>
      <c r="I19" t="s">
        <v>565</v>
      </c>
      <c r="J19" t="s">
        <v>3</v>
      </c>
      <c r="K19" t="s">
        <v>566</v>
      </c>
      <c r="L19">
        <v>1191</v>
      </c>
      <c r="N19">
        <v>1013</v>
      </c>
      <c r="O19" t="s">
        <v>567</v>
      </c>
      <c r="P19" t="s">
        <v>567</v>
      </c>
      <c r="Q19">
        <v>1</v>
      </c>
      <c r="X19">
        <v>0.04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 t="s">
        <v>3</v>
      </c>
      <c r="AG19">
        <v>0.04</v>
      </c>
      <c r="AH19">
        <v>3</v>
      </c>
      <c r="AI19">
        <v>-1</v>
      </c>
      <c r="AJ19" t="s">
        <v>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ROW(Source!A31)</f>
        <v>31</v>
      </c>
      <c r="B20">
        <v>71210876</v>
      </c>
      <c r="C20">
        <v>71210859</v>
      </c>
      <c r="D20">
        <v>67891115</v>
      </c>
      <c r="E20">
        <v>1</v>
      </c>
      <c r="F20">
        <v>1</v>
      </c>
      <c r="G20">
        <v>27</v>
      </c>
      <c r="H20">
        <v>2</v>
      </c>
      <c r="I20" t="s">
        <v>673</v>
      </c>
      <c r="J20" t="s">
        <v>674</v>
      </c>
      <c r="K20" t="s">
        <v>675</v>
      </c>
      <c r="L20">
        <v>1368</v>
      </c>
      <c r="N20">
        <v>1011</v>
      </c>
      <c r="O20" t="s">
        <v>571</v>
      </c>
      <c r="P20" t="s">
        <v>571</v>
      </c>
      <c r="Q20">
        <v>1</v>
      </c>
      <c r="X20">
        <v>0.04</v>
      </c>
      <c r="Y20">
        <v>0</v>
      </c>
      <c r="Z20">
        <v>7582.52</v>
      </c>
      <c r="AA20">
        <v>988.34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0.04</v>
      </c>
      <c r="AH20">
        <v>3</v>
      </c>
      <c r="AI20">
        <v>-1</v>
      </c>
      <c r="AJ20" t="s">
        <v>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ROW(Source!A31)</f>
        <v>31</v>
      </c>
      <c r="B21">
        <v>71210877</v>
      </c>
      <c r="C21">
        <v>71210859</v>
      </c>
      <c r="D21">
        <v>67891110</v>
      </c>
      <c r="E21">
        <v>1</v>
      </c>
      <c r="F21">
        <v>1</v>
      </c>
      <c r="G21">
        <v>27</v>
      </c>
      <c r="H21">
        <v>2</v>
      </c>
      <c r="I21" t="s">
        <v>676</v>
      </c>
      <c r="J21" t="s">
        <v>677</v>
      </c>
      <c r="K21" t="s">
        <v>678</v>
      </c>
      <c r="L21">
        <v>1368</v>
      </c>
      <c r="N21">
        <v>1011</v>
      </c>
      <c r="O21" t="s">
        <v>571</v>
      </c>
      <c r="P21" t="s">
        <v>571</v>
      </c>
      <c r="Q21">
        <v>1</v>
      </c>
      <c r="X21">
        <v>0.04</v>
      </c>
      <c r="Y21">
        <v>0</v>
      </c>
      <c r="Z21">
        <v>1331.71</v>
      </c>
      <c r="AA21">
        <v>497.83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0.04</v>
      </c>
      <c r="AH21">
        <v>3</v>
      </c>
      <c r="AI21">
        <v>-1</v>
      </c>
      <c r="AJ21" t="s">
        <v>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ROW(Source!A31)</f>
        <v>31</v>
      </c>
      <c r="B22">
        <v>71210878</v>
      </c>
      <c r="C22">
        <v>71210859</v>
      </c>
      <c r="D22">
        <v>67893760</v>
      </c>
      <c r="E22">
        <v>1</v>
      </c>
      <c r="F22">
        <v>1</v>
      </c>
      <c r="G22">
        <v>27</v>
      </c>
      <c r="H22">
        <v>3</v>
      </c>
      <c r="I22" t="s">
        <v>652</v>
      </c>
      <c r="J22" t="s">
        <v>653</v>
      </c>
      <c r="K22" t="s">
        <v>654</v>
      </c>
      <c r="L22">
        <v>1339</v>
      </c>
      <c r="N22">
        <v>1007</v>
      </c>
      <c r="O22" t="s">
        <v>236</v>
      </c>
      <c r="P22" t="s">
        <v>236</v>
      </c>
      <c r="Q22">
        <v>1</v>
      </c>
      <c r="X22">
        <v>4.4999999999999998E-2</v>
      </c>
      <c r="Y22">
        <v>35.25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4.4999999999999998E-2</v>
      </c>
      <c r="AH22">
        <v>3</v>
      </c>
      <c r="AI22">
        <v>-1</v>
      </c>
      <c r="AJ22" t="s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ROW(Source!A31)</f>
        <v>31</v>
      </c>
      <c r="B23">
        <v>71210879</v>
      </c>
      <c r="C23">
        <v>71210859</v>
      </c>
      <c r="D23">
        <v>67894485</v>
      </c>
      <c r="E23">
        <v>1</v>
      </c>
      <c r="F23">
        <v>1</v>
      </c>
      <c r="G23">
        <v>27</v>
      </c>
      <c r="H23">
        <v>3</v>
      </c>
      <c r="I23" t="s">
        <v>679</v>
      </c>
      <c r="J23" t="s">
        <v>680</v>
      </c>
      <c r="K23" t="s">
        <v>681</v>
      </c>
      <c r="L23">
        <v>1354</v>
      </c>
      <c r="N23">
        <v>1010</v>
      </c>
      <c r="O23" t="s">
        <v>232</v>
      </c>
      <c r="P23" t="s">
        <v>232</v>
      </c>
      <c r="Q23">
        <v>1</v>
      </c>
      <c r="X23">
        <v>0.41</v>
      </c>
      <c r="Y23">
        <v>232.95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0.41</v>
      </c>
      <c r="AH23">
        <v>3</v>
      </c>
      <c r="AI23">
        <v>-1</v>
      </c>
      <c r="AJ23" t="s">
        <v>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ROW(Source!A32)</f>
        <v>32</v>
      </c>
      <c r="B24">
        <v>71210885</v>
      </c>
      <c r="C24">
        <v>71210880</v>
      </c>
      <c r="D24">
        <v>67891659</v>
      </c>
      <c r="E24">
        <v>1</v>
      </c>
      <c r="F24">
        <v>1</v>
      </c>
      <c r="G24">
        <v>27</v>
      </c>
      <c r="H24">
        <v>2</v>
      </c>
      <c r="I24" t="s">
        <v>682</v>
      </c>
      <c r="J24" t="s">
        <v>683</v>
      </c>
      <c r="K24" t="s">
        <v>684</v>
      </c>
      <c r="L24">
        <v>1368</v>
      </c>
      <c r="N24">
        <v>1011</v>
      </c>
      <c r="O24" t="s">
        <v>571</v>
      </c>
      <c r="P24" t="s">
        <v>571</v>
      </c>
      <c r="Q24">
        <v>1</v>
      </c>
      <c r="X24">
        <v>3.6999999999999998E-2</v>
      </c>
      <c r="Y24">
        <v>0</v>
      </c>
      <c r="Z24">
        <v>1014.12</v>
      </c>
      <c r="AA24">
        <v>317.13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3.6999999999999998E-2</v>
      </c>
      <c r="AH24">
        <v>3</v>
      </c>
      <c r="AI24">
        <v>-1</v>
      </c>
      <c r="AJ24" t="s">
        <v>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ROW(Source!A33)</f>
        <v>33</v>
      </c>
      <c r="B25">
        <v>71210891</v>
      </c>
      <c r="C25">
        <v>71210886</v>
      </c>
      <c r="D25">
        <v>67891659</v>
      </c>
      <c r="E25">
        <v>1</v>
      </c>
      <c r="F25">
        <v>1</v>
      </c>
      <c r="G25">
        <v>27</v>
      </c>
      <c r="H25">
        <v>2</v>
      </c>
      <c r="I25" t="s">
        <v>682</v>
      </c>
      <c r="J25" t="s">
        <v>683</v>
      </c>
      <c r="K25" t="s">
        <v>684</v>
      </c>
      <c r="L25">
        <v>1368</v>
      </c>
      <c r="N25">
        <v>1011</v>
      </c>
      <c r="O25" t="s">
        <v>571</v>
      </c>
      <c r="P25" t="s">
        <v>571</v>
      </c>
      <c r="Q25">
        <v>1</v>
      </c>
      <c r="X25">
        <v>0.01</v>
      </c>
      <c r="Y25">
        <v>0</v>
      </c>
      <c r="Z25">
        <v>1014.12</v>
      </c>
      <c r="AA25">
        <v>317.13</v>
      </c>
      <c r="AB25">
        <v>0</v>
      </c>
      <c r="AC25">
        <v>0</v>
      </c>
      <c r="AD25">
        <v>1</v>
      </c>
      <c r="AE25">
        <v>0</v>
      </c>
      <c r="AF25" t="s">
        <v>41</v>
      </c>
      <c r="AG25">
        <v>0.32</v>
      </c>
      <c r="AH25">
        <v>3</v>
      </c>
      <c r="AI25">
        <v>-1</v>
      </c>
      <c r="AJ25" t="s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ROW(Source!A34)</f>
        <v>34</v>
      </c>
      <c r="B26">
        <v>71210897</v>
      </c>
      <c r="C26">
        <v>71210892</v>
      </c>
      <c r="D26">
        <v>67878646</v>
      </c>
      <c r="E26">
        <v>27</v>
      </c>
      <c r="F26">
        <v>1</v>
      </c>
      <c r="G26">
        <v>27</v>
      </c>
      <c r="H26">
        <v>1</v>
      </c>
      <c r="I26" t="s">
        <v>565</v>
      </c>
      <c r="J26" t="s">
        <v>3</v>
      </c>
      <c r="K26" t="s">
        <v>566</v>
      </c>
      <c r="L26">
        <v>1191</v>
      </c>
      <c r="N26">
        <v>1013</v>
      </c>
      <c r="O26" t="s">
        <v>567</v>
      </c>
      <c r="P26" t="s">
        <v>567</v>
      </c>
      <c r="Q26">
        <v>1</v>
      </c>
      <c r="X26">
        <v>18.68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18.68</v>
      </c>
      <c r="AH26">
        <v>3</v>
      </c>
      <c r="AI26">
        <v>-1</v>
      </c>
      <c r="AJ26" t="s">
        <v>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ROW(Source!A35)</f>
        <v>35</v>
      </c>
      <c r="B27">
        <v>71210908</v>
      </c>
      <c r="C27">
        <v>71210898</v>
      </c>
      <c r="D27">
        <v>67878646</v>
      </c>
      <c r="E27">
        <v>27</v>
      </c>
      <c r="F27">
        <v>1</v>
      </c>
      <c r="G27">
        <v>27</v>
      </c>
      <c r="H27">
        <v>1</v>
      </c>
      <c r="I27" t="s">
        <v>565</v>
      </c>
      <c r="J27" t="s">
        <v>3</v>
      </c>
      <c r="K27" t="s">
        <v>566</v>
      </c>
      <c r="L27">
        <v>1191</v>
      </c>
      <c r="N27">
        <v>1013</v>
      </c>
      <c r="O27" t="s">
        <v>567</v>
      </c>
      <c r="P27" t="s">
        <v>567</v>
      </c>
      <c r="Q27">
        <v>1</v>
      </c>
      <c r="X27">
        <v>11.7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 t="s">
        <v>3</v>
      </c>
      <c r="AG27">
        <v>11.7</v>
      </c>
      <c r="AH27">
        <v>3</v>
      </c>
      <c r="AI27">
        <v>-1</v>
      </c>
      <c r="AJ27" t="s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ROW(Source!A35)</f>
        <v>35</v>
      </c>
      <c r="B28">
        <v>71210909</v>
      </c>
      <c r="C28">
        <v>71210898</v>
      </c>
      <c r="D28">
        <v>67890904</v>
      </c>
      <c r="E28">
        <v>1</v>
      </c>
      <c r="F28">
        <v>1</v>
      </c>
      <c r="G28">
        <v>27</v>
      </c>
      <c r="H28">
        <v>2</v>
      </c>
      <c r="I28" t="s">
        <v>685</v>
      </c>
      <c r="J28" t="s">
        <v>686</v>
      </c>
      <c r="K28" t="s">
        <v>687</v>
      </c>
      <c r="L28">
        <v>1368</v>
      </c>
      <c r="N28">
        <v>1011</v>
      </c>
      <c r="O28" t="s">
        <v>571</v>
      </c>
      <c r="P28" t="s">
        <v>571</v>
      </c>
      <c r="Q28">
        <v>1</v>
      </c>
      <c r="X28">
        <v>1.26</v>
      </c>
      <c r="Y28">
        <v>0</v>
      </c>
      <c r="Z28">
        <v>740.94</v>
      </c>
      <c r="AA28">
        <v>413.22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1.26</v>
      </c>
      <c r="AH28">
        <v>3</v>
      </c>
      <c r="AI28">
        <v>-1</v>
      </c>
      <c r="AJ28" t="s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ROW(Source!A35)</f>
        <v>35</v>
      </c>
      <c r="B29">
        <v>71210910</v>
      </c>
      <c r="C29">
        <v>71210898</v>
      </c>
      <c r="D29">
        <v>67891086</v>
      </c>
      <c r="E29">
        <v>1</v>
      </c>
      <c r="F29">
        <v>1</v>
      </c>
      <c r="G29">
        <v>27</v>
      </c>
      <c r="H29">
        <v>2</v>
      </c>
      <c r="I29" t="s">
        <v>688</v>
      </c>
      <c r="J29" t="s">
        <v>689</v>
      </c>
      <c r="K29" t="s">
        <v>690</v>
      </c>
      <c r="L29">
        <v>1368</v>
      </c>
      <c r="N29">
        <v>1011</v>
      </c>
      <c r="O29" t="s">
        <v>571</v>
      </c>
      <c r="P29" t="s">
        <v>571</v>
      </c>
      <c r="Q29">
        <v>1</v>
      </c>
      <c r="X29">
        <v>1.7</v>
      </c>
      <c r="Y29">
        <v>0</v>
      </c>
      <c r="Z29">
        <v>1412.71</v>
      </c>
      <c r="AA29">
        <v>641.32000000000005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1.7</v>
      </c>
      <c r="AH29">
        <v>3</v>
      </c>
      <c r="AI29">
        <v>-1</v>
      </c>
      <c r="AJ29" t="s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ROW(Source!A36)</f>
        <v>36</v>
      </c>
      <c r="B30">
        <v>71210957</v>
      </c>
      <c r="C30">
        <v>71210911</v>
      </c>
      <c r="D30">
        <v>67878646</v>
      </c>
      <c r="E30">
        <v>27</v>
      </c>
      <c r="F30">
        <v>1</v>
      </c>
      <c r="G30">
        <v>27</v>
      </c>
      <c r="H30">
        <v>1</v>
      </c>
      <c r="I30" t="s">
        <v>565</v>
      </c>
      <c r="J30" t="s">
        <v>3</v>
      </c>
      <c r="K30" t="s">
        <v>566</v>
      </c>
      <c r="L30">
        <v>1191</v>
      </c>
      <c r="N30">
        <v>1013</v>
      </c>
      <c r="O30" t="s">
        <v>567</v>
      </c>
      <c r="P30" t="s">
        <v>567</v>
      </c>
      <c r="Q30">
        <v>1</v>
      </c>
      <c r="X30">
        <v>520.95000000000005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53</v>
      </c>
      <c r="AG30">
        <v>104.19000000000001</v>
      </c>
      <c r="AH30">
        <v>3</v>
      </c>
      <c r="AI30">
        <v>-1</v>
      </c>
      <c r="AJ30" t="s">
        <v>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ROW(Source!A36)</f>
        <v>36</v>
      </c>
      <c r="B31">
        <v>71210958</v>
      </c>
      <c r="C31">
        <v>71210911</v>
      </c>
      <c r="D31">
        <v>67891313</v>
      </c>
      <c r="E31">
        <v>1</v>
      </c>
      <c r="F31">
        <v>1</v>
      </c>
      <c r="G31">
        <v>27</v>
      </c>
      <c r="H31">
        <v>2</v>
      </c>
      <c r="I31" t="s">
        <v>691</v>
      </c>
      <c r="J31" t="s">
        <v>692</v>
      </c>
      <c r="K31" t="s">
        <v>693</v>
      </c>
      <c r="L31">
        <v>1368</v>
      </c>
      <c r="N31">
        <v>1011</v>
      </c>
      <c r="O31" t="s">
        <v>571</v>
      </c>
      <c r="P31" t="s">
        <v>571</v>
      </c>
      <c r="Q31">
        <v>1</v>
      </c>
      <c r="X31">
        <v>52.5</v>
      </c>
      <c r="Y31">
        <v>0</v>
      </c>
      <c r="Z31">
        <v>27.21</v>
      </c>
      <c r="AA31">
        <v>0.13</v>
      </c>
      <c r="AB31">
        <v>0</v>
      </c>
      <c r="AC31">
        <v>0</v>
      </c>
      <c r="AD31">
        <v>1</v>
      </c>
      <c r="AE31">
        <v>0</v>
      </c>
      <c r="AF31" t="s">
        <v>53</v>
      </c>
      <c r="AG31">
        <v>10.5</v>
      </c>
      <c r="AH31">
        <v>3</v>
      </c>
      <c r="AI31">
        <v>-1</v>
      </c>
      <c r="AJ31" t="s">
        <v>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ROW(Source!A36)</f>
        <v>36</v>
      </c>
      <c r="B32">
        <v>71210959</v>
      </c>
      <c r="C32">
        <v>71210911</v>
      </c>
      <c r="D32">
        <v>67891706</v>
      </c>
      <c r="E32">
        <v>1</v>
      </c>
      <c r="F32">
        <v>1</v>
      </c>
      <c r="G32">
        <v>27</v>
      </c>
      <c r="H32">
        <v>2</v>
      </c>
      <c r="I32" t="s">
        <v>694</v>
      </c>
      <c r="J32" t="s">
        <v>695</v>
      </c>
      <c r="K32" t="s">
        <v>696</v>
      </c>
      <c r="L32">
        <v>1368</v>
      </c>
      <c r="N32">
        <v>1011</v>
      </c>
      <c r="O32" t="s">
        <v>571</v>
      </c>
      <c r="P32" t="s">
        <v>571</v>
      </c>
      <c r="Q32">
        <v>1</v>
      </c>
      <c r="X32">
        <v>0.94</v>
      </c>
      <c r="Y32">
        <v>0</v>
      </c>
      <c r="Z32">
        <v>3.67</v>
      </c>
      <c r="AA32">
        <v>0.01</v>
      </c>
      <c r="AB32">
        <v>0</v>
      </c>
      <c r="AC32">
        <v>0</v>
      </c>
      <c r="AD32">
        <v>1</v>
      </c>
      <c r="AE32">
        <v>0</v>
      </c>
      <c r="AF32" t="s">
        <v>53</v>
      </c>
      <c r="AG32">
        <v>0.188</v>
      </c>
      <c r="AH32">
        <v>3</v>
      </c>
      <c r="AI32">
        <v>-1</v>
      </c>
      <c r="AJ32" t="s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ROW(Source!A36)</f>
        <v>36</v>
      </c>
      <c r="B33">
        <v>71210960</v>
      </c>
      <c r="C33">
        <v>71210911</v>
      </c>
      <c r="D33">
        <v>67890976</v>
      </c>
      <c r="E33">
        <v>1</v>
      </c>
      <c r="F33">
        <v>1</v>
      </c>
      <c r="G33">
        <v>27</v>
      </c>
      <c r="H33">
        <v>2</v>
      </c>
      <c r="I33" t="s">
        <v>697</v>
      </c>
      <c r="J33" t="s">
        <v>698</v>
      </c>
      <c r="K33" t="s">
        <v>699</v>
      </c>
      <c r="L33">
        <v>1368</v>
      </c>
      <c r="N33">
        <v>1011</v>
      </c>
      <c r="O33" t="s">
        <v>571</v>
      </c>
      <c r="P33" t="s">
        <v>571</v>
      </c>
      <c r="Q33">
        <v>1</v>
      </c>
      <c r="X33">
        <v>0.31</v>
      </c>
      <c r="Y33">
        <v>0</v>
      </c>
      <c r="Z33">
        <v>683.9</v>
      </c>
      <c r="AA33">
        <v>371.27</v>
      </c>
      <c r="AB33">
        <v>0</v>
      </c>
      <c r="AC33">
        <v>0</v>
      </c>
      <c r="AD33">
        <v>1</v>
      </c>
      <c r="AE33">
        <v>0</v>
      </c>
      <c r="AF33" t="s">
        <v>53</v>
      </c>
      <c r="AG33">
        <v>6.2E-2</v>
      </c>
      <c r="AH33">
        <v>3</v>
      </c>
      <c r="AI33">
        <v>-1</v>
      </c>
      <c r="AJ33" t="s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ROW(Source!A36)</f>
        <v>36</v>
      </c>
      <c r="B34">
        <v>71210961</v>
      </c>
      <c r="C34">
        <v>71210911</v>
      </c>
      <c r="D34">
        <v>67891146</v>
      </c>
      <c r="E34">
        <v>1</v>
      </c>
      <c r="F34">
        <v>1</v>
      </c>
      <c r="G34">
        <v>27</v>
      </c>
      <c r="H34">
        <v>2</v>
      </c>
      <c r="I34" t="s">
        <v>700</v>
      </c>
      <c r="J34" t="s">
        <v>701</v>
      </c>
      <c r="K34" t="s">
        <v>702</v>
      </c>
      <c r="L34">
        <v>1368</v>
      </c>
      <c r="N34">
        <v>1011</v>
      </c>
      <c r="O34" t="s">
        <v>571</v>
      </c>
      <c r="P34" t="s">
        <v>571</v>
      </c>
      <c r="Q34">
        <v>1</v>
      </c>
      <c r="X34">
        <v>28.38</v>
      </c>
      <c r="Y34">
        <v>0</v>
      </c>
      <c r="Z34">
        <v>10.82</v>
      </c>
      <c r="AA34">
        <v>2.97</v>
      </c>
      <c r="AB34">
        <v>0</v>
      </c>
      <c r="AC34">
        <v>0</v>
      </c>
      <c r="AD34">
        <v>1</v>
      </c>
      <c r="AE34">
        <v>0</v>
      </c>
      <c r="AF34" t="s">
        <v>53</v>
      </c>
      <c r="AG34">
        <v>5.6760000000000002</v>
      </c>
      <c r="AH34">
        <v>3</v>
      </c>
      <c r="AI34">
        <v>-1</v>
      </c>
      <c r="AJ34" t="s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ROW(Source!A36)</f>
        <v>36</v>
      </c>
      <c r="B35">
        <v>71210962</v>
      </c>
      <c r="C35">
        <v>71210911</v>
      </c>
      <c r="D35">
        <v>67892810</v>
      </c>
      <c r="E35">
        <v>1</v>
      </c>
      <c r="F35">
        <v>1</v>
      </c>
      <c r="G35">
        <v>27</v>
      </c>
      <c r="H35">
        <v>3</v>
      </c>
      <c r="I35" t="s">
        <v>572</v>
      </c>
      <c r="J35" t="s">
        <v>573</v>
      </c>
      <c r="K35" t="s">
        <v>574</v>
      </c>
      <c r="L35">
        <v>1348</v>
      </c>
      <c r="N35">
        <v>1009</v>
      </c>
      <c r="O35" t="s">
        <v>35</v>
      </c>
      <c r="P35" t="s">
        <v>35</v>
      </c>
      <c r="Q35">
        <v>1000</v>
      </c>
      <c r="X35">
        <v>0.05</v>
      </c>
      <c r="Y35">
        <v>105084.63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52</v>
      </c>
      <c r="AG35">
        <v>0</v>
      </c>
      <c r="AH35">
        <v>3</v>
      </c>
      <c r="AI35">
        <v>-1</v>
      </c>
      <c r="AJ35" t="s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ROW(Source!A36)</f>
        <v>36</v>
      </c>
      <c r="B36">
        <v>71210963</v>
      </c>
      <c r="C36">
        <v>71210911</v>
      </c>
      <c r="D36">
        <v>67892835</v>
      </c>
      <c r="E36">
        <v>1</v>
      </c>
      <c r="F36">
        <v>1</v>
      </c>
      <c r="G36">
        <v>27</v>
      </c>
      <c r="H36">
        <v>3</v>
      </c>
      <c r="I36" t="s">
        <v>703</v>
      </c>
      <c r="J36" t="s">
        <v>704</v>
      </c>
      <c r="K36" t="s">
        <v>705</v>
      </c>
      <c r="L36">
        <v>1348</v>
      </c>
      <c r="N36">
        <v>1009</v>
      </c>
      <c r="O36" t="s">
        <v>35</v>
      </c>
      <c r="P36" t="s">
        <v>35</v>
      </c>
      <c r="Q36">
        <v>1000</v>
      </c>
      <c r="X36">
        <v>2.5999999999999999E-2</v>
      </c>
      <c r="Y36">
        <v>49736.04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52</v>
      </c>
      <c r="AG36">
        <v>0</v>
      </c>
      <c r="AH36">
        <v>3</v>
      </c>
      <c r="AI36">
        <v>-1</v>
      </c>
      <c r="AJ36" t="s">
        <v>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ROW(Source!A36)</f>
        <v>36</v>
      </c>
      <c r="B37">
        <v>71210965</v>
      </c>
      <c r="C37">
        <v>71210911</v>
      </c>
      <c r="D37">
        <v>67893667</v>
      </c>
      <c r="E37">
        <v>1</v>
      </c>
      <c r="F37">
        <v>1</v>
      </c>
      <c r="G37">
        <v>27</v>
      </c>
      <c r="H37">
        <v>3</v>
      </c>
      <c r="I37" t="s">
        <v>575</v>
      </c>
      <c r="J37" t="s">
        <v>576</v>
      </c>
      <c r="K37" t="s">
        <v>577</v>
      </c>
      <c r="L37">
        <v>1348</v>
      </c>
      <c r="N37">
        <v>1009</v>
      </c>
      <c r="O37" t="s">
        <v>35</v>
      </c>
      <c r="P37" t="s">
        <v>35</v>
      </c>
      <c r="Q37">
        <v>1000</v>
      </c>
      <c r="X37">
        <v>0.06</v>
      </c>
      <c r="Y37">
        <v>110781.14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 t="s">
        <v>52</v>
      </c>
      <c r="AG37">
        <v>0</v>
      </c>
      <c r="AH37">
        <v>3</v>
      </c>
      <c r="AI37">
        <v>-1</v>
      </c>
      <c r="AJ37" t="s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ROW(Source!A36)</f>
        <v>36</v>
      </c>
      <c r="B38">
        <v>71210964</v>
      </c>
      <c r="C38">
        <v>71210911</v>
      </c>
      <c r="D38">
        <v>67891954</v>
      </c>
      <c r="E38">
        <v>1</v>
      </c>
      <c r="F38">
        <v>1</v>
      </c>
      <c r="G38">
        <v>27</v>
      </c>
      <c r="H38">
        <v>3</v>
      </c>
      <c r="I38" t="s">
        <v>706</v>
      </c>
      <c r="J38" t="s">
        <v>707</v>
      </c>
      <c r="K38" t="s">
        <v>708</v>
      </c>
      <c r="L38">
        <v>1348</v>
      </c>
      <c r="N38">
        <v>1009</v>
      </c>
      <c r="O38" t="s">
        <v>35</v>
      </c>
      <c r="P38" t="s">
        <v>35</v>
      </c>
      <c r="Q38">
        <v>1000</v>
      </c>
      <c r="X38">
        <v>2.1999999999999999E-2</v>
      </c>
      <c r="Y38">
        <v>4752.34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52</v>
      </c>
      <c r="AG38">
        <v>0</v>
      </c>
      <c r="AH38">
        <v>3</v>
      </c>
      <c r="AI38">
        <v>-1</v>
      </c>
      <c r="AJ38" t="s">
        <v>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ROW(Source!A36)</f>
        <v>36</v>
      </c>
      <c r="B39">
        <v>71210966</v>
      </c>
      <c r="C39">
        <v>71210911</v>
      </c>
      <c r="D39">
        <v>67893760</v>
      </c>
      <c r="E39">
        <v>1</v>
      </c>
      <c r="F39">
        <v>1</v>
      </c>
      <c r="G39">
        <v>27</v>
      </c>
      <c r="H39">
        <v>3</v>
      </c>
      <c r="I39" t="s">
        <v>652</v>
      </c>
      <c r="J39" t="s">
        <v>653</v>
      </c>
      <c r="K39" t="s">
        <v>654</v>
      </c>
      <c r="L39">
        <v>1339</v>
      </c>
      <c r="N39">
        <v>1007</v>
      </c>
      <c r="O39" t="s">
        <v>236</v>
      </c>
      <c r="P39" t="s">
        <v>236</v>
      </c>
      <c r="Q39">
        <v>1</v>
      </c>
      <c r="X39">
        <v>6.7000000000000004E-2</v>
      </c>
      <c r="Y39">
        <v>35.25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52</v>
      </c>
      <c r="AG39">
        <v>0</v>
      </c>
      <c r="AH39">
        <v>3</v>
      </c>
      <c r="AI39">
        <v>-1</v>
      </c>
      <c r="AJ39" t="s">
        <v>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ROW(Source!A36)</f>
        <v>36</v>
      </c>
      <c r="B40">
        <v>71210967</v>
      </c>
      <c r="C40">
        <v>71210911</v>
      </c>
      <c r="D40">
        <v>67892418</v>
      </c>
      <c r="E40">
        <v>1</v>
      </c>
      <c r="F40">
        <v>1</v>
      </c>
      <c r="G40">
        <v>27</v>
      </c>
      <c r="H40">
        <v>3</v>
      </c>
      <c r="I40" t="s">
        <v>709</v>
      </c>
      <c r="J40" t="s">
        <v>710</v>
      </c>
      <c r="K40" t="s">
        <v>711</v>
      </c>
      <c r="L40">
        <v>1339</v>
      </c>
      <c r="N40">
        <v>1007</v>
      </c>
      <c r="O40" t="s">
        <v>236</v>
      </c>
      <c r="P40" t="s">
        <v>236</v>
      </c>
      <c r="Q40">
        <v>1</v>
      </c>
      <c r="X40">
        <v>7.0000000000000007E-2</v>
      </c>
      <c r="Y40">
        <v>7064.05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52</v>
      </c>
      <c r="AG40">
        <v>0</v>
      </c>
      <c r="AH40">
        <v>3</v>
      </c>
      <c r="AI40">
        <v>-1</v>
      </c>
      <c r="AJ40" t="s">
        <v>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ROW(Source!A36)</f>
        <v>36</v>
      </c>
      <c r="B41">
        <v>71210968</v>
      </c>
      <c r="C41">
        <v>71210911</v>
      </c>
      <c r="D41">
        <v>67892462</v>
      </c>
      <c r="E41">
        <v>1</v>
      </c>
      <c r="F41">
        <v>1</v>
      </c>
      <c r="G41">
        <v>27</v>
      </c>
      <c r="H41">
        <v>3</v>
      </c>
      <c r="I41" t="s">
        <v>518</v>
      </c>
      <c r="J41" t="s">
        <v>520</v>
      </c>
      <c r="K41" t="s">
        <v>519</v>
      </c>
      <c r="L41">
        <v>1339</v>
      </c>
      <c r="N41">
        <v>1007</v>
      </c>
      <c r="O41" t="s">
        <v>236</v>
      </c>
      <c r="P41" t="s">
        <v>236</v>
      </c>
      <c r="Q41">
        <v>1</v>
      </c>
      <c r="X41">
        <v>0.87</v>
      </c>
      <c r="Y41">
        <v>7098.7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52</v>
      </c>
      <c r="AG41">
        <v>0</v>
      </c>
      <c r="AH41">
        <v>3</v>
      </c>
      <c r="AI41">
        <v>-1</v>
      </c>
      <c r="AJ41" t="s">
        <v>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ROW(Source!A36)</f>
        <v>36</v>
      </c>
      <c r="B42">
        <v>71210969</v>
      </c>
      <c r="C42">
        <v>71210911</v>
      </c>
      <c r="D42">
        <v>67894729</v>
      </c>
      <c r="E42">
        <v>1</v>
      </c>
      <c r="F42">
        <v>1</v>
      </c>
      <c r="G42">
        <v>27</v>
      </c>
      <c r="H42">
        <v>3</v>
      </c>
      <c r="I42" t="s">
        <v>613</v>
      </c>
      <c r="J42" t="s">
        <v>614</v>
      </c>
      <c r="K42" t="s">
        <v>615</v>
      </c>
      <c r="L42">
        <v>1339</v>
      </c>
      <c r="N42">
        <v>1007</v>
      </c>
      <c r="O42" t="s">
        <v>236</v>
      </c>
      <c r="P42" t="s">
        <v>236</v>
      </c>
      <c r="Q42">
        <v>1</v>
      </c>
      <c r="X42">
        <v>101.5</v>
      </c>
      <c r="Y42">
        <v>3714.73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 t="s">
        <v>52</v>
      </c>
      <c r="AG42">
        <v>0</v>
      </c>
      <c r="AH42">
        <v>3</v>
      </c>
      <c r="AI42">
        <v>-1</v>
      </c>
      <c r="AJ42" t="s">
        <v>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ROW(Source!A36)</f>
        <v>36</v>
      </c>
      <c r="B43">
        <v>71210970</v>
      </c>
      <c r="C43">
        <v>71210911</v>
      </c>
      <c r="D43">
        <v>67894979</v>
      </c>
      <c r="E43">
        <v>1</v>
      </c>
      <c r="F43">
        <v>1</v>
      </c>
      <c r="G43">
        <v>27</v>
      </c>
      <c r="H43">
        <v>3</v>
      </c>
      <c r="I43" t="s">
        <v>712</v>
      </c>
      <c r="J43" t="s">
        <v>713</v>
      </c>
      <c r="K43" t="s">
        <v>714</v>
      </c>
      <c r="L43">
        <v>1348</v>
      </c>
      <c r="N43">
        <v>1009</v>
      </c>
      <c r="O43" t="s">
        <v>35</v>
      </c>
      <c r="P43" t="s">
        <v>35</v>
      </c>
      <c r="Q43">
        <v>1000</v>
      </c>
      <c r="X43">
        <v>6</v>
      </c>
      <c r="Y43">
        <v>36434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52</v>
      </c>
      <c r="AG43">
        <v>0</v>
      </c>
      <c r="AH43">
        <v>3</v>
      </c>
      <c r="AI43">
        <v>-1</v>
      </c>
      <c r="AJ43" t="s">
        <v>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ROW(Source!A36)</f>
        <v>36</v>
      </c>
      <c r="B44">
        <v>71210971</v>
      </c>
      <c r="C44">
        <v>71210911</v>
      </c>
      <c r="D44">
        <v>67896890</v>
      </c>
      <c r="E44">
        <v>1</v>
      </c>
      <c r="F44">
        <v>1</v>
      </c>
      <c r="G44">
        <v>27</v>
      </c>
      <c r="H44">
        <v>3</v>
      </c>
      <c r="I44" t="s">
        <v>715</v>
      </c>
      <c r="J44" t="s">
        <v>716</v>
      </c>
      <c r="K44" t="s">
        <v>717</v>
      </c>
      <c r="L44">
        <v>1327</v>
      </c>
      <c r="N44">
        <v>1005</v>
      </c>
      <c r="O44" t="s">
        <v>18</v>
      </c>
      <c r="P44" t="s">
        <v>18</v>
      </c>
      <c r="Q44">
        <v>1</v>
      </c>
      <c r="X44">
        <v>42</v>
      </c>
      <c r="Y44">
        <v>241.04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52</v>
      </c>
      <c r="AG44">
        <v>0</v>
      </c>
      <c r="AH44">
        <v>3</v>
      </c>
      <c r="AI44">
        <v>-1</v>
      </c>
      <c r="AJ44" t="s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ROW(Source!A37)</f>
        <v>37</v>
      </c>
      <c r="B45">
        <v>71211018</v>
      </c>
      <c r="C45">
        <v>71210972</v>
      </c>
      <c r="D45">
        <v>67878646</v>
      </c>
      <c r="E45">
        <v>27</v>
      </c>
      <c r="F45">
        <v>1</v>
      </c>
      <c r="G45">
        <v>27</v>
      </c>
      <c r="H45">
        <v>1</v>
      </c>
      <c r="I45" t="s">
        <v>565</v>
      </c>
      <c r="J45" t="s">
        <v>3</v>
      </c>
      <c r="K45" t="s">
        <v>566</v>
      </c>
      <c r="L45">
        <v>1191</v>
      </c>
      <c r="N45">
        <v>1013</v>
      </c>
      <c r="O45" t="s">
        <v>567</v>
      </c>
      <c r="P45" t="s">
        <v>567</v>
      </c>
      <c r="Q45">
        <v>1</v>
      </c>
      <c r="X45">
        <v>1033.8499999999999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 t="s">
        <v>53</v>
      </c>
      <c r="AG45">
        <v>206.76999999999998</v>
      </c>
      <c r="AH45">
        <v>3</v>
      </c>
      <c r="AI45">
        <v>-1</v>
      </c>
      <c r="AJ45" t="s">
        <v>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ROW(Source!A37)</f>
        <v>37</v>
      </c>
      <c r="B46">
        <v>71211019</v>
      </c>
      <c r="C46">
        <v>71210972</v>
      </c>
      <c r="D46">
        <v>67891313</v>
      </c>
      <c r="E46">
        <v>1</v>
      </c>
      <c r="F46">
        <v>1</v>
      </c>
      <c r="G46">
        <v>27</v>
      </c>
      <c r="H46">
        <v>2</v>
      </c>
      <c r="I46" t="s">
        <v>691</v>
      </c>
      <c r="J46" t="s">
        <v>692</v>
      </c>
      <c r="K46" t="s">
        <v>693</v>
      </c>
      <c r="L46">
        <v>1368</v>
      </c>
      <c r="N46">
        <v>1011</v>
      </c>
      <c r="O46" t="s">
        <v>571</v>
      </c>
      <c r="P46" t="s">
        <v>571</v>
      </c>
      <c r="Q46">
        <v>1</v>
      </c>
      <c r="X46">
        <v>87.5</v>
      </c>
      <c r="Y46">
        <v>0</v>
      </c>
      <c r="Z46">
        <v>27.21</v>
      </c>
      <c r="AA46">
        <v>0.13</v>
      </c>
      <c r="AB46">
        <v>0</v>
      </c>
      <c r="AC46">
        <v>0</v>
      </c>
      <c r="AD46">
        <v>1</v>
      </c>
      <c r="AE46">
        <v>0</v>
      </c>
      <c r="AF46" t="s">
        <v>53</v>
      </c>
      <c r="AG46">
        <v>17.5</v>
      </c>
      <c r="AH46">
        <v>3</v>
      </c>
      <c r="AI46">
        <v>-1</v>
      </c>
      <c r="AJ46" t="s">
        <v>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ROW(Source!A37)</f>
        <v>37</v>
      </c>
      <c r="B47">
        <v>71211020</v>
      </c>
      <c r="C47">
        <v>71210972</v>
      </c>
      <c r="D47">
        <v>67891706</v>
      </c>
      <c r="E47">
        <v>1</v>
      </c>
      <c r="F47">
        <v>1</v>
      </c>
      <c r="G47">
        <v>27</v>
      </c>
      <c r="H47">
        <v>2</v>
      </c>
      <c r="I47" t="s">
        <v>694</v>
      </c>
      <c r="J47" t="s">
        <v>695</v>
      </c>
      <c r="K47" t="s">
        <v>696</v>
      </c>
      <c r="L47">
        <v>1368</v>
      </c>
      <c r="N47">
        <v>1011</v>
      </c>
      <c r="O47" t="s">
        <v>571</v>
      </c>
      <c r="P47" t="s">
        <v>571</v>
      </c>
      <c r="Q47">
        <v>1</v>
      </c>
      <c r="X47">
        <v>2.2999999999999998</v>
      </c>
      <c r="Y47">
        <v>0</v>
      </c>
      <c r="Z47">
        <v>3.67</v>
      </c>
      <c r="AA47">
        <v>0.01</v>
      </c>
      <c r="AB47">
        <v>0</v>
      </c>
      <c r="AC47">
        <v>0</v>
      </c>
      <c r="AD47">
        <v>1</v>
      </c>
      <c r="AE47">
        <v>0</v>
      </c>
      <c r="AF47" t="s">
        <v>53</v>
      </c>
      <c r="AG47">
        <v>0.45999999999999996</v>
      </c>
      <c r="AH47">
        <v>3</v>
      </c>
      <c r="AI47">
        <v>-1</v>
      </c>
      <c r="AJ47" t="s">
        <v>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ROW(Source!A37)</f>
        <v>37</v>
      </c>
      <c r="B48">
        <v>71211021</v>
      </c>
      <c r="C48">
        <v>71210972</v>
      </c>
      <c r="D48">
        <v>67890976</v>
      </c>
      <c r="E48">
        <v>1</v>
      </c>
      <c r="F48">
        <v>1</v>
      </c>
      <c r="G48">
        <v>27</v>
      </c>
      <c r="H48">
        <v>2</v>
      </c>
      <c r="I48" t="s">
        <v>697</v>
      </c>
      <c r="J48" t="s">
        <v>698</v>
      </c>
      <c r="K48" t="s">
        <v>699</v>
      </c>
      <c r="L48">
        <v>1368</v>
      </c>
      <c r="N48">
        <v>1011</v>
      </c>
      <c r="O48" t="s">
        <v>571</v>
      </c>
      <c r="P48" t="s">
        <v>571</v>
      </c>
      <c r="Q48">
        <v>1</v>
      </c>
      <c r="X48">
        <v>0.31</v>
      </c>
      <c r="Y48">
        <v>0</v>
      </c>
      <c r="Z48">
        <v>683.9</v>
      </c>
      <c r="AA48">
        <v>371.27</v>
      </c>
      <c r="AB48">
        <v>0</v>
      </c>
      <c r="AC48">
        <v>0</v>
      </c>
      <c r="AD48">
        <v>1</v>
      </c>
      <c r="AE48">
        <v>0</v>
      </c>
      <c r="AF48" t="s">
        <v>53</v>
      </c>
      <c r="AG48">
        <v>6.2E-2</v>
      </c>
      <c r="AH48">
        <v>3</v>
      </c>
      <c r="AI48">
        <v>-1</v>
      </c>
      <c r="AJ48" t="s">
        <v>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ROW(Source!A37)</f>
        <v>37</v>
      </c>
      <c r="B49">
        <v>71211022</v>
      </c>
      <c r="C49">
        <v>71210972</v>
      </c>
      <c r="D49">
        <v>67891146</v>
      </c>
      <c r="E49">
        <v>1</v>
      </c>
      <c r="F49">
        <v>1</v>
      </c>
      <c r="G49">
        <v>27</v>
      </c>
      <c r="H49">
        <v>2</v>
      </c>
      <c r="I49" t="s">
        <v>700</v>
      </c>
      <c r="J49" t="s">
        <v>701</v>
      </c>
      <c r="K49" t="s">
        <v>702</v>
      </c>
      <c r="L49">
        <v>1368</v>
      </c>
      <c r="N49">
        <v>1011</v>
      </c>
      <c r="O49" t="s">
        <v>571</v>
      </c>
      <c r="P49" t="s">
        <v>571</v>
      </c>
      <c r="Q49">
        <v>1</v>
      </c>
      <c r="X49">
        <v>56.25</v>
      </c>
      <c r="Y49">
        <v>0</v>
      </c>
      <c r="Z49">
        <v>10.82</v>
      </c>
      <c r="AA49">
        <v>2.97</v>
      </c>
      <c r="AB49">
        <v>0</v>
      </c>
      <c r="AC49">
        <v>0</v>
      </c>
      <c r="AD49">
        <v>1</v>
      </c>
      <c r="AE49">
        <v>0</v>
      </c>
      <c r="AF49" t="s">
        <v>53</v>
      </c>
      <c r="AG49">
        <v>11.25</v>
      </c>
      <c r="AH49">
        <v>3</v>
      </c>
      <c r="AI49">
        <v>-1</v>
      </c>
      <c r="AJ49" t="s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ROW(Source!A37)</f>
        <v>37</v>
      </c>
      <c r="B50">
        <v>71211023</v>
      </c>
      <c r="C50">
        <v>71210972</v>
      </c>
      <c r="D50">
        <v>67892810</v>
      </c>
      <c r="E50">
        <v>1</v>
      </c>
      <c r="F50">
        <v>1</v>
      </c>
      <c r="G50">
        <v>27</v>
      </c>
      <c r="H50">
        <v>3</v>
      </c>
      <c r="I50" t="s">
        <v>572</v>
      </c>
      <c r="J50" t="s">
        <v>573</v>
      </c>
      <c r="K50" t="s">
        <v>574</v>
      </c>
      <c r="L50">
        <v>1348</v>
      </c>
      <c r="N50">
        <v>1009</v>
      </c>
      <c r="O50" t="s">
        <v>35</v>
      </c>
      <c r="P50" t="s">
        <v>35</v>
      </c>
      <c r="Q50">
        <v>1000</v>
      </c>
      <c r="X50">
        <v>0.12</v>
      </c>
      <c r="Y50">
        <v>105084.63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52</v>
      </c>
      <c r="AG50">
        <v>0</v>
      </c>
      <c r="AH50">
        <v>3</v>
      </c>
      <c r="AI50">
        <v>-1</v>
      </c>
      <c r="AJ50" t="s">
        <v>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ROW(Source!A37)</f>
        <v>37</v>
      </c>
      <c r="B51">
        <v>71211024</v>
      </c>
      <c r="C51">
        <v>71210972</v>
      </c>
      <c r="D51">
        <v>67892835</v>
      </c>
      <c r="E51">
        <v>1</v>
      </c>
      <c r="F51">
        <v>1</v>
      </c>
      <c r="G51">
        <v>27</v>
      </c>
      <c r="H51">
        <v>3</v>
      </c>
      <c r="I51" t="s">
        <v>703</v>
      </c>
      <c r="J51" t="s">
        <v>704</v>
      </c>
      <c r="K51" t="s">
        <v>705</v>
      </c>
      <c r="L51">
        <v>1348</v>
      </c>
      <c r="N51">
        <v>1009</v>
      </c>
      <c r="O51" t="s">
        <v>35</v>
      </c>
      <c r="P51" t="s">
        <v>35</v>
      </c>
      <c r="Q51">
        <v>1000</v>
      </c>
      <c r="X51">
        <v>8.5999999999999993E-2</v>
      </c>
      <c r="Y51">
        <v>49736.04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 t="s">
        <v>52</v>
      </c>
      <c r="AG51">
        <v>0</v>
      </c>
      <c r="AH51">
        <v>3</v>
      </c>
      <c r="AI51">
        <v>-1</v>
      </c>
      <c r="AJ51" t="s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ROW(Source!A37)</f>
        <v>37</v>
      </c>
      <c r="B52">
        <v>71211026</v>
      </c>
      <c r="C52">
        <v>71210972</v>
      </c>
      <c r="D52">
        <v>67893667</v>
      </c>
      <c r="E52">
        <v>1</v>
      </c>
      <c r="F52">
        <v>1</v>
      </c>
      <c r="G52">
        <v>27</v>
      </c>
      <c r="H52">
        <v>3</v>
      </c>
      <c r="I52" t="s">
        <v>575</v>
      </c>
      <c r="J52" t="s">
        <v>576</v>
      </c>
      <c r="K52" t="s">
        <v>577</v>
      </c>
      <c r="L52">
        <v>1348</v>
      </c>
      <c r="N52">
        <v>1009</v>
      </c>
      <c r="O52" t="s">
        <v>35</v>
      </c>
      <c r="P52" t="s">
        <v>35</v>
      </c>
      <c r="Q52">
        <v>1000</v>
      </c>
      <c r="X52">
        <v>0.1</v>
      </c>
      <c r="Y52">
        <v>110781.14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52</v>
      </c>
      <c r="AG52">
        <v>0</v>
      </c>
      <c r="AH52">
        <v>3</v>
      </c>
      <c r="AI52">
        <v>-1</v>
      </c>
      <c r="AJ52" t="s">
        <v>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ROW(Source!A37)</f>
        <v>37</v>
      </c>
      <c r="B53">
        <v>71211025</v>
      </c>
      <c r="C53">
        <v>71210972</v>
      </c>
      <c r="D53">
        <v>67891954</v>
      </c>
      <c r="E53">
        <v>1</v>
      </c>
      <c r="F53">
        <v>1</v>
      </c>
      <c r="G53">
        <v>27</v>
      </c>
      <c r="H53">
        <v>3</v>
      </c>
      <c r="I53" t="s">
        <v>706</v>
      </c>
      <c r="J53" t="s">
        <v>707</v>
      </c>
      <c r="K53" t="s">
        <v>708</v>
      </c>
      <c r="L53">
        <v>1348</v>
      </c>
      <c r="N53">
        <v>1009</v>
      </c>
      <c r="O53" t="s">
        <v>35</v>
      </c>
      <c r="P53" t="s">
        <v>35</v>
      </c>
      <c r="Q53">
        <v>1000</v>
      </c>
      <c r="X53">
        <v>7.3999999999999996E-2</v>
      </c>
      <c r="Y53">
        <v>4752.34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 t="s">
        <v>52</v>
      </c>
      <c r="AG53">
        <v>0</v>
      </c>
      <c r="AH53">
        <v>3</v>
      </c>
      <c r="AI53">
        <v>-1</v>
      </c>
      <c r="AJ53" t="s">
        <v>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ROW(Source!A37)</f>
        <v>37</v>
      </c>
      <c r="B54">
        <v>71211027</v>
      </c>
      <c r="C54">
        <v>71210972</v>
      </c>
      <c r="D54">
        <v>67893760</v>
      </c>
      <c r="E54">
        <v>1</v>
      </c>
      <c r="F54">
        <v>1</v>
      </c>
      <c r="G54">
        <v>27</v>
      </c>
      <c r="H54">
        <v>3</v>
      </c>
      <c r="I54" t="s">
        <v>652</v>
      </c>
      <c r="J54" t="s">
        <v>653</v>
      </c>
      <c r="K54" t="s">
        <v>654</v>
      </c>
      <c r="L54">
        <v>1339</v>
      </c>
      <c r="N54">
        <v>1007</v>
      </c>
      <c r="O54" t="s">
        <v>236</v>
      </c>
      <c r="P54" t="s">
        <v>236</v>
      </c>
      <c r="Q54">
        <v>1</v>
      </c>
      <c r="X54">
        <v>0.223</v>
      </c>
      <c r="Y54">
        <v>35.25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 t="s">
        <v>52</v>
      </c>
      <c r="AG54">
        <v>0</v>
      </c>
      <c r="AH54">
        <v>3</v>
      </c>
      <c r="AI54">
        <v>-1</v>
      </c>
      <c r="AJ54" t="s">
        <v>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ROW(Source!A37)</f>
        <v>37</v>
      </c>
      <c r="B55">
        <v>71211028</v>
      </c>
      <c r="C55">
        <v>71210972</v>
      </c>
      <c r="D55">
        <v>67892418</v>
      </c>
      <c r="E55">
        <v>1</v>
      </c>
      <c r="F55">
        <v>1</v>
      </c>
      <c r="G55">
        <v>27</v>
      </c>
      <c r="H55">
        <v>3</v>
      </c>
      <c r="I55" t="s">
        <v>709</v>
      </c>
      <c r="J55" t="s">
        <v>710</v>
      </c>
      <c r="K55" t="s">
        <v>711</v>
      </c>
      <c r="L55">
        <v>1339</v>
      </c>
      <c r="N55">
        <v>1007</v>
      </c>
      <c r="O55" t="s">
        <v>236</v>
      </c>
      <c r="P55" t="s">
        <v>236</v>
      </c>
      <c r="Q55">
        <v>1</v>
      </c>
      <c r="X55">
        <v>0.19</v>
      </c>
      <c r="Y55">
        <v>7064.05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52</v>
      </c>
      <c r="AG55">
        <v>0</v>
      </c>
      <c r="AH55">
        <v>3</v>
      </c>
      <c r="AI55">
        <v>-1</v>
      </c>
      <c r="AJ55" t="s">
        <v>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ROW(Source!A37)</f>
        <v>37</v>
      </c>
      <c r="B56">
        <v>71211029</v>
      </c>
      <c r="C56">
        <v>71210972</v>
      </c>
      <c r="D56">
        <v>67892462</v>
      </c>
      <c r="E56">
        <v>1</v>
      </c>
      <c r="F56">
        <v>1</v>
      </c>
      <c r="G56">
        <v>27</v>
      </c>
      <c r="H56">
        <v>3</v>
      </c>
      <c r="I56" t="s">
        <v>518</v>
      </c>
      <c r="J56" t="s">
        <v>520</v>
      </c>
      <c r="K56" t="s">
        <v>519</v>
      </c>
      <c r="L56">
        <v>1339</v>
      </c>
      <c r="N56">
        <v>1007</v>
      </c>
      <c r="O56" t="s">
        <v>236</v>
      </c>
      <c r="P56" t="s">
        <v>236</v>
      </c>
      <c r="Q56">
        <v>1</v>
      </c>
      <c r="X56">
        <v>2.2000000000000002</v>
      </c>
      <c r="Y56">
        <v>7098.7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52</v>
      </c>
      <c r="AG56">
        <v>0</v>
      </c>
      <c r="AH56">
        <v>3</v>
      </c>
      <c r="AI56">
        <v>-1</v>
      </c>
      <c r="AJ56" t="s">
        <v>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ROW(Source!A37)</f>
        <v>37</v>
      </c>
      <c r="B57">
        <v>71211030</v>
      </c>
      <c r="C57">
        <v>71210972</v>
      </c>
      <c r="D57">
        <v>67894729</v>
      </c>
      <c r="E57">
        <v>1</v>
      </c>
      <c r="F57">
        <v>1</v>
      </c>
      <c r="G57">
        <v>27</v>
      </c>
      <c r="H57">
        <v>3</v>
      </c>
      <c r="I57" t="s">
        <v>613</v>
      </c>
      <c r="J57" t="s">
        <v>614</v>
      </c>
      <c r="K57" t="s">
        <v>615</v>
      </c>
      <c r="L57">
        <v>1339</v>
      </c>
      <c r="N57">
        <v>1007</v>
      </c>
      <c r="O57" t="s">
        <v>236</v>
      </c>
      <c r="P57" t="s">
        <v>236</v>
      </c>
      <c r="Q57">
        <v>1</v>
      </c>
      <c r="X57">
        <v>101.5</v>
      </c>
      <c r="Y57">
        <v>3714.73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52</v>
      </c>
      <c r="AG57">
        <v>0</v>
      </c>
      <c r="AH57">
        <v>3</v>
      </c>
      <c r="AI57">
        <v>-1</v>
      </c>
      <c r="AJ57" t="s">
        <v>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ROW(Source!A37)</f>
        <v>37</v>
      </c>
      <c r="B58">
        <v>71211031</v>
      </c>
      <c r="C58">
        <v>71210972</v>
      </c>
      <c r="D58">
        <v>67894979</v>
      </c>
      <c r="E58">
        <v>1</v>
      </c>
      <c r="F58">
        <v>1</v>
      </c>
      <c r="G58">
        <v>27</v>
      </c>
      <c r="H58">
        <v>3</v>
      </c>
      <c r="I58" t="s">
        <v>712</v>
      </c>
      <c r="J58" t="s">
        <v>713</v>
      </c>
      <c r="K58" t="s">
        <v>714</v>
      </c>
      <c r="L58">
        <v>1348</v>
      </c>
      <c r="N58">
        <v>1009</v>
      </c>
      <c r="O58" t="s">
        <v>35</v>
      </c>
      <c r="P58" t="s">
        <v>35</v>
      </c>
      <c r="Q58">
        <v>1000</v>
      </c>
      <c r="X58">
        <v>10.119999999999999</v>
      </c>
      <c r="Y58">
        <v>36434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52</v>
      </c>
      <c r="AG58">
        <v>0</v>
      </c>
      <c r="AH58">
        <v>3</v>
      </c>
      <c r="AI58">
        <v>-1</v>
      </c>
      <c r="AJ58" t="s">
        <v>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ROW(Source!A37)</f>
        <v>37</v>
      </c>
      <c r="B59">
        <v>71211032</v>
      </c>
      <c r="C59">
        <v>71210972</v>
      </c>
      <c r="D59">
        <v>67896890</v>
      </c>
      <c r="E59">
        <v>1</v>
      </c>
      <c r="F59">
        <v>1</v>
      </c>
      <c r="G59">
        <v>27</v>
      </c>
      <c r="H59">
        <v>3</v>
      </c>
      <c r="I59" t="s">
        <v>715</v>
      </c>
      <c r="J59" t="s">
        <v>716</v>
      </c>
      <c r="K59" t="s">
        <v>717</v>
      </c>
      <c r="L59">
        <v>1327</v>
      </c>
      <c r="N59">
        <v>1005</v>
      </c>
      <c r="O59" t="s">
        <v>18</v>
      </c>
      <c r="P59" t="s">
        <v>18</v>
      </c>
      <c r="Q59">
        <v>1</v>
      </c>
      <c r="X59">
        <v>103</v>
      </c>
      <c r="Y59">
        <v>241.04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52</v>
      </c>
      <c r="AG59">
        <v>0</v>
      </c>
      <c r="AH59">
        <v>3</v>
      </c>
      <c r="AI59">
        <v>-1</v>
      </c>
      <c r="AJ59" t="s">
        <v>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ROW(Source!A38)</f>
        <v>38</v>
      </c>
      <c r="B60">
        <v>71211054</v>
      </c>
      <c r="C60">
        <v>71211033</v>
      </c>
      <c r="D60">
        <v>67878646</v>
      </c>
      <c r="E60">
        <v>27</v>
      </c>
      <c r="F60">
        <v>1</v>
      </c>
      <c r="G60">
        <v>27</v>
      </c>
      <c r="H60">
        <v>1</v>
      </c>
      <c r="I60" t="s">
        <v>565</v>
      </c>
      <c r="J60" t="s">
        <v>3</v>
      </c>
      <c r="K60" t="s">
        <v>566</v>
      </c>
      <c r="L60">
        <v>1191</v>
      </c>
      <c r="N60">
        <v>1013</v>
      </c>
      <c r="O60" t="s">
        <v>567</v>
      </c>
      <c r="P60" t="s">
        <v>567</v>
      </c>
      <c r="Q60">
        <v>1</v>
      </c>
      <c r="X60">
        <v>87.4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 t="s">
        <v>53</v>
      </c>
      <c r="AG60">
        <v>17.48</v>
      </c>
      <c r="AH60">
        <v>3</v>
      </c>
      <c r="AI60">
        <v>-1</v>
      </c>
      <c r="AJ60" t="s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ROW(Source!A38)</f>
        <v>38</v>
      </c>
      <c r="B61">
        <v>71211055</v>
      </c>
      <c r="C61">
        <v>71211033</v>
      </c>
      <c r="D61">
        <v>67890991</v>
      </c>
      <c r="E61">
        <v>1</v>
      </c>
      <c r="F61">
        <v>1</v>
      </c>
      <c r="G61">
        <v>27</v>
      </c>
      <c r="H61">
        <v>2</v>
      </c>
      <c r="I61" t="s">
        <v>568</v>
      </c>
      <c r="J61" t="s">
        <v>569</v>
      </c>
      <c r="K61" t="s">
        <v>570</v>
      </c>
      <c r="L61">
        <v>1368</v>
      </c>
      <c r="N61">
        <v>1011</v>
      </c>
      <c r="O61" t="s">
        <v>571</v>
      </c>
      <c r="P61" t="s">
        <v>571</v>
      </c>
      <c r="Q61">
        <v>1</v>
      </c>
      <c r="X61">
        <v>19</v>
      </c>
      <c r="Y61">
        <v>0</v>
      </c>
      <c r="Z61">
        <v>31</v>
      </c>
      <c r="AA61">
        <v>1.35</v>
      </c>
      <c r="AB61">
        <v>0</v>
      </c>
      <c r="AC61">
        <v>0</v>
      </c>
      <c r="AD61">
        <v>1</v>
      </c>
      <c r="AE61">
        <v>0</v>
      </c>
      <c r="AF61" t="s">
        <v>53</v>
      </c>
      <c r="AG61">
        <v>3.8000000000000003</v>
      </c>
      <c r="AH61">
        <v>3</v>
      </c>
      <c r="AI61">
        <v>-1</v>
      </c>
      <c r="AJ61" t="s">
        <v>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ROW(Source!A38)</f>
        <v>38</v>
      </c>
      <c r="B62">
        <v>71211056</v>
      </c>
      <c r="C62">
        <v>71211033</v>
      </c>
      <c r="D62">
        <v>67892810</v>
      </c>
      <c r="E62">
        <v>1</v>
      </c>
      <c r="F62">
        <v>1</v>
      </c>
      <c r="G62">
        <v>27</v>
      </c>
      <c r="H62">
        <v>3</v>
      </c>
      <c r="I62" t="s">
        <v>572</v>
      </c>
      <c r="J62" t="s">
        <v>573</v>
      </c>
      <c r="K62" t="s">
        <v>574</v>
      </c>
      <c r="L62">
        <v>1348</v>
      </c>
      <c r="N62">
        <v>1009</v>
      </c>
      <c r="O62" t="s">
        <v>35</v>
      </c>
      <c r="P62" t="s">
        <v>35</v>
      </c>
      <c r="Q62">
        <v>1000</v>
      </c>
      <c r="X62">
        <v>3.3E-3</v>
      </c>
      <c r="Y62">
        <v>105084.63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52</v>
      </c>
      <c r="AG62">
        <v>0</v>
      </c>
      <c r="AH62">
        <v>3</v>
      </c>
      <c r="AI62">
        <v>-1</v>
      </c>
      <c r="AJ62" t="s">
        <v>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ROW(Source!A38)</f>
        <v>38</v>
      </c>
      <c r="B63">
        <v>71211057</v>
      </c>
      <c r="C63">
        <v>71211033</v>
      </c>
      <c r="D63">
        <v>67893667</v>
      </c>
      <c r="E63">
        <v>1</v>
      </c>
      <c r="F63">
        <v>1</v>
      </c>
      <c r="G63">
        <v>27</v>
      </c>
      <c r="H63">
        <v>3</v>
      </c>
      <c r="I63" t="s">
        <v>575</v>
      </c>
      <c r="J63" t="s">
        <v>576</v>
      </c>
      <c r="K63" t="s">
        <v>577</v>
      </c>
      <c r="L63">
        <v>1348</v>
      </c>
      <c r="N63">
        <v>1009</v>
      </c>
      <c r="O63" t="s">
        <v>35</v>
      </c>
      <c r="P63" t="s">
        <v>35</v>
      </c>
      <c r="Q63">
        <v>1000</v>
      </c>
      <c r="X63">
        <v>1.4E-3</v>
      </c>
      <c r="Y63">
        <v>110781.14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 t="s">
        <v>52</v>
      </c>
      <c r="AG63">
        <v>0</v>
      </c>
      <c r="AH63">
        <v>3</v>
      </c>
      <c r="AI63">
        <v>-1</v>
      </c>
      <c r="AJ63" t="s">
        <v>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ROW(Source!A38)</f>
        <v>38</v>
      </c>
      <c r="B64">
        <v>71211058</v>
      </c>
      <c r="C64">
        <v>71211033</v>
      </c>
      <c r="D64">
        <v>67895782</v>
      </c>
      <c r="E64">
        <v>1</v>
      </c>
      <c r="F64">
        <v>1</v>
      </c>
      <c r="G64">
        <v>27</v>
      </c>
      <c r="H64">
        <v>3</v>
      </c>
      <c r="I64" t="s">
        <v>586</v>
      </c>
      <c r="J64" t="s">
        <v>587</v>
      </c>
      <c r="K64" t="s">
        <v>588</v>
      </c>
      <c r="L64">
        <v>1348</v>
      </c>
      <c r="N64">
        <v>1009</v>
      </c>
      <c r="O64" t="s">
        <v>35</v>
      </c>
      <c r="P64" t="s">
        <v>35</v>
      </c>
      <c r="Q64">
        <v>1000</v>
      </c>
      <c r="X64">
        <v>1</v>
      </c>
      <c r="Y64">
        <v>75026.559999999998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 t="s">
        <v>52</v>
      </c>
      <c r="AG64">
        <v>0</v>
      </c>
      <c r="AH64">
        <v>3</v>
      </c>
      <c r="AI64">
        <v>-1</v>
      </c>
      <c r="AJ64" t="s">
        <v>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ROW(Source!A39)</f>
        <v>39</v>
      </c>
      <c r="B65">
        <v>71211068</v>
      </c>
      <c r="C65">
        <v>71211059</v>
      </c>
      <c r="D65">
        <v>67878646</v>
      </c>
      <c r="E65">
        <v>27</v>
      </c>
      <c r="F65">
        <v>1</v>
      </c>
      <c r="G65">
        <v>27</v>
      </c>
      <c r="H65">
        <v>1</v>
      </c>
      <c r="I65" t="s">
        <v>565</v>
      </c>
      <c r="J65" t="s">
        <v>3</v>
      </c>
      <c r="K65" t="s">
        <v>566</v>
      </c>
      <c r="L65">
        <v>1191</v>
      </c>
      <c r="N65">
        <v>1013</v>
      </c>
      <c r="O65" t="s">
        <v>567</v>
      </c>
      <c r="P65" t="s">
        <v>567</v>
      </c>
      <c r="Q65">
        <v>1</v>
      </c>
      <c r="X65">
        <v>15.16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 t="s">
        <v>3</v>
      </c>
      <c r="AG65">
        <v>15.16</v>
      </c>
      <c r="AH65">
        <v>3</v>
      </c>
      <c r="AI65">
        <v>-1</v>
      </c>
      <c r="AJ65" t="s">
        <v>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ROW(Source!A39)</f>
        <v>39</v>
      </c>
      <c r="B66">
        <v>71211069</v>
      </c>
      <c r="C66">
        <v>71211059</v>
      </c>
      <c r="D66">
        <v>67880404</v>
      </c>
      <c r="E66">
        <v>27</v>
      </c>
      <c r="F66">
        <v>1</v>
      </c>
      <c r="G66">
        <v>27</v>
      </c>
      <c r="H66">
        <v>3</v>
      </c>
      <c r="I66" t="s">
        <v>584</v>
      </c>
      <c r="J66" t="s">
        <v>3</v>
      </c>
      <c r="K66" t="s">
        <v>585</v>
      </c>
      <c r="L66">
        <v>1348</v>
      </c>
      <c r="N66">
        <v>1009</v>
      </c>
      <c r="O66" t="s">
        <v>35</v>
      </c>
      <c r="P66" t="s">
        <v>35</v>
      </c>
      <c r="Q66">
        <v>1000</v>
      </c>
      <c r="X66">
        <v>1.4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1.4</v>
      </c>
      <c r="AH66">
        <v>3</v>
      </c>
      <c r="AI66">
        <v>-1</v>
      </c>
      <c r="AJ66" t="s">
        <v>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ROW(Source!A40)</f>
        <v>40</v>
      </c>
      <c r="B67">
        <v>71211080</v>
      </c>
      <c r="C67">
        <v>71211070</v>
      </c>
      <c r="D67">
        <v>67878646</v>
      </c>
      <c r="E67">
        <v>27</v>
      </c>
      <c r="F67">
        <v>1</v>
      </c>
      <c r="G67">
        <v>27</v>
      </c>
      <c r="H67">
        <v>1</v>
      </c>
      <c r="I67" t="s">
        <v>565</v>
      </c>
      <c r="J67" t="s">
        <v>3</v>
      </c>
      <c r="K67" t="s">
        <v>566</v>
      </c>
      <c r="L67">
        <v>1191</v>
      </c>
      <c r="N67">
        <v>1013</v>
      </c>
      <c r="O67" t="s">
        <v>567</v>
      </c>
      <c r="P67" t="s">
        <v>567</v>
      </c>
      <c r="Q67">
        <v>1</v>
      </c>
      <c r="X67">
        <v>171.82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 t="s">
        <v>3</v>
      </c>
      <c r="AG67">
        <v>171.82</v>
      </c>
      <c r="AH67">
        <v>3</v>
      </c>
      <c r="AI67">
        <v>-1</v>
      </c>
      <c r="AJ67" t="s">
        <v>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ROW(Source!A40)</f>
        <v>40</v>
      </c>
      <c r="B68">
        <v>71211081</v>
      </c>
      <c r="C68">
        <v>71211070</v>
      </c>
      <c r="D68">
        <v>67891707</v>
      </c>
      <c r="E68">
        <v>1</v>
      </c>
      <c r="F68">
        <v>1</v>
      </c>
      <c r="G68">
        <v>27</v>
      </c>
      <c r="H68">
        <v>2</v>
      </c>
      <c r="I68" t="s">
        <v>601</v>
      </c>
      <c r="J68" t="s">
        <v>602</v>
      </c>
      <c r="K68" t="s">
        <v>603</v>
      </c>
      <c r="L68">
        <v>1368</v>
      </c>
      <c r="N68">
        <v>1011</v>
      </c>
      <c r="O68" t="s">
        <v>571</v>
      </c>
      <c r="P68" t="s">
        <v>571</v>
      </c>
      <c r="Q68">
        <v>1</v>
      </c>
      <c r="X68">
        <v>6.16</v>
      </c>
      <c r="Y68">
        <v>0</v>
      </c>
      <c r="Z68">
        <v>4.16</v>
      </c>
      <c r="AA68">
        <v>0.01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6.16</v>
      </c>
      <c r="AH68">
        <v>3</v>
      </c>
      <c r="AI68">
        <v>-1</v>
      </c>
      <c r="AJ68" t="s">
        <v>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ROW(Source!A40)</f>
        <v>40</v>
      </c>
      <c r="B69">
        <v>71211082</v>
      </c>
      <c r="C69">
        <v>71211070</v>
      </c>
      <c r="D69">
        <v>67880404</v>
      </c>
      <c r="E69">
        <v>27</v>
      </c>
      <c r="F69">
        <v>1</v>
      </c>
      <c r="G69">
        <v>27</v>
      </c>
      <c r="H69">
        <v>3</v>
      </c>
      <c r="I69" t="s">
        <v>584</v>
      </c>
      <c r="J69" t="s">
        <v>3</v>
      </c>
      <c r="K69" t="s">
        <v>585</v>
      </c>
      <c r="L69">
        <v>1348</v>
      </c>
      <c r="N69">
        <v>1009</v>
      </c>
      <c r="O69" t="s">
        <v>35</v>
      </c>
      <c r="P69" t="s">
        <v>35</v>
      </c>
      <c r="Q69">
        <v>1000</v>
      </c>
      <c r="X69">
        <v>17.82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17.82</v>
      </c>
      <c r="AH69">
        <v>3</v>
      </c>
      <c r="AI69">
        <v>-1</v>
      </c>
      <c r="AJ69" t="s">
        <v>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ROW(Source!A41)</f>
        <v>41</v>
      </c>
      <c r="B70">
        <v>71211088</v>
      </c>
      <c r="C70">
        <v>71211083</v>
      </c>
      <c r="D70">
        <v>67878646</v>
      </c>
      <c r="E70">
        <v>27</v>
      </c>
      <c r="F70">
        <v>1</v>
      </c>
      <c r="G70">
        <v>27</v>
      </c>
      <c r="H70">
        <v>1</v>
      </c>
      <c r="I70" t="s">
        <v>565</v>
      </c>
      <c r="J70" t="s">
        <v>3</v>
      </c>
      <c r="K70" t="s">
        <v>566</v>
      </c>
      <c r="L70">
        <v>1191</v>
      </c>
      <c r="N70">
        <v>1013</v>
      </c>
      <c r="O70" t="s">
        <v>567</v>
      </c>
      <c r="P70" t="s">
        <v>567</v>
      </c>
      <c r="Q70">
        <v>1</v>
      </c>
      <c r="X70">
        <v>9.6999999999999993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 t="s">
        <v>3</v>
      </c>
      <c r="AG70">
        <v>9.6999999999999993</v>
      </c>
      <c r="AH70">
        <v>3</v>
      </c>
      <c r="AI70">
        <v>-1</v>
      </c>
      <c r="AJ70" t="s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ROW(Source!A42)</f>
        <v>42</v>
      </c>
      <c r="B71">
        <v>71211108</v>
      </c>
      <c r="C71">
        <v>71211089</v>
      </c>
      <c r="D71">
        <v>67878646</v>
      </c>
      <c r="E71">
        <v>27</v>
      </c>
      <c r="F71">
        <v>1</v>
      </c>
      <c r="G71">
        <v>27</v>
      </c>
      <c r="H71">
        <v>1</v>
      </c>
      <c r="I71" t="s">
        <v>565</v>
      </c>
      <c r="J71" t="s">
        <v>3</v>
      </c>
      <c r="K71" t="s">
        <v>566</v>
      </c>
      <c r="L71">
        <v>1191</v>
      </c>
      <c r="N71">
        <v>1013</v>
      </c>
      <c r="O71" t="s">
        <v>567</v>
      </c>
      <c r="P71" t="s">
        <v>567</v>
      </c>
      <c r="Q71">
        <v>1</v>
      </c>
      <c r="X71">
        <v>37.76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 t="s">
        <v>53</v>
      </c>
      <c r="AG71">
        <v>7.5519999999999996</v>
      </c>
      <c r="AH71">
        <v>3</v>
      </c>
      <c r="AI71">
        <v>-1</v>
      </c>
      <c r="AJ71" t="s">
        <v>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ROW(Source!A42)</f>
        <v>42</v>
      </c>
      <c r="B72">
        <v>71211109</v>
      </c>
      <c r="C72">
        <v>71211089</v>
      </c>
      <c r="D72">
        <v>67890976</v>
      </c>
      <c r="E72">
        <v>1</v>
      </c>
      <c r="F72">
        <v>1</v>
      </c>
      <c r="G72">
        <v>27</v>
      </c>
      <c r="H72">
        <v>2</v>
      </c>
      <c r="I72" t="s">
        <v>697</v>
      </c>
      <c r="J72" t="s">
        <v>698</v>
      </c>
      <c r="K72" t="s">
        <v>699</v>
      </c>
      <c r="L72">
        <v>1368</v>
      </c>
      <c r="N72">
        <v>1011</v>
      </c>
      <c r="O72" t="s">
        <v>571</v>
      </c>
      <c r="P72" t="s">
        <v>571</v>
      </c>
      <c r="Q72">
        <v>1</v>
      </c>
      <c r="X72">
        <v>1.06</v>
      </c>
      <c r="Y72">
        <v>0</v>
      </c>
      <c r="Z72">
        <v>683.9</v>
      </c>
      <c r="AA72">
        <v>371.27</v>
      </c>
      <c r="AB72">
        <v>0</v>
      </c>
      <c r="AC72">
        <v>0</v>
      </c>
      <c r="AD72">
        <v>1</v>
      </c>
      <c r="AE72">
        <v>0</v>
      </c>
      <c r="AF72" t="s">
        <v>53</v>
      </c>
      <c r="AG72">
        <v>0.21200000000000002</v>
      </c>
      <c r="AH72">
        <v>3</v>
      </c>
      <c r="AI72">
        <v>-1</v>
      </c>
      <c r="AJ72" t="s">
        <v>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ROW(Source!A42)</f>
        <v>42</v>
      </c>
      <c r="B73">
        <v>71211110</v>
      </c>
      <c r="C73">
        <v>71211089</v>
      </c>
      <c r="D73">
        <v>67892835</v>
      </c>
      <c r="E73">
        <v>1</v>
      </c>
      <c r="F73">
        <v>1</v>
      </c>
      <c r="G73">
        <v>27</v>
      </c>
      <c r="H73">
        <v>3</v>
      </c>
      <c r="I73" t="s">
        <v>703</v>
      </c>
      <c r="J73" t="s">
        <v>704</v>
      </c>
      <c r="K73" t="s">
        <v>705</v>
      </c>
      <c r="L73">
        <v>1348</v>
      </c>
      <c r="N73">
        <v>1009</v>
      </c>
      <c r="O73" t="s">
        <v>35</v>
      </c>
      <c r="P73" t="s">
        <v>35</v>
      </c>
      <c r="Q73">
        <v>1000</v>
      </c>
      <c r="X73">
        <v>1E-3</v>
      </c>
      <c r="Y73">
        <v>49736.04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 t="s">
        <v>52</v>
      </c>
      <c r="AG73">
        <v>0</v>
      </c>
      <c r="AH73">
        <v>3</v>
      </c>
      <c r="AI73">
        <v>-1</v>
      </c>
      <c r="AJ73" t="s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ROW(Source!A42)</f>
        <v>42</v>
      </c>
      <c r="B74">
        <v>71211111</v>
      </c>
      <c r="C74">
        <v>71211089</v>
      </c>
      <c r="D74">
        <v>67892460</v>
      </c>
      <c r="E74">
        <v>1</v>
      </c>
      <c r="F74">
        <v>1</v>
      </c>
      <c r="G74">
        <v>27</v>
      </c>
      <c r="H74">
        <v>3</v>
      </c>
      <c r="I74" t="s">
        <v>718</v>
      </c>
      <c r="J74" t="s">
        <v>719</v>
      </c>
      <c r="K74" t="s">
        <v>720</v>
      </c>
      <c r="L74">
        <v>1339</v>
      </c>
      <c r="N74">
        <v>1007</v>
      </c>
      <c r="O74" t="s">
        <v>236</v>
      </c>
      <c r="P74" t="s">
        <v>236</v>
      </c>
      <c r="Q74">
        <v>1</v>
      </c>
      <c r="X74">
        <v>0.17</v>
      </c>
      <c r="Y74">
        <v>7103.4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 t="s">
        <v>52</v>
      </c>
      <c r="AG74">
        <v>0</v>
      </c>
      <c r="AH74">
        <v>3</v>
      </c>
      <c r="AI74">
        <v>-1</v>
      </c>
      <c r="AJ74" t="s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ROW(Source!A42)</f>
        <v>42</v>
      </c>
      <c r="B75">
        <v>71211112</v>
      </c>
      <c r="C75">
        <v>71211089</v>
      </c>
      <c r="D75">
        <v>67894726</v>
      </c>
      <c r="E75">
        <v>1</v>
      </c>
      <c r="F75">
        <v>1</v>
      </c>
      <c r="G75">
        <v>27</v>
      </c>
      <c r="H75">
        <v>3</v>
      </c>
      <c r="I75" t="s">
        <v>721</v>
      </c>
      <c r="J75" t="s">
        <v>722</v>
      </c>
      <c r="K75" t="s">
        <v>723</v>
      </c>
      <c r="L75">
        <v>1339</v>
      </c>
      <c r="N75">
        <v>1007</v>
      </c>
      <c r="O75" t="s">
        <v>236</v>
      </c>
      <c r="P75" t="s">
        <v>236</v>
      </c>
      <c r="Q75">
        <v>1</v>
      </c>
      <c r="X75">
        <v>4.8</v>
      </c>
      <c r="Y75">
        <v>3544.73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 t="s">
        <v>52</v>
      </c>
      <c r="AG75">
        <v>0</v>
      </c>
      <c r="AH75">
        <v>3</v>
      </c>
      <c r="AI75">
        <v>-1</v>
      </c>
      <c r="AJ75" t="s">
        <v>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ROW(Source!A42)</f>
        <v>42</v>
      </c>
      <c r="B76">
        <v>71211113</v>
      </c>
      <c r="C76">
        <v>71211089</v>
      </c>
      <c r="D76">
        <v>67895674</v>
      </c>
      <c r="E76">
        <v>1</v>
      </c>
      <c r="F76">
        <v>1</v>
      </c>
      <c r="G76">
        <v>27</v>
      </c>
      <c r="H76">
        <v>3</v>
      </c>
      <c r="I76" t="s">
        <v>724</v>
      </c>
      <c r="J76" t="s">
        <v>725</v>
      </c>
      <c r="K76" t="s">
        <v>726</v>
      </c>
      <c r="L76">
        <v>1035</v>
      </c>
      <c r="N76">
        <v>1013</v>
      </c>
      <c r="O76" t="s">
        <v>377</v>
      </c>
      <c r="P76" t="s">
        <v>377</v>
      </c>
      <c r="Q76">
        <v>1</v>
      </c>
      <c r="X76">
        <v>100</v>
      </c>
      <c r="Y76">
        <v>5241.12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 t="s">
        <v>52</v>
      </c>
      <c r="AG76">
        <v>0</v>
      </c>
      <c r="AH76">
        <v>3</v>
      </c>
      <c r="AI76">
        <v>-1</v>
      </c>
      <c r="AJ76" t="s">
        <v>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ROW(Source!A43)</f>
        <v>43</v>
      </c>
      <c r="B77">
        <v>71211135</v>
      </c>
      <c r="C77">
        <v>71211114</v>
      </c>
      <c r="D77">
        <v>67878646</v>
      </c>
      <c r="E77">
        <v>27</v>
      </c>
      <c r="F77">
        <v>1</v>
      </c>
      <c r="G77">
        <v>27</v>
      </c>
      <c r="H77">
        <v>1</v>
      </c>
      <c r="I77" t="s">
        <v>565</v>
      </c>
      <c r="J77" t="s">
        <v>3</v>
      </c>
      <c r="K77" t="s">
        <v>566</v>
      </c>
      <c r="L77">
        <v>1191</v>
      </c>
      <c r="N77">
        <v>1013</v>
      </c>
      <c r="O77" t="s">
        <v>567</v>
      </c>
      <c r="P77" t="s">
        <v>567</v>
      </c>
      <c r="Q77">
        <v>1</v>
      </c>
      <c r="X77">
        <v>340.81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 t="s">
        <v>53</v>
      </c>
      <c r="AG77">
        <v>68.162000000000006</v>
      </c>
      <c r="AH77">
        <v>3</v>
      </c>
      <c r="AI77">
        <v>-1</v>
      </c>
      <c r="AJ77" t="s">
        <v>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ROW(Source!A43)</f>
        <v>43</v>
      </c>
      <c r="B78">
        <v>71211136</v>
      </c>
      <c r="C78">
        <v>71211114</v>
      </c>
      <c r="D78">
        <v>67891314</v>
      </c>
      <c r="E78">
        <v>1</v>
      </c>
      <c r="F78">
        <v>1</v>
      </c>
      <c r="G78">
        <v>27</v>
      </c>
      <c r="H78">
        <v>2</v>
      </c>
      <c r="I78" t="s">
        <v>727</v>
      </c>
      <c r="J78" t="s">
        <v>728</v>
      </c>
      <c r="K78" t="s">
        <v>729</v>
      </c>
      <c r="L78">
        <v>1368</v>
      </c>
      <c r="N78">
        <v>1011</v>
      </c>
      <c r="O78" t="s">
        <v>571</v>
      </c>
      <c r="P78" t="s">
        <v>571</v>
      </c>
      <c r="Q78">
        <v>1</v>
      </c>
      <c r="X78">
        <v>39</v>
      </c>
      <c r="Y78">
        <v>0</v>
      </c>
      <c r="Z78">
        <v>351.29</v>
      </c>
      <c r="AA78">
        <v>7.02</v>
      </c>
      <c r="AB78">
        <v>0</v>
      </c>
      <c r="AC78">
        <v>0</v>
      </c>
      <c r="AD78">
        <v>1</v>
      </c>
      <c r="AE78">
        <v>0</v>
      </c>
      <c r="AF78" t="s">
        <v>53</v>
      </c>
      <c r="AG78">
        <v>7.8000000000000007</v>
      </c>
      <c r="AH78">
        <v>3</v>
      </c>
      <c r="AI78">
        <v>-1</v>
      </c>
      <c r="AJ78" t="s">
        <v>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ROW(Source!A43)</f>
        <v>43</v>
      </c>
      <c r="B79">
        <v>71211137</v>
      </c>
      <c r="C79">
        <v>71211114</v>
      </c>
      <c r="D79">
        <v>67891699</v>
      </c>
      <c r="E79">
        <v>1</v>
      </c>
      <c r="F79">
        <v>1</v>
      </c>
      <c r="G79">
        <v>27</v>
      </c>
      <c r="H79">
        <v>2</v>
      </c>
      <c r="I79" t="s">
        <v>730</v>
      </c>
      <c r="J79" t="s">
        <v>731</v>
      </c>
      <c r="K79" t="s">
        <v>732</v>
      </c>
      <c r="L79">
        <v>1368</v>
      </c>
      <c r="N79">
        <v>1011</v>
      </c>
      <c r="O79" t="s">
        <v>571</v>
      </c>
      <c r="P79" t="s">
        <v>571</v>
      </c>
      <c r="Q79">
        <v>1</v>
      </c>
      <c r="X79">
        <v>0.52</v>
      </c>
      <c r="Y79">
        <v>0</v>
      </c>
      <c r="Z79">
        <v>5.94</v>
      </c>
      <c r="AA79">
        <v>0.02</v>
      </c>
      <c r="AB79">
        <v>0</v>
      </c>
      <c r="AC79">
        <v>0</v>
      </c>
      <c r="AD79">
        <v>1</v>
      </c>
      <c r="AE79">
        <v>0</v>
      </c>
      <c r="AF79" t="s">
        <v>53</v>
      </c>
      <c r="AG79">
        <v>0.10400000000000001</v>
      </c>
      <c r="AH79">
        <v>3</v>
      </c>
      <c r="AI79">
        <v>-1</v>
      </c>
      <c r="AJ79" t="s">
        <v>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ROW(Source!A43)</f>
        <v>43</v>
      </c>
      <c r="B80">
        <v>71211138</v>
      </c>
      <c r="C80">
        <v>71211114</v>
      </c>
      <c r="D80">
        <v>67891146</v>
      </c>
      <c r="E80">
        <v>1</v>
      </c>
      <c r="F80">
        <v>1</v>
      </c>
      <c r="G80">
        <v>27</v>
      </c>
      <c r="H80">
        <v>2</v>
      </c>
      <c r="I80" t="s">
        <v>700</v>
      </c>
      <c r="J80" t="s">
        <v>701</v>
      </c>
      <c r="K80" t="s">
        <v>702</v>
      </c>
      <c r="L80">
        <v>1368</v>
      </c>
      <c r="N80">
        <v>1011</v>
      </c>
      <c r="O80" t="s">
        <v>571</v>
      </c>
      <c r="P80" t="s">
        <v>571</v>
      </c>
      <c r="Q80">
        <v>1</v>
      </c>
      <c r="X80">
        <v>32.909999999999997</v>
      </c>
      <c r="Y80">
        <v>0</v>
      </c>
      <c r="Z80">
        <v>10.82</v>
      </c>
      <c r="AA80">
        <v>2.97</v>
      </c>
      <c r="AB80">
        <v>0</v>
      </c>
      <c r="AC80">
        <v>0</v>
      </c>
      <c r="AD80">
        <v>1</v>
      </c>
      <c r="AE80">
        <v>0</v>
      </c>
      <c r="AF80" t="s">
        <v>53</v>
      </c>
      <c r="AG80">
        <v>6.5819999999999999</v>
      </c>
      <c r="AH80">
        <v>3</v>
      </c>
      <c r="AI80">
        <v>-1</v>
      </c>
      <c r="AJ80" t="s">
        <v>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ROW(Source!A43)</f>
        <v>43</v>
      </c>
      <c r="B81">
        <v>71211139</v>
      </c>
      <c r="C81">
        <v>71211114</v>
      </c>
      <c r="D81">
        <v>67891184</v>
      </c>
      <c r="E81">
        <v>1</v>
      </c>
      <c r="F81">
        <v>1</v>
      </c>
      <c r="G81">
        <v>27</v>
      </c>
      <c r="H81">
        <v>2</v>
      </c>
      <c r="I81" t="s">
        <v>733</v>
      </c>
      <c r="J81" t="s">
        <v>734</v>
      </c>
      <c r="K81" t="s">
        <v>735</v>
      </c>
      <c r="L81">
        <v>1368</v>
      </c>
      <c r="N81">
        <v>1011</v>
      </c>
      <c r="O81" t="s">
        <v>571</v>
      </c>
      <c r="P81" t="s">
        <v>571</v>
      </c>
      <c r="Q81">
        <v>1</v>
      </c>
      <c r="X81">
        <v>5.49</v>
      </c>
      <c r="Y81">
        <v>0</v>
      </c>
      <c r="Z81">
        <v>1218.71</v>
      </c>
      <c r="AA81">
        <v>616.71</v>
      </c>
      <c r="AB81">
        <v>0</v>
      </c>
      <c r="AC81">
        <v>0</v>
      </c>
      <c r="AD81">
        <v>1</v>
      </c>
      <c r="AE81">
        <v>0</v>
      </c>
      <c r="AF81" t="s">
        <v>53</v>
      </c>
      <c r="AG81">
        <v>1.0980000000000001</v>
      </c>
      <c r="AH81">
        <v>3</v>
      </c>
      <c r="AI81">
        <v>-1</v>
      </c>
      <c r="AJ81" t="s">
        <v>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ROW(Source!A43)</f>
        <v>43</v>
      </c>
      <c r="B82">
        <v>71211140</v>
      </c>
      <c r="C82">
        <v>71211114</v>
      </c>
      <c r="D82">
        <v>67893045</v>
      </c>
      <c r="E82">
        <v>1</v>
      </c>
      <c r="F82">
        <v>1</v>
      </c>
      <c r="G82">
        <v>27</v>
      </c>
      <c r="H82">
        <v>3</v>
      </c>
      <c r="I82" t="s">
        <v>736</v>
      </c>
      <c r="J82" t="s">
        <v>737</v>
      </c>
      <c r="K82" t="s">
        <v>738</v>
      </c>
      <c r="L82">
        <v>1339</v>
      </c>
      <c r="N82">
        <v>1007</v>
      </c>
      <c r="O82" t="s">
        <v>236</v>
      </c>
      <c r="P82" t="s">
        <v>236</v>
      </c>
      <c r="Q82">
        <v>1</v>
      </c>
      <c r="X82">
        <v>0.31</v>
      </c>
      <c r="Y82">
        <v>2099.5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52</v>
      </c>
      <c r="AG82">
        <v>0</v>
      </c>
      <c r="AH82">
        <v>3</v>
      </c>
      <c r="AI82">
        <v>-1</v>
      </c>
      <c r="AJ82" t="s">
        <v>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ROW(Source!A43)</f>
        <v>43</v>
      </c>
      <c r="B83">
        <v>71211141</v>
      </c>
      <c r="C83">
        <v>71211114</v>
      </c>
      <c r="D83">
        <v>67893667</v>
      </c>
      <c r="E83">
        <v>1</v>
      </c>
      <c r="F83">
        <v>1</v>
      </c>
      <c r="G83">
        <v>27</v>
      </c>
      <c r="H83">
        <v>3</v>
      </c>
      <c r="I83" t="s">
        <v>575</v>
      </c>
      <c r="J83" t="s">
        <v>576</v>
      </c>
      <c r="K83" t="s">
        <v>577</v>
      </c>
      <c r="L83">
        <v>1348</v>
      </c>
      <c r="N83">
        <v>1009</v>
      </c>
      <c r="O83" t="s">
        <v>35</v>
      </c>
      <c r="P83" t="s">
        <v>35</v>
      </c>
      <c r="Q83">
        <v>1000</v>
      </c>
      <c r="X83">
        <v>7.0000000000000001E-3</v>
      </c>
      <c r="Y83">
        <v>110781.14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 t="s">
        <v>52</v>
      </c>
      <c r="AG83">
        <v>0</v>
      </c>
      <c r="AH83">
        <v>3</v>
      </c>
      <c r="AI83">
        <v>-1</v>
      </c>
      <c r="AJ83" t="s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ROW(Source!A43)</f>
        <v>43</v>
      </c>
      <c r="B84">
        <v>71211142</v>
      </c>
      <c r="C84">
        <v>71211114</v>
      </c>
      <c r="D84">
        <v>67894747</v>
      </c>
      <c r="E84">
        <v>1</v>
      </c>
      <c r="F84">
        <v>1</v>
      </c>
      <c r="G84">
        <v>27</v>
      </c>
      <c r="H84">
        <v>3</v>
      </c>
      <c r="I84" t="s">
        <v>739</v>
      </c>
      <c r="J84" t="s">
        <v>740</v>
      </c>
      <c r="K84" t="s">
        <v>741</v>
      </c>
      <c r="L84">
        <v>1339</v>
      </c>
      <c r="N84">
        <v>1007</v>
      </c>
      <c r="O84" t="s">
        <v>236</v>
      </c>
      <c r="P84" t="s">
        <v>236</v>
      </c>
      <c r="Q84">
        <v>1</v>
      </c>
      <c r="X84">
        <v>3.25</v>
      </c>
      <c r="Y84">
        <v>4097.2299999999996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 t="s">
        <v>52</v>
      </c>
      <c r="AG84">
        <v>0</v>
      </c>
      <c r="AH84">
        <v>3</v>
      </c>
      <c r="AI84">
        <v>-1</v>
      </c>
      <c r="AJ84" t="s">
        <v>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ROW(Source!A43)</f>
        <v>43</v>
      </c>
      <c r="B85">
        <v>71211143</v>
      </c>
      <c r="C85">
        <v>71211114</v>
      </c>
      <c r="D85">
        <v>67896448</v>
      </c>
      <c r="E85">
        <v>1</v>
      </c>
      <c r="F85">
        <v>1</v>
      </c>
      <c r="G85">
        <v>27</v>
      </c>
      <c r="H85">
        <v>3</v>
      </c>
      <c r="I85" t="s">
        <v>742</v>
      </c>
      <c r="J85" t="s">
        <v>743</v>
      </c>
      <c r="K85" t="s">
        <v>744</v>
      </c>
      <c r="L85">
        <v>1301</v>
      </c>
      <c r="N85">
        <v>1003</v>
      </c>
      <c r="O85" t="s">
        <v>455</v>
      </c>
      <c r="P85" t="s">
        <v>455</v>
      </c>
      <c r="Q85">
        <v>1</v>
      </c>
      <c r="X85">
        <v>87</v>
      </c>
      <c r="Y85">
        <v>5381.85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52</v>
      </c>
      <c r="AG85">
        <v>0</v>
      </c>
      <c r="AH85">
        <v>3</v>
      </c>
      <c r="AI85">
        <v>-1</v>
      </c>
      <c r="AJ85" t="s">
        <v>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ROW(Source!A43)</f>
        <v>43</v>
      </c>
      <c r="B86">
        <v>71211144</v>
      </c>
      <c r="C86">
        <v>71211114</v>
      </c>
      <c r="D86">
        <v>67896449</v>
      </c>
      <c r="E86">
        <v>1</v>
      </c>
      <c r="F86">
        <v>1</v>
      </c>
      <c r="G86">
        <v>27</v>
      </c>
      <c r="H86">
        <v>3</v>
      </c>
      <c r="I86" t="s">
        <v>494</v>
      </c>
      <c r="J86" t="s">
        <v>496</v>
      </c>
      <c r="K86" t="s">
        <v>495</v>
      </c>
      <c r="L86">
        <v>1354</v>
      </c>
      <c r="N86">
        <v>1010</v>
      </c>
      <c r="O86" t="s">
        <v>232</v>
      </c>
      <c r="P86" t="s">
        <v>232</v>
      </c>
      <c r="Q86">
        <v>1</v>
      </c>
      <c r="X86">
        <v>38</v>
      </c>
      <c r="Y86">
        <v>2846.54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 t="s">
        <v>52</v>
      </c>
      <c r="AG86">
        <v>0</v>
      </c>
      <c r="AH86">
        <v>3</v>
      </c>
      <c r="AI86">
        <v>-1</v>
      </c>
      <c r="AJ86" t="s">
        <v>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ROW(Source!A44)</f>
        <v>44</v>
      </c>
      <c r="B87">
        <v>71211155</v>
      </c>
      <c r="C87">
        <v>71211145</v>
      </c>
      <c r="D87">
        <v>67878646</v>
      </c>
      <c r="E87">
        <v>27</v>
      </c>
      <c r="F87">
        <v>1</v>
      </c>
      <c r="G87">
        <v>27</v>
      </c>
      <c r="H87">
        <v>1</v>
      </c>
      <c r="I87" t="s">
        <v>565</v>
      </c>
      <c r="J87" t="s">
        <v>3</v>
      </c>
      <c r="K87" t="s">
        <v>566</v>
      </c>
      <c r="L87">
        <v>1191</v>
      </c>
      <c r="N87">
        <v>1013</v>
      </c>
      <c r="O87" t="s">
        <v>567</v>
      </c>
      <c r="P87" t="s">
        <v>567</v>
      </c>
      <c r="Q87">
        <v>1</v>
      </c>
      <c r="X87">
        <v>47.72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 t="s">
        <v>53</v>
      </c>
      <c r="AG87">
        <v>9.5440000000000005</v>
      </c>
      <c r="AH87">
        <v>3</v>
      </c>
      <c r="AI87">
        <v>-1</v>
      </c>
      <c r="AJ87" t="s">
        <v>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ROW(Source!A44)</f>
        <v>44</v>
      </c>
      <c r="B88">
        <v>71211156</v>
      </c>
      <c r="C88">
        <v>71211145</v>
      </c>
      <c r="D88">
        <v>67891963</v>
      </c>
      <c r="E88">
        <v>1</v>
      </c>
      <c r="F88">
        <v>1</v>
      </c>
      <c r="G88">
        <v>27</v>
      </c>
      <c r="H88">
        <v>3</v>
      </c>
      <c r="I88" t="s">
        <v>619</v>
      </c>
      <c r="J88" t="s">
        <v>620</v>
      </c>
      <c r="K88" t="s">
        <v>621</v>
      </c>
      <c r="L88">
        <v>1348</v>
      </c>
      <c r="N88">
        <v>1009</v>
      </c>
      <c r="O88" t="s">
        <v>35</v>
      </c>
      <c r="P88" t="s">
        <v>35</v>
      </c>
      <c r="Q88">
        <v>1000</v>
      </c>
      <c r="X88">
        <v>0.15</v>
      </c>
      <c r="Y88">
        <v>4207.5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 t="s">
        <v>52</v>
      </c>
      <c r="AG88">
        <v>0</v>
      </c>
      <c r="AH88">
        <v>3</v>
      </c>
      <c r="AI88">
        <v>-1</v>
      </c>
      <c r="AJ88" t="s">
        <v>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ROW(Source!A44)</f>
        <v>44</v>
      </c>
      <c r="B89">
        <v>71211157</v>
      </c>
      <c r="C89">
        <v>71211145</v>
      </c>
      <c r="D89">
        <v>67895752</v>
      </c>
      <c r="E89">
        <v>1</v>
      </c>
      <c r="F89">
        <v>1</v>
      </c>
      <c r="G89">
        <v>27</v>
      </c>
      <c r="H89">
        <v>3</v>
      </c>
      <c r="I89" t="s">
        <v>622</v>
      </c>
      <c r="J89" t="s">
        <v>623</v>
      </c>
      <c r="K89" t="s">
        <v>624</v>
      </c>
      <c r="L89">
        <v>1348</v>
      </c>
      <c r="N89">
        <v>1009</v>
      </c>
      <c r="O89" t="s">
        <v>35</v>
      </c>
      <c r="P89" t="s">
        <v>35</v>
      </c>
      <c r="Q89">
        <v>1000</v>
      </c>
      <c r="X89">
        <v>2.09</v>
      </c>
      <c r="Y89">
        <v>75453.460000000006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 t="s">
        <v>52</v>
      </c>
      <c r="AG89">
        <v>0</v>
      </c>
      <c r="AH89">
        <v>3</v>
      </c>
      <c r="AI89">
        <v>-1</v>
      </c>
      <c r="AJ89" t="s">
        <v>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ROW(Source!A45)</f>
        <v>45</v>
      </c>
      <c r="B90">
        <v>71211159</v>
      </c>
      <c r="C90">
        <v>71211158</v>
      </c>
      <c r="D90">
        <v>67878646</v>
      </c>
      <c r="E90">
        <v>27</v>
      </c>
      <c r="F90">
        <v>1</v>
      </c>
      <c r="G90">
        <v>27</v>
      </c>
      <c r="H90">
        <v>1</v>
      </c>
      <c r="I90" t="s">
        <v>565</v>
      </c>
      <c r="J90" t="s">
        <v>3</v>
      </c>
      <c r="K90" t="s">
        <v>566</v>
      </c>
      <c r="L90">
        <v>1191</v>
      </c>
      <c r="N90">
        <v>1013</v>
      </c>
      <c r="O90" t="s">
        <v>567</v>
      </c>
      <c r="P90" t="s">
        <v>567</v>
      </c>
      <c r="Q90">
        <v>1</v>
      </c>
      <c r="X90">
        <v>42.87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 t="s">
        <v>3</v>
      </c>
      <c r="AG90">
        <v>42.87</v>
      </c>
      <c r="AH90">
        <v>3</v>
      </c>
      <c r="AI90">
        <v>-1</v>
      </c>
      <c r="AJ90" t="s">
        <v>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ROW(Source!A45)</f>
        <v>45</v>
      </c>
      <c r="B91">
        <v>71211160</v>
      </c>
      <c r="C91">
        <v>71211158</v>
      </c>
      <c r="D91">
        <v>67891710</v>
      </c>
      <c r="E91">
        <v>1</v>
      </c>
      <c r="F91">
        <v>1</v>
      </c>
      <c r="G91">
        <v>27</v>
      </c>
      <c r="H91">
        <v>2</v>
      </c>
      <c r="I91" t="s">
        <v>745</v>
      </c>
      <c r="J91" t="s">
        <v>746</v>
      </c>
      <c r="K91" t="s">
        <v>747</v>
      </c>
      <c r="L91">
        <v>1368</v>
      </c>
      <c r="N91">
        <v>1011</v>
      </c>
      <c r="O91" t="s">
        <v>571</v>
      </c>
      <c r="P91" t="s">
        <v>571</v>
      </c>
      <c r="Q91">
        <v>1</v>
      </c>
      <c r="X91">
        <v>0.01</v>
      </c>
      <c r="Y91">
        <v>0</v>
      </c>
      <c r="Z91">
        <v>6.22</v>
      </c>
      <c r="AA91">
        <v>0.01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0.01</v>
      </c>
      <c r="AH91">
        <v>3</v>
      </c>
      <c r="AI91">
        <v>-1</v>
      </c>
      <c r="AJ91" t="s">
        <v>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ROW(Source!A45)</f>
        <v>45</v>
      </c>
      <c r="B92">
        <v>71211161</v>
      </c>
      <c r="C92">
        <v>71211158</v>
      </c>
      <c r="D92">
        <v>67880404</v>
      </c>
      <c r="E92">
        <v>27</v>
      </c>
      <c r="F92">
        <v>1</v>
      </c>
      <c r="G92">
        <v>27</v>
      </c>
      <c r="H92">
        <v>3</v>
      </c>
      <c r="I92" t="s">
        <v>584</v>
      </c>
      <c r="J92" t="s">
        <v>3</v>
      </c>
      <c r="K92" t="s">
        <v>585</v>
      </c>
      <c r="L92">
        <v>1348</v>
      </c>
      <c r="N92">
        <v>1009</v>
      </c>
      <c r="O92" t="s">
        <v>35</v>
      </c>
      <c r="P92" t="s">
        <v>35</v>
      </c>
      <c r="Q92">
        <v>1000</v>
      </c>
      <c r="X92">
        <v>0.65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0.65</v>
      </c>
      <c r="AH92">
        <v>3</v>
      </c>
      <c r="AI92">
        <v>-1</v>
      </c>
      <c r="AJ92" t="s">
        <v>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ROW(Source!A46)</f>
        <v>46</v>
      </c>
      <c r="B93">
        <v>71211171</v>
      </c>
      <c r="C93">
        <v>71211162</v>
      </c>
      <c r="D93">
        <v>67878646</v>
      </c>
      <c r="E93">
        <v>27</v>
      </c>
      <c r="F93">
        <v>1</v>
      </c>
      <c r="G93">
        <v>27</v>
      </c>
      <c r="H93">
        <v>1</v>
      </c>
      <c r="I93" t="s">
        <v>565</v>
      </c>
      <c r="J93" t="s">
        <v>3</v>
      </c>
      <c r="K93" t="s">
        <v>566</v>
      </c>
      <c r="L93">
        <v>1191</v>
      </c>
      <c r="N93">
        <v>1013</v>
      </c>
      <c r="O93" t="s">
        <v>567</v>
      </c>
      <c r="P93" t="s">
        <v>567</v>
      </c>
      <c r="Q93">
        <v>1</v>
      </c>
      <c r="X93">
        <v>132.55000000000001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 t="s">
        <v>53</v>
      </c>
      <c r="AG93">
        <v>26.510000000000005</v>
      </c>
      <c r="AH93">
        <v>3</v>
      </c>
      <c r="AI93">
        <v>-1</v>
      </c>
      <c r="AJ93" t="s">
        <v>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ROW(Source!A46)</f>
        <v>46</v>
      </c>
      <c r="B94">
        <v>71211172</v>
      </c>
      <c r="C94">
        <v>71211162</v>
      </c>
      <c r="D94">
        <v>67891771</v>
      </c>
      <c r="E94">
        <v>1</v>
      </c>
      <c r="F94">
        <v>1</v>
      </c>
      <c r="G94">
        <v>27</v>
      </c>
      <c r="H94">
        <v>2</v>
      </c>
      <c r="I94" t="s">
        <v>589</v>
      </c>
      <c r="J94" t="s">
        <v>748</v>
      </c>
      <c r="K94" t="s">
        <v>591</v>
      </c>
      <c r="L94">
        <v>1368</v>
      </c>
      <c r="N94">
        <v>1011</v>
      </c>
      <c r="O94" t="s">
        <v>571</v>
      </c>
      <c r="P94" t="s">
        <v>571</v>
      </c>
      <c r="Q94">
        <v>1</v>
      </c>
      <c r="X94">
        <v>1.69</v>
      </c>
      <c r="Y94">
        <v>0</v>
      </c>
      <c r="Z94">
        <v>7.44</v>
      </c>
      <c r="AA94">
        <v>0.98</v>
      </c>
      <c r="AB94">
        <v>0</v>
      </c>
      <c r="AC94">
        <v>0</v>
      </c>
      <c r="AD94">
        <v>1</v>
      </c>
      <c r="AE94">
        <v>0</v>
      </c>
      <c r="AF94" t="s">
        <v>53</v>
      </c>
      <c r="AG94">
        <v>0.33800000000000002</v>
      </c>
      <c r="AH94">
        <v>3</v>
      </c>
      <c r="AI94">
        <v>-1</v>
      </c>
      <c r="AJ94" t="s">
        <v>3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ROW(Source!A46)</f>
        <v>46</v>
      </c>
      <c r="B95">
        <v>71211173</v>
      </c>
      <c r="C95">
        <v>71211162</v>
      </c>
      <c r="D95">
        <v>67893573</v>
      </c>
      <c r="E95">
        <v>1</v>
      </c>
      <c r="F95">
        <v>1</v>
      </c>
      <c r="G95">
        <v>27</v>
      </c>
      <c r="H95">
        <v>3</v>
      </c>
      <c r="I95" t="s">
        <v>749</v>
      </c>
      <c r="J95" t="s">
        <v>750</v>
      </c>
      <c r="K95" t="s">
        <v>751</v>
      </c>
      <c r="L95">
        <v>1346</v>
      </c>
      <c r="N95">
        <v>1009</v>
      </c>
      <c r="O95" t="s">
        <v>288</v>
      </c>
      <c r="P95" t="s">
        <v>288</v>
      </c>
      <c r="Q95">
        <v>1</v>
      </c>
      <c r="X95">
        <v>0.5</v>
      </c>
      <c r="Y95">
        <v>28.41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52</v>
      </c>
      <c r="AG95">
        <v>0</v>
      </c>
      <c r="AH95">
        <v>3</v>
      </c>
      <c r="AI95">
        <v>-1</v>
      </c>
      <c r="AJ95" t="s">
        <v>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ROW(Source!A46)</f>
        <v>46</v>
      </c>
      <c r="B96">
        <v>71211174</v>
      </c>
      <c r="C96">
        <v>71211162</v>
      </c>
      <c r="D96">
        <v>67893760</v>
      </c>
      <c r="E96">
        <v>1</v>
      </c>
      <c r="F96">
        <v>1</v>
      </c>
      <c r="G96">
        <v>27</v>
      </c>
      <c r="H96">
        <v>3</v>
      </c>
      <c r="I96" t="s">
        <v>652</v>
      </c>
      <c r="J96" t="s">
        <v>653</v>
      </c>
      <c r="K96" t="s">
        <v>654</v>
      </c>
      <c r="L96">
        <v>1339</v>
      </c>
      <c r="N96">
        <v>1007</v>
      </c>
      <c r="O96" t="s">
        <v>236</v>
      </c>
      <c r="P96" t="s">
        <v>236</v>
      </c>
      <c r="Q96">
        <v>1</v>
      </c>
      <c r="X96">
        <v>8.5000000000000006E-2</v>
      </c>
      <c r="Y96">
        <v>35.25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52</v>
      </c>
      <c r="AG96">
        <v>0</v>
      </c>
      <c r="AH96">
        <v>3</v>
      </c>
      <c r="AI96">
        <v>-1</v>
      </c>
      <c r="AJ96" t="s">
        <v>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ROW(Source!A46)</f>
        <v>46</v>
      </c>
      <c r="B97">
        <v>71211175</v>
      </c>
      <c r="C97">
        <v>71211162</v>
      </c>
      <c r="D97">
        <v>67892116</v>
      </c>
      <c r="E97">
        <v>1</v>
      </c>
      <c r="F97">
        <v>1</v>
      </c>
      <c r="G97">
        <v>27</v>
      </c>
      <c r="H97">
        <v>3</v>
      </c>
      <c r="I97" t="s">
        <v>752</v>
      </c>
      <c r="J97" t="s">
        <v>753</v>
      </c>
      <c r="K97" t="s">
        <v>754</v>
      </c>
      <c r="L97">
        <v>1327</v>
      </c>
      <c r="N97">
        <v>1005</v>
      </c>
      <c r="O97" t="s">
        <v>18</v>
      </c>
      <c r="P97" t="s">
        <v>18</v>
      </c>
      <c r="Q97">
        <v>1</v>
      </c>
      <c r="X97">
        <v>100</v>
      </c>
      <c r="Y97">
        <v>311.06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52</v>
      </c>
      <c r="AG97">
        <v>0</v>
      </c>
      <c r="AH97">
        <v>3</v>
      </c>
      <c r="AI97">
        <v>-1</v>
      </c>
      <c r="AJ97" t="s">
        <v>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ROW(Source!A46)</f>
        <v>46</v>
      </c>
      <c r="B98">
        <v>71211176</v>
      </c>
      <c r="C98">
        <v>71211162</v>
      </c>
      <c r="D98">
        <v>67892183</v>
      </c>
      <c r="E98">
        <v>1</v>
      </c>
      <c r="F98">
        <v>1</v>
      </c>
      <c r="G98">
        <v>27</v>
      </c>
      <c r="H98">
        <v>3</v>
      </c>
      <c r="I98" t="s">
        <v>755</v>
      </c>
      <c r="J98" t="s">
        <v>756</v>
      </c>
      <c r="K98" t="s">
        <v>757</v>
      </c>
      <c r="L98">
        <v>1348</v>
      </c>
      <c r="N98">
        <v>1009</v>
      </c>
      <c r="O98" t="s">
        <v>35</v>
      </c>
      <c r="P98" t="s">
        <v>35</v>
      </c>
      <c r="Q98">
        <v>1000</v>
      </c>
      <c r="X98">
        <v>2.0999999999999999E-3</v>
      </c>
      <c r="Y98">
        <v>119906.53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 t="s">
        <v>52</v>
      </c>
      <c r="AG98">
        <v>0</v>
      </c>
      <c r="AH98">
        <v>3</v>
      </c>
      <c r="AI98">
        <v>-1</v>
      </c>
      <c r="AJ98" t="s">
        <v>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ROW(Source!A46)</f>
        <v>46</v>
      </c>
      <c r="B99">
        <v>71211177</v>
      </c>
      <c r="C99">
        <v>71211162</v>
      </c>
      <c r="D99">
        <v>67894891</v>
      </c>
      <c r="E99">
        <v>1</v>
      </c>
      <c r="F99">
        <v>1</v>
      </c>
      <c r="G99">
        <v>27</v>
      </c>
      <c r="H99">
        <v>3</v>
      </c>
      <c r="I99" t="s">
        <v>758</v>
      </c>
      <c r="J99" t="s">
        <v>759</v>
      </c>
      <c r="K99" t="s">
        <v>760</v>
      </c>
      <c r="L99">
        <v>1348</v>
      </c>
      <c r="N99">
        <v>1009</v>
      </c>
      <c r="O99" t="s">
        <v>35</v>
      </c>
      <c r="P99" t="s">
        <v>35</v>
      </c>
      <c r="Q99">
        <v>1000</v>
      </c>
      <c r="X99">
        <v>0.375</v>
      </c>
      <c r="Y99">
        <v>8483.23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 t="s">
        <v>52</v>
      </c>
      <c r="AG99">
        <v>0</v>
      </c>
      <c r="AH99">
        <v>3</v>
      </c>
      <c r="AI99">
        <v>-1</v>
      </c>
      <c r="AJ99" t="s">
        <v>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ROW(Source!A46)</f>
        <v>46</v>
      </c>
      <c r="B100">
        <v>71211178</v>
      </c>
      <c r="C100">
        <v>71211162</v>
      </c>
      <c r="D100">
        <v>67894893</v>
      </c>
      <c r="E100">
        <v>1</v>
      </c>
      <c r="F100">
        <v>1</v>
      </c>
      <c r="G100">
        <v>27</v>
      </c>
      <c r="H100">
        <v>3</v>
      </c>
      <c r="I100" t="s">
        <v>761</v>
      </c>
      <c r="J100" t="s">
        <v>762</v>
      </c>
      <c r="K100" t="s">
        <v>763</v>
      </c>
      <c r="L100">
        <v>1348</v>
      </c>
      <c r="N100">
        <v>1009</v>
      </c>
      <c r="O100" t="s">
        <v>35</v>
      </c>
      <c r="P100" t="s">
        <v>35</v>
      </c>
      <c r="Q100">
        <v>1000</v>
      </c>
      <c r="X100">
        <v>0.05</v>
      </c>
      <c r="Y100">
        <v>32124.47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52</v>
      </c>
      <c r="AG100">
        <v>0</v>
      </c>
      <c r="AH100">
        <v>3</v>
      </c>
      <c r="AI100">
        <v>-1</v>
      </c>
      <c r="AJ100" t="s">
        <v>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ROW(Source!A47)</f>
        <v>47</v>
      </c>
      <c r="B101">
        <v>71211196</v>
      </c>
      <c r="C101">
        <v>71211179</v>
      </c>
      <c r="D101">
        <v>67878646</v>
      </c>
      <c r="E101">
        <v>27</v>
      </c>
      <c r="F101">
        <v>1</v>
      </c>
      <c r="G101">
        <v>27</v>
      </c>
      <c r="H101">
        <v>1</v>
      </c>
      <c r="I101" t="s">
        <v>565</v>
      </c>
      <c r="J101" t="s">
        <v>3</v>
      </c>
      <c r="K101" t="s">
        <v>566</v>
      </c>
      <c r="L101">
        <v>1191</v>
      </c>
      <c r="N101">
        <v>1013</v>
      </c>
      <c r="O101" t="s">
        <v>567</v>
      </c>
      <c r="P101" t="s">
        <v>567</v>
      </c>
      <c r="Q101">
        <v>1</v>
      </c>
      <c r="X101">
        <v>19.899999999999999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 t="s">
        <v>53</v>
      </c>
      <c r="AG101">
        <v>3.98</v>
      </c>
      <c r="AH101">
        <v>3</v>
      </c>
      <c r="AI101">
        <v>-1</v>
      </c>
      <c r="AJ101" t="s">
        <v>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ROW(Source!A47)</f>
        <v>47</v>
      </c>
      <c r="B102">
        <v>71211197</v>
      </c>
      <c r="C102">
        <v>71211179</v>
      </c>
      <c r="D102">
        <v>67891319</v>
      </c>
      <c r="E102">
        <v>1</v>
      </c>
      <c r="F102">
        <v>1</v>
      </c>
      <c r="G102">
        <v>27</v>
      </c>
      <c r="H102">
        <v>2</v>
      </c>
      <c r="I102" t="s">
        <v>625</v>
      </c>
      <c r="J102" t="s">
        <v>626</v>
      </c>
      <c r="K102" t="s">
        <v>627</v>
      </c>
      <c r="L102">
        <v>1368</v>
      </c>
      <c r="N102">
        <v>1011</v>
      </c>
      <c r="O102" t="s">
        <v>571</v>
      </c>
      <c r="P102" t="s">
        <v>571</v>
      </c>
      <c r="Q102">
        <v>1</v>
      </c>
      <c r="X102">
        <v>0.31</v>
      </c>
      <c r="Y102">
        <v>0</v>
      </c>
      <c r="Z102">
        <v>41.19</v>
      </c>
      <c r="AA102">
        <v>0.34</v>
      </c>
      <c r="AB102">
        <v>0</v>
      </c>
      <c r="AC102">
        <v>0</v>
      </c>
      <c r="AD102">
        <v>1</v>
      </c>
      <c r="AE102">
        <v>0</v>
      </c>
      <c r="AF102" t="s">
        <v>53</v>
      </c>
      <c r="AG102">
        <v>6.2E-2</v>
      </c>
      <c r="AH102">
        <v>3</v>
      </c>
      <c r="AI102">
        <v>-1</v>
      </c>
      <c r="AJ102" t="s">
        <v>3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ROW(Source!A47)</f>
        <v>47</v>
      </c>
      <c r="B103">
        <v>71211198</v>
      </c>
      <c r="C103">
        <v>71211179</v>
      </c>
      <c r="D103">
        <v>67891725</v>
      </c>
      <c r="E103">
        <v>1</v>
      </c>
      <c r="F103">
        <v>1</v>
      </c>
      <c r="G103">
        <v>27</v>
      </c>
      <c r="H103">
        <v>2</v>
      </c>
      <c r="I103" t="s">
        <v>628</v>
      </c>
      <c r="J103" t="s">
        <v>629</v>
      </c>
      <c r="K103" t="s">
        <v>630</v>
      </c>
      <c r="L103">
        <v>1368</v>
      </c>
      <c r="N103">
        <v>1011</v>
      </c>
      <c r="O103" t="s">
        <v>571</v>
      </c>
      <c r="P103" t="s">
        <v>571</v>
      </c>
      <c r="Q103">
        <v>1</v>
      </c>
      <c r="X103">
        <v>5.56</v>
      </c>
      <c r="Y103">
        <v>0</v>
      </c>
      <c r="Z103">
        <v>27.02</v>
      </c>
      <c r="AA103">
        <v>0.03</v>
      </c>
      <c r="AB103">
        <v>0</v>
      </c>
      <c r="AC103">
        <v>0</v>
      </c>
      <c r="AD103">
        <v>1</v>
      </c>
      <c r="AE103">
        <v>0</v>
      </c>
      <c r="AF103" t="s">
        <v>53</v>
      </c>
      <c r="AG103">
        <v>1.1119999999999999</v>
      </c>
      <c r="AH103">
        <v>3</v>
      </c>
      <c r="AI103">
        <v>-1</v>
      </c>
      <c r="AJ103" t="s">
        <v>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ROW(Source!A47)</f>
        <v>47</v>
      </c>
      <c r="B104">
        <v>71211199</v>
      </c>
      <c r="C104">
        <v>71211179</v>
      </c>
      <c r="D104">
        <v>67890994</v>
      </c>
      <c r="E104">
        <v>1</v>
      </c>
      <c r="F104">
        <v>1</v>
      </c>
      <c r="G104">
        <v>27</v>
      </c>
      <c r="H104">
        <v>2</v>
      </c>
      <c r="I104" t="s">
        <v>631</v>
      </c>
      <c r="J104" t="s">
        <v>632</v>
      </c>
      <c r="K104" t="s">
        <v>633</v>
      </c>
      <c r="L104">
        <v>1368</v>
      </c>
      <c r="N104">
        <v>1011</v>
      </c>
      <c r="O104" t="s">
        <v>571</v>
      </c>
      <c r="P104" t="s">
        <v>571</v>
      </c>
      <c r="Q104">
        <v>1</v>
      </c>
      <c r="X104">
        <v>1.08</v>
      </c>
      <c r="Y104">
        <v>0</v>
      </c>
      <c r="Z104">
        <v>132.63</v>
      </c>
      <c r="AA104">
        <v>1.55</v>
      </c>
      <c r="AB104">
        <v>0</v>
      </c>
      <c r="AC104">
        <v>0</v>
      </c>
      <c r="AD104">
        <v>1</v>
      </c>
      <c r="AE104">
        <v>0</v>
      </c>
      <c r="AF104" t="s">
        <v>53</v>
      </c>
      <c r="AG104">
        <v>0.21600000000000003</v>
      </c>
      <c r="AH104">
        <v>3</v>
      </c>
      <c r="AI104">
        <v>-1</v>
      </c>
      <c r="AJ104" t="s">
        <v>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ROW(Source!A47)</f>
        <v>47</v>
      </c>
      <c r="B105">
        <v>71211200</v>
      </c>
      <c r="C105">
        <v>71211179</v>
      </c>
      <c r="D105">
        <v>67892810</v>
      </c>
      <c r="E105">
        <v>1</v>
      </c>
      <c r="F105">
        <v>1</v>
      </c>
      <c r="G105">
        <v>27</v>
      </c>
      <c r="H105">
        <v>3</v>
      </c>
      <c r="I105" t="s">
        <v>572</v>
      </c>
      <c r="J105" t="s">
        <v>573</v>
      </c>
      <c r="K105" t="s">
        <v>574</v>
      </c>
      <c r="L105">
        <v>1348</v>
      </c>
      <c r="N105">
        <v>1009</v>
      </c>
      <c r="O105" t="s">
        <v>35</v>
      </c>
      <c r="P105" t="s">
        <v>35</v>
      </c>
      <c r="Q105">
        <v>1000</v>
      </c>
      <c r="X105">
        <v>4.0000000000000001E-3</v>
      </c>
      <c r="Y105">
        <v>105084.63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 t="s">
        <v>52</v>
      </c>
      <c r="AG105">
        <v>0</v>
      </c>
      <c r="AH105">
        <v>3</v>
      </c>
      <c r="AI105">
        <v>-1</v>
      </c>
      <c r="AJ105" t="s">
        <v>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ROW(Source!A47)</f>
        <v>47</v>
      </c>
      <c r="B106">
        <v>71211201</v>
      </c>
      <c r="C106">
        <v>71211179</v>
      </c>
      <c r="D106">
        <v>67893667</v>
      </c>
      <c r="E106">
        <v>1</v>
      </c>
      <c r="F106">
        <v>1</v>
      </c>
      <c r="G106">
        <v>27</v>
      </c>
      <c r="H106">
        <v>3</v>
      </c>
      <c r="I106" t="s">
        <v>575</v>
      </c>
      <c r="J106" t="s">
        <v>576</v>
      </c>
      <c r="K106" t="s">
        <v>577</v>
      </c>
      <c r="L106">
        <v>1348</v>
      </c>
      <c r="N106">
        <v>1009</v>
      </c>
      <c r="O106" t="s">
        <v>35</v>
      </c>
      <c r="P106" t="s">
        <v>35</v>
      </c>
      <c r="Q106">
        <v>1000</v>
      </c>
      <c r="X106">
        <v>3.1E-2</v>
      </c>
      <c r="Y106">
        <v>110781.14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52</v>
      </c>
      <c r="AG106">
        <v>0</v>
      </c>
      <c r="AH106">
        <v>3</v>
      </c>
      <c r="AI106">
        <v>-1</v>
      </c>
      <c r="AJ106" t="s">
        <v>3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ROW(Source!A47)</f>
        <v>47</v>
      </c>
      <c r="B107">
        <v>71211202</v>
      </c>
      <c r="C107">
        <v>71211179</v>
      </c>
      <c r="D107">
        <v>67895770</v>
      </c>
      <c r="E107">
        <v>1</v>
      </c>
      <c r="F107">
        <v>1</v>
      </c>
      <c r="G107">
        <v>27</v>
      </c>
      <c r="H107">
        <v>3</v>
      </c>
      <c r="I107" t="s">
        <v>424</v>
      </c>
      <c r="J107" t="s">
        <v>426</v>
      </c>
      <c r="K107" t="s">
        <v>425</v>
      </c>
      <c r="L107">
        <v>1348</v>
      </c>
      <c r="N107">
        <v>1009</v>
      </c>
      <c r="O107" t="s">
        <v>35</v>
      </c>
      <c r="P107" t="s">
        <v>35</v>
      </c>
      <c r="Q107">
        <v>1000</v>
      </c>
      <c r="X107">
        <v>1</v>
      </c>
      <c r="Y107">
        <v>67754.539999999994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 t="s">
        <v>52</v>
      </c>
      <c r="AG107">
        <v>0</v>
      </c>
      <c r="AH107">
        <v>3</v>
      </c>
      <c r="AI107">
        <v>-1</v>
      </c>
      <c r="AJ107" t="s">
        <v>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ROW(Source!A47)</f>
        <v>47</v>
      </c>
      <c r="B108">
        <v>71211203</v>
      </c>
      <c r="C108">
        <v>71211179</v>
      </c>
      <c r="D108">
        <v>67895780</v>
      </c>
      <c r="E108">
        <v>1</v>
      </c>
      <c r="F108">
        <v>1</v>
      </c>
      <c r="G108">
        <v>27</v>
      </c>
      <c r="H108">
        <v>3</v>
      </c>
      <c r="I108" t="s">
        <v>634</v>
      </c>
      <c r="J108" t="s">
        <v>635</v>
      </c>
      <c r="K108" t="s">
        <v>636</v>
      </c>
      <c r="L108">
        <v>1348</v>
      </c>
      <c r="N108">
        <v>1009</v>
      </c>
      <c r="O108" t="s">
        <v>35</v>
      </c>
      <c r="P108" t="s">
        <v>35</v>
      </c>
      <c r="Q108">
        <v>1000</v>
      </c>
      <c r="X108">
        <v>5.0000000000000001E-3</v>
      </c>
      <c r="Y108">
        <v>75026.559999999998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52</v>
      </c>
      <c r="AG108">
        <v>0</v>
      </c>
      <c r="AH108">
        <v>3</v>
      </c>
      <c r="AI108">
        <v>-1</v>
      </c>
      <c r="AJ108" t="s">
        <v>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ROW(Source!A48)</f>
        <v>48</v>
      </c>
      <c r="B109">
        <v>71211229</v>
      </c>
      <c r="C109">
        <v>71211204</v>
      </c>
      <c r="D109">
        <v>67878646</v>
      </c>
      <c r="E109">
        <v>27</v>
      </c>
      <c r="F109">
        <v>1</v>
      </c>
      <c r="G109">
        <v>27</v>
      </c>
      <c r="H109">
        <v>1</v>
      </c>
      <c r="I109" t="s">
        <v>565</v>
      </c>
      <c r="J109" t="s">
        <v>3</v>
      </c>
      <c r="K109" t="s">
        <v>566</v>
      </c>
      <c r="L109">
        <v>1191</v>
      </c>
      <c r="N109">
        <v>1013</v>
      </c>
      <c r="O109" t="s">
        <v>567</v>
      </c>
      <c r="P109" t="s">
        <v>567</v>
      </c>
      <c r="Q109">
        <v>1</v>
      </c>
      <c r="X109">
        <v>122.25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 t="s">
        <v>3</v>
      </c>
      <c r="AG109">
        <v>122.25</v>
      </c>
      <c r="AH109">
        <v>3</v>
      </c>
      <c r="AI109">
        <v>-1</v>
      </c>
      <c r="AJ109" t="s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ROW(Source!A48)</f>
        <v>48</v>
      </c>
      <c r="B110">
        <v>71211230</v>
      </c>
      <c r="C110">
        <v>71211204</v>
      </c>
      <c r="D110">
        <v>67891212</v>
      </c>
      <c r="E110">
        <v>1</v>
      </c>
      <c r="F110">
        <v>1</v>
      </c>
      <c r="G110">
        <v>27</v>
      </c>
      <c r="H110">
        <v>2</v>
      </c>
      <c r="I110" t="s">
        <v>764</v>
      </c>
      <c r="J110" t="s">
        <v>765</v>
      </c>
      <c r="K110" t="s">
        <v>766</v>
      </c>
      <c r="L110">
        <v>1368</v>
      </c>
      <c r="N110">
        <v>1011</v>
      </c>
      <c r="O110" t="s">
        <v>571</v>
      </c>
      <c r="P110" t="s">
        <v>571</v>
      </c>
      <c r="Q110">
        <v>1</v>
      </c>
      <c r="X110">
        <v>2.59</v>
      </c>
      <c r="Y110">
        <v>0</v>
      </c>
      <c r="Z110">
        <v>487.12</v>
      </c>
      <c r="AA110">
        <v>383.41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2.59</v>
      </c>
      <c r="AH110">
        <v>3</v>
      </c>
      <c r="AI110">
        <v>-1</v>
      </c>
      <c r="AJ110" t="s">
        <v>3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ROW(Source!A48)</f>
        <v>48</v>
      </c>
      <c r="B111">
        <v>71211231</v>
      </c>
      <c r="C111">
        <v>71211204</v>
      </c>
      <c r="D111">
        <v>67891313</v>
      </c>
      <c r="E111">
        <v>1</v>
      </c>
      <c r="F111">
        <v>1</v>
      </c>
      <c r="G111">
        <v>27</v>
      </c>
      <c r="H111">
        <v>2</v>
      </c>
      <c r="I111" t="s">
        <v>691</v>
      </c>
      <c r="J111" t="s">
        <v>692</v>
      </c>
      <c r="K111" t="s">
        <v>693</v>
      </c>
      <c r="L111">
        <v>1368</v>
      </c>
      <c r="N111">
        <v>1011</v>
      </c>
      <c r="O111" t="s">
        <v>571</v>
      </c>
      <c r="P111" t="s">
        <v>571</v>
      </c>
      <c r="Q111">
        <v>1</v>
      </c>
      <c r="X111">
        <v>3.14</v>
      </c>
      <c r="Y111">
        <v>0</v>
      </c>
      <c r="Z111">
        <v>27.21</v>
      </c>
      <c r="AA111">
        <v>0.13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3.14</v>
      </c>
      <c r="AH111">
        <v>3</v>
      </c>
      <c r="AI111">
        <v>-1</v>
      </c>
      <c r="AJ111" t="s">
        <v>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ROW(Source!A48)</f>
        <v>48</v>
      </c>
      <c r="B112">
        <v>71211232</v>
      </c>
      <c r="C112">
        <v>71211204</v>
      </c>
      <c r="D112">
        <v>67891731</v>
      </c>
      <c r="E112">
        <v>1</v>
      </c>
      <c r="F112">
        <v>1</v>
      </c>
      <c r="G112">
        <v>27</v>
      </c>
      <c r="H112">
        <v>2</v>
      </c>
      <c r="I112" t="s">
        <v>670</v>
      </c>
      <c r="J112" t="s">
        <v>671</v>
      </c>
      <c r="K112" t="s">
        <v>672</v>
      </c>
      <c r="L112">
        <v>1368</v>
      </c>
      <c r="N112">
        <v>1011</v>
      </c>
      <c r="O112" t="s">
        <v>571</v>
      </c>
      <c r="P112" t="s">
        <v>571</v>
      </c>
      <c r="Q112">
        <v>1</v>
      </c>
      <c r="X112">
        <v>2.59</v>
      </c>
      <c r="Y112">
        <v>0</v>
      </c>
      <c r="Z112">
        <v>6.02</v>
      </c>
      <c r="AA112">
        <v>0.02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2.59</v>
      </c>
      <c r="AH112">
        <v>3</v>
      </c>
      <c r="AI112">
        <v>-1</v>
      </c>
      <c r="AJ112" t="s">
        <v>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ROW(Source!A48)</f>
        <v>48</v>
      </c>
      <c r="B113">
        <v>71211233</v>
      </c>
      <c r="C113">
        <v>71211204</v>
      </c>
      <c r="D113">
        <v>67892884</v>
      </c>
      <c r="E113">
        <v>1</v>
      </c>
      <c r="F113">
        <v>1</v>
      </c>
      <c r="G113">
        <v>27</v>
      </c>
      <c r="H113">
        <v>3</v>
      </c>
      <c r="I113" t="s">
        <v>767</v>
      </c>
      <c r="J113" t="s">
        <v>768</v>
      </c>
      <c r="K113" t="s">
        <v>769</v>
      </c>
      <c r="L113">
        <v>1348</v>
      </c>
      <c r="N113">
        <v>1009</v>
      </c>
      <c r="O113" t="s">
        <v>35</v>
      </c>
      <c r="P113" t="s">
        <v>35</v>
      </c>
      <c r="Q113">
        <v>1000</v>
      </c>
      <c r="X113">
        <v>6.8999999999999999E-3</v>
      </c>
      <c r="Y113">
        <v>151430.04999999999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6.8999999999999999E-3</v>
      </c>
      <c r="AH113">
        <v>3</v>
      </c>
      <c r="AI113">
        <v>-1</v>
      </c>
      <c r="AJ113" t="s">
        <v>3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ROW(Source!A48)</f>
        <v>48</v>
      </c>
      <c r="B114">
        <v>71211234</v>
      </c>
      <c r="C114">
        <v>71211204</v>
      </c>
      <c r="D114">
        <v>67893667</v>
      </c>
      <c r="E114">
        <v>1</v>
      </c>
      <c r="F114">
        <v>1</v>
      </c>
      <c r="G114">
        <v>27</v>
      </c>
      <c r="H114">
        <v>3</v>
      </c>
      <c r="I114" t="s">
        <v>575</v>
      </c>
      <c r="J114" t="s">
        <v>576</v>
      </c>
      <c r="K114" t="s">
        <v>577</v>
      </c>
      <c r="L114">
        <v>1348</v>
      </c>
      <c r="N114">
        <v>1009</v>
      </c>
      <c r="O114" t="s">
        <v>35</v>
      </c>
      <c r="P114" t="s">
        <v>35</v>
      </c>
      <c r="Q114">
        <v>1000</v>
      </c>
      <c r="X114">
        <v>2.3E-3</v>
      </c>
      <c r="Y114">
        <v>110781.14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2.3E-3</v>
      </c>
      <c r="AH114">
        <v>3</v>
      </c>
      <c r="AI114">
        <v>-1</v>
      </c>
      <c r="AJ114" t="s">
        <v>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ROW(Source!A48)</f>
        <v>48</v>
      </c>
      <c r="B115">
        <v>71211235</v>
      </c>
      <c r="C115">
        <v>71211204</v>
      </c>
      <c r="D115">
        <v>67894747</v>
      </c>
      <c r="E115">
        <v>1</v>
      </c>
      <c r="F115">
        <v>1</v>
      </c>
      <c r="G115">
        <v>27</v>
      </c>
      <c r="H115">
        <v>3</v>
      </c>
      <c r="I115" t="s">
        <v>739</v>
      </c>
      <c r="J115" t="s">
        <v>740</v>
      </c>
      <c r="K115" t="s">
        <v>741</v>
      </c>
      <c r="L115">
        <v>1339</v>
      </c>
      <c r="N115">
        <v>1007</v>
      </c>
      <c r="O115" t="s">
        <v>236</v>
      </c>
      <c r="P115" t="s">
        <v>236</v>
      </c>
      <c r="Q115">
        <v>1</v>
      </c>
      <c r="X115">
        <v>1.32</v>
      </c>
      <c r="Y115">
        <v>4097.2299999999996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1.32</v>
      </c>
      <c r="AH115">
        <v>3</v>
      </c>
      <c r="AI115">
        <v>-1</v>
      </c>
      <c r="AJ115" t="s">
        <v>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ROW(Source!A48)</f>
        <v>48</v>
      </c>
      <c r="B116">
        <v>71211236</v>
      </c>
      <c r="C116">
        <v>71211204</v>
      </c>
      <c r="D116">
        <v>67896503</v>
      </c>
      <c r="E116">
        <v>1</v>
      </c>
      <c r="F116">
        <v>1</v>
      </c>
      <c r="G116">
        <v>27</v>
      </c>
      <c r="H116">
        <v>3</v>
      </c>
      <c r="I116" t="s">
        <v>770</v>
      </c>
      <c r="J116" t="s">
        <v>771</v>
      </c>
      <c r="K116" t="s">
        <v>772</v>
      </c>
      <c r="L116">
        <v>1301</v>
      </c>
      <c r="N116">
        <v>1003</v>
      </c>
      <c r="O116" t="s">
        <v>455</v>
      </c>
      <c r="P116" t="s">
        <v>455</v>
      </c>
      <c r="Q116">
        <v>1</v>
      </c>
      <c r="X116">
        <v>100</v>
      </c>
      <c r="Y116">
        <v>974.18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100</v>
      </c>
      <c r="AH116">
        <v>3</v>
      </c>
      <c r="AI116">
        <v>-1</v>
      </c>
      <c r="AJ116" t="s">
        <v>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ROW(Source!A49)</f>
        <v>49</v>
      </c>
      <c r="B117">
        <v>71211238</v>
      </c>
      <c r="C117">
        <v>71211237</v>
      </c>
      <c r="D117">
        <v>67878646</v>
      </c>
      <c r="E117">
        <v>27</v>
      </c>
      <c r="F117">
        <v>1</v>
      </c>
      <c r="G117">
        <v>27</v>
      </c>
      <c r="H117">
        <v>1</v>
      </c>
      <c r="I117" t="s">
        <v>565</v>
      </c>
      <c r="J117" t="s">
        <v>3</v>
      </c>
      <c r="K117" t="s">
        <v>566</v>
      </c>
      <c r="L117">
        <v>1191</v>
      </c>
      <c r="N117">
        <v>1013</v>
      </c>
      <c r="O117" t="s">
        <v>567</v>
      </c>
      <c r="P117" t="s">
        <v>567</v>
      </c>
      <c r="Q117">
        <v>1</v>
      </c>
      <c r="X117">
        <v>11.39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 t="s">
        <v>3</v>
      </c>
      <c r="AG117">
        <v>11.39</v>
      </c>
      <c r="AH117">
        <v>3</v>
      </c>
      <c r="AI117">
        <v>-1</v>
      </c>
      <c r="AJ117" t="s">
        <v>3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ROW(Source!A49)</f>
        <v>49</v>
      </c>
      <c r="B118">
        <v>71211239</v>
      </c>
      <c r="C118">
        <v>71211237</v>
      </c>
      <c r="D118">
        <v>67880404</v>
      </c>
      <c r="E118">
        <v>27</v>
      </c>
      <c r="F118">
        <v>1</v>
      </c>
      <c r="G118">
        <v>27</v>
      </c>
      <c r="H118">
        <v>3</v>
      </c>
      <c r="I118" t="s">
        <v>584</v>
      </c>
      <c r="J118" t="s">
        <v>3</v>
      </c>
      <c r="K118" t="s">
        <v>585</v>
      </c>
      <c r="L118">
        <v>1348</v>
      </c>
      <c r="N118">
        <v>1009</v>
      </c>
      <c r="O118" t="s">
        <v>35</v>
      </c>
      <c r="P118" t="s">
        <v>35</v>
      </c>
      <c r="Q118">
        <v>1000</v>
      </c>
      <c r="X118">
        <v>0.47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0.47</v>
      </c>
      <c r="AH118">
        <v>3</v>
      </c>
      <c r="AI118">
        <v>-1</v>
      </c>
      <c r="AJ118" t="s">
        <v>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ROW(Source!A50)</f>
        <v>50</v>
      </c>
      <c r="B119">
        <v>71211241</v>
      </c>
      <c r="C119">
        <v>71211240</v>
      </c>
      <c r="D119">
        <v>67878646</v>
      </c>
      <c r="E119">
        <v>27</v>
      </c>
      <c r="F119">
        <v>1</v>
      </c>
      <c r="G119">
        <v>27</v>
      </c>
      <c r="H119">
        <v>1</v>
      </c>
      <c r="I119" t="s">
        <v>565</v>
      </c>
      <c r="J119" t="s">
        <v>3</v>
      </c>
      <c r="K119" t="s">
        <v>566</v>
      </c>
      <c r="L119">
        <v>1191</v>
      </c>
      <c r="N119">
        <v>1013</v>
      </c>
      <c r="O119" t="s">
        <v>567</v>
      </c>
      <c r="P119" t="s">
        <v>567</v>
      </c>
      <c r="Q119">
        <v>1</v>
      </c>
      <c r="X119">
        <v>18.68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 t="s">
        <v>3</v>
      </c>
      <c r="AG119">
        <v>18.68</v>
      </c>
      <c r="AH119">
        <v>3</v>
      </c>
      <c r="AI119">
        <v>-1</v>
      </c>
      <c r="AJ119" t="s">
        <v>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ROW(Source!A51)</f>
        <v>51</v>
      </c>
      <c r="B120">
        <v>71211243</v>
      </c>
      <c r="C120">
        <v>71211242</v>
      </c>
      <c r="D120">
        <v>67878646</v>
      </c>
      <c r="E120">
        <v>27</v>
      </c>
      <c r="F120">
        <v>1</v>
      </c>
      <c r="G120">
        <v>27</v>
      </c>
      <c r="H120">
        <v>1</v>
      </c>
      <c r="I120" t="s">
        <v>565</v>
      </c>
      <c r="J120" t="s">
        <v>3</v>
      </c>
      <c r="K120" t="s">
        <v>566</v>
      </c>
      <c r="L120">
        <v>1191</v>
      </c>
      <c r="N120">
        <v>1013</v>
      </c>
      <c r="O120" t="s">
        <v>567</v>
      </c>
      <c r="P120" t="s">
        <v>567</v>
      </c>
      <c r="Q120">
        <v>1</v>
      </c>
      <c r="X120">
        <v>155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</v>
      </c>
      <c r="AF120" t="s">
        <v>3</v>
      </c>
      <c r="AG120">
        <v>155</v>
      </c>
      <c r="AH120">
        <v>3</v>
      </c>
      <c r="AI120">
        <v>-1</v>
      </c>
      <c r="AJ120" t="s">
        <v>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ROW(Source!A51)</f>
        <v>51</v>
      </c>
      <c r="B121">
        <v>71211244</v>
      </c>
      <c r="C121">
        <v>71211242</v>
      </c>
      <c r="D121">
        <v>67891216</v>
      </c>
      <c r="E121">
        <v>1</v>
      </c>
      <c r="F121">
        <v>1</v>
      </c>
      <c r="G121">
        <v>27</v>
      </c>
      <c r="H121">
        <v>2</v>
      </c>
      <c r="I121" t="s">
        <v>773</v>
      </c>
      <c r="J121" t="s">
        <v>774</v>
      </c>
      <c r="K121" t="s">
        <v>775</v>
      </c>
      <c r="L121">
        <v>1368</v>
      </c>
      <c r="N121">
        <v>1011</v>
      </c>
      <c r="O121" t="s">
        <v>571</v>
      </c>
      <c r="P121" t="s">
        <v>571</v>
      </c>
      <c r="Q121">
        <v>1</v>
      </c>
      <c r="X121">
        <v>37.5</v>
      </c>
      <c r="Y121">
        <v>0</v>
      </c>
      <c r="Z121">
        <v>744.2</v>
      </c>
      <c r="AA121">
        <v>423.17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37.5</v>
      </c>
      <c r="AH121">
        <v>3</v>
      </c>
      <c r="AI121">
        <v>-1</v>
      </c>
      <c r="AJ121" t="s">
        <v>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ROW(Source!A51)</f>
        <v>51</v>
      </c>
      <c r="B122">
        <v>71211245</v>
      </c>
      <c r="C122">
        <v>71211242</v>
      </c>
      <c r="D122">
        <v>67891731</v>
      </c>
      <c r="E122">
        <v>1</v>
      </c>
      <c r="F122">
        <v>1</v>
      </c>
      <c r="G122">
        <v>27</v>
      </c>
      <c r="H122">
        <v>2</v>
      </c>
      <c r="I122" t="s">
        <v>670</v>
      </c>
      <c r="J122" t="s">
        <v>671</v>
      </c>
      <c r="K122" t="s">
        <v>672</v>
      </c>
      <c r="L122">
        <v>1368</v>
      </c>
      <c r="N122">
        <v>1011</v>
      </c>
      <c r="O122" t="s">
        <v>571</v>
      </c>
      <c r="P122" t="s">
        <v>571</v>
      </c>
      <c r="Q122">
        <v>1</v>
      </c>
      <c r="X122">
        <v>75</v>
      </c>
      <c r="Y122">
        <v>0</v>
      </c>
      <c r="Z122">
        <v>6.02</v>
      </c>
      <c r="AA122">
        <v>0.02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75</v>
      </c>
      <c r="AH122">
        <v>3</v>
      </c>
      <c r="AI122">
        <v>-1</v>
      </c>
      <c r="AJ122" t="s">
        <v>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ROW(Source!A51)</f>
        <v>51</v>
      </c>
      <c r="B123">
        <v>71211246</v>
      </c>
      <c r="C123">
        <v>71211242</v>
      </c>
      <c r="D123">
        <v>67891086</v>
      </c>
      <c r="E123">
        <v>1</v>
      </c>
      <c r="F123">
        <v>1</v>
      </c>
      <c r="G123">
        <v>27</v>
      </c>
      <c r="H123">
        <v>2</v>
      </c>
      <c r="I123" t="s">
        <v>688</v>
      </c>
      <c r="J123" t="s">
        <v>689</v>
      </c>
      <c r="K123" t="s">
        <v>690</v>
      </c>
      <c r="L123">
        <v>1368</v>
      </c>
      <c r="N123">
        <v>1011</v>
      </c>
      <c r="O123" t="s">
        <v>571</v>
      </c>
      <c r="P123" t="s">
        <v>571</v>
      </c>
      <c r="Q123">
        <v>1</v>
      </c>
      <c r="X123">
        <v>1.55</v>
      </c>
      <c r="Y123">
        <v>0</v>
      </c>
      <c r="Z123">
        <v>1412.71</v>
      </c>
      <c r="AA123">
        <v>641.32000000000005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1.55</v>
      </c>
      <c r="AH123">
        <v>3</v>
      </c>
      <c r="AI123">
        <v>-1</v>
      </c>
      <c r="AJ123" t="s">
        <v>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ROW(Source!A52)</f>
        <v>52</v>
      </c>
      <c r="B124">
        <v>71211248</v>
      </c>
      <c r="C124">
        <v>71211247</v>
      </c>
      <c r="D124">
        <v>67878646</v>
      </c>
      <c r="E124">
        <v>27</v>
      </c>
      <c r="F124">
        <v>1</v>
      </c>
      <c r="G124">
        <v>27</v>
      </c>
      <c r="H124">
        <v>1</v>
      </c>
      <c r="I124" t="s">
        <v>565</v>
      </c>
      <c r="J124" t="s">
        <v>3</v>
      </c>
      <c r="K124" t="s">
        <v>566</v>
      </c>
      <c r="L124">
        <v>1191</v>
      </c>
      <c r="N124">
        <v>1013</v>
      </c>
      <c r="O124" t="s">
        <v>567</v>
      </c>
      <c r="P124" t="s">
        <v>567</v>
      </c>
      <c r="Q124">
        <v>1</v>
      </c>
      <c r="X124">
        <v>11.7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 t="s">
        <v>3</v>
      </c>
      <c r="AG124">
        <v>11.7</v>
      </c>
      <c r="AH124">
        <v>3</v>
      </c>
      <c r="AI124">
        <v>-1</v>
      </c>
      <c r="AJ124" t="s">
        <v>3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ROW(Source!A52)</f>
        <v>52</v>
      </c>
      <c r="B125">
        <v>71211249</v>
      </c>
      <c r="C125">
        <v>71211247</v>
      </c>
      <c r="D125">
        <v>67890904</v>
      </c>
      <c r="E125">
        <v>1</v>
      </c>
      <c r="F125">
        <v>1</v>
      </c>
      <c r="G125">
        <v>27</v>
      </c>
      <c r="H125">
        <v>2</v>
      </c>
      <c r="I125" t="s">
        <v>685</v>
      </c>
      <c r="J125" t="s">
        <v>686</v>
      </c>
      <c r="K125" t="s">
        <v>687</v>
      </c>
      <c r="L125">
        <v>1368</v>
      </c>
      <c r="N125">
        <v>1011</v>
      </c>
      <c r="O125" t="s">
        <v>571</v>
      </c>
      <c r="P125" t="s">
        <v>571</v>
      </c>
      <c r="Q125">
        <v>1</v>
      </c>
      <c r="X125">
        <v>1.26</v>
      </c>
      <c r="Y125">
        <v>0</v>
      </c>
      <c r="Z125">
        <v>740.94</v>
      </c>
      <c r="AA125">
        <v>413.22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1.26</v>
      </c>
      <c r="AH125">
        <v>3</v>
      </c>
      <c r="AI125">
        <v>-1</v>
      </c>
      <c r="AJ125" t="s">
        <v>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ROW(Source!A52)</f>
        <v>52</v>
      </c>
      <c r="B126">
        <v>71211250</v>
      </c>
      <c r="C126">
        <v>71211247</v>
      </c>
      <c r="D126">
        <v>67891086</v>
      </c>
      <c r="E126">
        <v>1</v>
      </c>
      <c r="F126">
        <v>1</v>
      </c>
      <c r="G126">
        <v>27</v>
      </c>
      <c r="H126">
        <v>2</v>
      </c>
      <c r="I126" t="s">
        <v>688</v>
      </c>
      <c r="J126" t="s">
        <v>689</v>
      </c>
      <c r="K126" t="s">
        <v>690</v>
      </c>
      <c r="L126">
        <v>1368</v>
      </c>
      <c r="N126">
        <v>1011</v>
      </c>
      <c r="O126" t="s">
        <v>571</v>
      </c>
      <c r="P126" t="s">
        <v>571</v>
      </c>
      <c r="Q126">
        <v>1</v>
      </c>
      <c r="X126">
        <v>1.7</v>
      </c>
      <c r="Y126">
        <v>0</v>
      </c>
      <c r="Z126">
        <v>1412.71</v>
      </c>
      <c r="AA126">
        <v>641.32000000000005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1.7</v>
      </c>
      <c r="AH126">
        <v>3</v>
      </c>
      <c r="AI126">
        <v>-1</v>
      </c>
      <c r="AJ126" t="s">
        <v>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ROW(Source!A53)</f>
        <v>53</v>
      </c>
      <c r="B127">
        <v>71211252</v>
      </c>
      <c r="C127">
        <v>71211251</v>
      </c>
      <c r="D127">
        <v>67878646</v>
      </c>
      <c r="E127">
        <v>27</v>
      </c>
      <c r="F127">
        <v>1</v>
      </c>
      <c r="G127">
        <v>27</v>
      </c>
      <c r="H127">
        <v>1</v>
      </c>
      <c r="I127" t="s">
        <v>565</v>
      </c>
      <c r="J127" t="s">
        <v>3</v>
      </c>
      <c r="K127" t="s">
        <v>566</v>
      </c>
      <c r="L127">
        <v>1191</v>
      </c>
      <c r="N127">
        <v>1013</v>
      </c>
      <c r="O127" t="s">
        <v>567</v>
      </c>
      <c r="P127" t="s">
        <v>567</v>
      </c>
      <c r="Q127">
        <v>1</v>
      </c>
      <c r="X127">
        <v>49.5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1</v>
      </c>
      <c r="AF127" t="s">
        <v>3</v>
      </c>
      <c r="AG127">
        <v>49.5</v>
      </c>
      <c r="AH127">
        <v>3</v>
      </c>
      <c r="AI127">
        <v>-1</v>
      </c>
      <c r="AJ127" t="s">
        <v>3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ROW(Source!A53)</f>
        <v>53</v>
      </c>
      <c r="B128">
        <v>71211253</v>
      </c>
      <c r="C128">
        <v>71211251</v>
      </c>
      <c r="D128">
        <v>67890881</v>
      </c>
      <c r="E128">
        <v>1</v>
      </c>
      <c r="F128">
        <v>1</v>
      </c>
      <c r="G128">
        <v>27</v>
      </c>
      <c r="H128">
        <v>2</v>
      </c>
      <c r="I128" t="s">
        <v>776</v>
      </c>
      <c r="J128" t="s">
        <v>777</v>
      </c>
      <c r="K128" t="s">
        <v>778</v>
      </c>
      <c r="L128">
        <v>1368</v>
      </c>
      <c r="N128">
        <v>1011</v>
      </c>
      <c r="O128" t="s">
        <v>571</v>
      </c>
      <c r="P128" t="s">
        <v>571</v>
      </c>
      <c r="Q128">
        <v>1</v>
      </c>
      <c r="X128">
        <v>2.87</v>
      </c>
      <c r="Y128">
        <v>0</v>
      </c>
      <c r="Z128">
        <v>956.79</v>
      </c>
      <c r="AA128">
        <v>359.44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2.87</v>
      </c>
      <c r="AH128">
        <v>3</v>
      </c>
      <c r="AI128">
        <v>-1</v>
      </c>
      <c r="AJ128" t="s">
        <v>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ROW(Source!A53)</f>
        <v>53</v>
      </c>
      <c r="B129">
        <v>71211254</v>
      </c>
      <c r="C129">
        <v>71211251</v>
      </c>
      <c r="D129">
        <v>67890860</v>
      </c>
      <c r="E129">
        <v>1</v>
      </c>
      <c r="F129">
        <v>1</v>
      </c>
      <c r="G129">
        <v>27</v>
      </c>
      <c r="H129">
        <v>2</v>
      </c>
      <c r="I129" t="s">
        <v>779</v>
      </c>
      <c r="J129" t="s">
        <v>780</v>
      </c>
      <c r="K129" t="s">
        <v>781</v>
      </c>
      <c r="L129">
        <v>1368</v>
      </c>
      <c r="N129">
        <v>1011</v>
      </c>
      <c r="O129" t="s">
        <v>571</v>
      </c>
      <c r="P129" t="s">
        <v>571</v>
      </c>
      <c r="Q129">
        <v>1</v>
      </c>
      <c r="X129">
        <v>7.86</v>
      </c>
      <c r="Y129">
        <v>0</v>
      </c>
      <c r="Z129">
        <v>1494.43</v>
      </c>
      <c r="AA129">
        <v>481.21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7.86</v>
      </c>
      <c r="AH129">
        <v>3</v>
      </c>
      <c r="AI129">
        <v>-1</v>
      </c>
      <c r="AJ129" t="s">
        <v>3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ROW(Source!A54)</f>
        <v>54</v>
      </c>
      <c r="B130">
        <v>71211256</v>
      </c>
      <c r="C130">
        <v>71211255</v>
      </c>
      <c r="D130">
        <v>67878646</v>
      </c>
      <c r="E130">
        <v>27</v>
      </c>
      <c r="F130">
        <v>1</v>
      </c>
      <c r="G130">
        <v>27</v>
      </c>
      <c r="H130">
        <v>1</v>
      </c>
      <c r="I130" t="s">
        <v>565</v>
      </c>
      <c r="J130" t="s">
        <v>3</v>
      </c>
      <c r="K130" t="s">
        <v>566</v>
      </c>
      <c r="L130">
        <v>1191</v>
      </c>
      <c r="N130">
        <v>1013</v>
      </c>
      <c r="O130" t="s">
        <v>567</v>
      </c>
      <c r="P130" t="s">
        <v>567</v>
      </c>
      <c r="Q130">
        <v>1</v>
      </c>
      <c r="X130">
        <v>76.7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 t="s">
        <v>3</v>
      </c>
      <c r="AG130">
        <v>76.7</v>
      </c>
      <c r="AH130">
        <v>3</v>
      </c>
      <c r="AI130">
        <v>-1</v>
      </c>
      <c r="AJ130" t="s">
        <v>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ROW(Source!A55)</f>
        <v>55</v>
      </c>
      <c r="B131">
        <v>71211258</v>
      </c>
      <c r="C131">
        <v>71211257</v>
      </c>
      <c r="D131">
        <v>67878646</v>
      </c>
      <c r="E131">
        <v>27</v>
      </c>
      <c r="F131">
        <v>1</v>
      </c>
      <c r="G131">
        <v>27</v>
      </c>
      <c r="H131">
        <v>1</v>
      </c>
      <c r="I131" t="s">
        <v>565</v>
      </c>
      <c r="J131" t="s">
        <v>3</v>
      </c>
      <c r="K131" t="s">
        <v>566</v>
      </c>
      <c r="L131">
        <v>1191</v>
      </c>
      <c r="N131">
        <v>1013</v>
      </c>
      <c r="O131" t="s">
        <v>567</v>
      </c>
      <c r="P131" t="s">
        <v>567</v>
      </c>
      <c r="Q131">
        <v>1</v>
      </c>
      <c r="X131">
        <v>49.5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 t="s">
        <v>3</v>
      </c>
      <c r="AG131">
        <v>49.5</v>
      </c>
      <c r="AH131">
        <v>3</v>
      </c>
      <c r="AI131">
        <v>-1</v>
      </c>
      <c r="AJ131" t="s">
        <v>3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ROW(Source!A55)</f>
        <v>55</v>
      </c>
      <c r="B132">
        <v>71211259</v>
      </c>
      <c r="C132">
        <v>71211257</v>
      </c>
      <c r="D132">
        <v>67890881</v>
      </c>
      <c r="E132">
        <v>1</v>
      </c>
      <c r="F132">
        <v>1</v>
      </c>
      <c r="G132">
        <v>27</v>
      </c>
      <c r="H132">
        <v>2</v>
      </c>
      <c r="I132" t="s">
        <v>776</v>
      </c>
      <c r="J132" t="s">
        <v>777</v>
      </c>
      <c r="K132" t="s">
        <v>778</v>
      </c>
      <c r="L132">
        <v>1368</v>
      </c>
      <c r="N132">
        <v>1011</v>
      </c>
      <c r="O132" t="s">
        <v>571</v>
      </c>
      <c r="P132" t="s">
        <v>571</v>
      </c>
      <c r="Q132">
        <v>1</v>
      </c>
      <c r="X132">
        <v>2.87</v>
      </c>
      <c r="Y132">
        <v>0</v>
      </c>
      <c r="Z132">
        <v>956.79</v>
      </c>
      <c r="AA132">
        <v>359.44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2.87</v>
      </c>
      <c r="AH132">
        <v>3</v>
      </c>
      <c r="AI132">
        <v>-1</v>
      </c>
      <c r="AJ132" t="s">
        <v>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ROW(Source!A55)</f>
        <v>55</v>
      </c>
      <c r="B133">
        <v>71211260</v>
      </c>
      <c r="C133">
        <v>71211257</v>
      </c>
      <c r="D133">
        <v>67890860</v>
      </c>
      <c r="E133">
        <v>1</v>
      </c>
      <c r="F133">
        <v>1</v>
      </c>
      <c r="G133">
        <v>27</v>
      </c>
      <c r="H133">
        <v>2</v>
      </c>
      <c r="I133" t="s">
        <v>779</v>
      </c>
      <c r="J133" t="s">
        <v>780</v>
      </c>
      <c r="K133" t="s">
        <v>781</v>
      </c>
      <c r="L133">
        <v>1368</v>
      </c>
      <c r="N133">
        <v>1011</v>
      </c>
      <c r="O133" t="s">
        <v>571</v>
      </c>
      <c r="P133" t="s">
        <v>571</v>
      </c>
      <c r="Q133">
        <v>1</v>
      </c>
      <c r="X133">
        <v>7.86</v>
      </c>
      <c r="Y133">
        <v>0</v>
      </c>
      <c r="Z133">
        <v>1494.43</v>
      </c>
      <c r="AA133">
        <v>481.21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7.86</v>
      </c>
      <c r="AH133">
        <v>3</v>
      </c>
      <c r="AI133">
        <v>-1</v>
      </c>
      <c r="AJ133" t="s">
        <v>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ROW(Source!A56)</f>
        <v>56</v>
      </c>
      <c r="B134">
        <v>71211267</v>
      </c>
      <c r="C134">
        <v>71211261</v>
      </c>
      <c r="D134">
        <v>67878646</v>
      </c>
      <c r="E134">
        <v>27</v>
      </c>
      <c r="F134">
        <v>1</v>
      </c>
      <c r="G134">
        <v>27</v>
      </c>
      <c r="H134">
        <v>1</v>
      </c>
      <c r="I134" t="s">
        <v>565</v>
      </c>
      <c r="J134" t="s">
        <v>3</v>
      </c>
      <c r="K134" t="s">
        <v>566</v>
      </c>
      <c r="L134">
        <v>1191</v>
      </c>
      <c r="N134">
        <v>1013</v>
      </c>
      <c r="O134" t="s">
        <v>567</v>
      </c>
      <c r="P134" t="s">
        <v>567</v>
      </c>
      <c r="Q134">
        <v>1</v>
      </c>
      <c r="X134">
        <v>133.4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 t="s">
        <v>53</v>
      </c>
      <c r="AG134">
        <v>26.680000000000003</v>
      </c>
      <c r="AH134">
        <v>2</v>
      </c>
      <c r="AI134">
        <v>71211262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ROW(Source!A56)</f>
        <v>56</v>
      </c>
      <c r="B135">
        <v>71211268</v>
      </c>
      <c r="C135">
        <v>71211261</v>
      </c>
      <c r="D135">
        <v>67890991</v>
      </c>
      <c r="E135">
        <v>1</v>
      </c>
      <c r="F135">
        <v>1</v>
      </c>
      <c r="G135">
        <v>27</v>
      </c>
      <c r="H135">
        <v>2</v>
      </c>
      <c r="I135" t="s">
        <v>568</v>
      </c>
      <c r="J135" t="s">
        <v>569</v>
      </c>
      <c r="K135" t="s">
        <v>570</v>
      </c>
      <c r="L135">
        <v>1368</v>
      </c>
      <c r="N135">
        <v>1011</v>
      </c>
      <c r="O135" t="s">
        <v>571</v>
      </c>
      <c r="P135" t="s">
        <v>571</v>
      </c>
      <c r="Q135">
        <v>1</v>
      </c>
      <c r="X135">
        <v>29</v>
      </c>
      <c r="Y135">
        <v>0</v>
      </c>
      <c r="Z135">
        <v>31</v>
      </c>
      <c r="AA135">
        <v>1.35</v>
      </c>
      <c r="AB135">
        <v>0</v>
      </c>
      <c r="AC135">
        <v>0</v>
      </c>
      <c r="AD135">
        <v>1</v>
      </c>
      <c r="AE135">
        <v>0</v>
      </c>
      <c r="AF135" t="s">
        <v>53</v>
      </c>
      <c r="AG135">
        <v>5.8000000000000007</v>
      </c>
      <c r="AH135">
        <v>2</v>
      </c>
      <c r="AI135">
        <v>71211263</v>
      </c>
      <c r="AJ135">
        <v>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ROW(Source!A56)</f>
        <v>56</v>
      </c>
      <c r="B136">
        <v>71211269</v>
      </c>
      <c r="C136">
        <v>71211261</v>
      </c>
      <c r="D136">
        <v>67892810</v>
      </c>
      <c r="E136">
        <v>1</v>
      </c>
      <c r="F136">
        <v>1</v>
      </c>
      <c r="G136">
        <v>27</v>
      </c>
      <c r="H136">
        <v>3</v>
      </c>
      <c r="I136" t="s">
        <v>572</v>
      </c>
      <c r="J136" t="s">
        <v>573</v>
      </c>
      <c r="K136" t="s">
        <v>574</v>
      </c>
      <c r="L136">
        <v>1348</v>
      </c>
      <c r="N136">
        <v>1009</v>
      </c>
      <c r="O136" t="s">
        <v>35</v>
      </c>
      <c r="P136" t="s">
        <v>35</v>
      </c>
      <c r="Q136">
        <v>1000</v>
      </c>
      <c r="X136">
        <v>6.0000000000000001E-3</v>
      </c>
      <c r="Y136">
        <v>105084.63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52</v>
      </c>
      <c r="AG136">
        <v>0</v>
      </c>
      <c r="AH136">
        <v>2</v>
      </c>
      <c r="AI136">
        <v>71211264</v>
      </c>
      <c r="AJ136">
        <v>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ROW(Source!A56)</f>
        <v>56</v>
      </c>
      <c r="B137">
        <v>71211270</v>
      </c>
      <c r="C137">
        <v>71211261</v>
      </c>
      <c r="D137">
        <v>67893667</v>
      </c>
      <c r="E137">
        <v>1</v>
      </c>
      <c r="F137">
        <v>1</v>
      </c>
      <c r="G137">
        <v>27</v>
      </c>
      <c r="H137">
        <v>3</v>
      </c>
      <c r="I137" t="s">
        <v>575</v>
      </c>
      <c r="J137" t="s">
        <v>576</v>
      </c>
      <c r="K137" t="s">
        <v>577</v>
      </c>
      <c r="L137">
        <v>1348</v>
      </c>
      <c r="N137">
        <v>1009</v>
      </c>
      <c r="O137" t="s">
        <v>35</v>
      </c>
      <c r="P137" t="s">
        <v>35</v>
      </c>
      <c r="Q137">
        <v>1000</v>
      </c>
      <c r="X137">
        <v>3.0000000000000001E-3</v>
      </c>
      <c r="Y137">
        <v>110781.14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52</v>
      </c>
      <c r="AG137">
        <v>0</v>
      </c>
      <c r="AH137">
        <v>2</v>
      </c>
      <c r="AI137">
        <v>71211265</v>
      </c>
      <c r="AJ137">
        <v>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ROW(Source!A56)</f>
        <v>56</v>
      </c>
      <c r="B138">
        <v>71211271</v>
      </c>
      <c r="C138">
        <v>71211261</v>
      </c>
      <c r="D138">
        <v>67895779</v>
      </c>
      <c r="E138">
        <v>1</v>
      </c>
      <c r="F138">
        <v>1</v>
      </c>
      <c r="G138">
        <v>27</v>
      </c>
      <c r="H138">
        <v>3</v>
      </c>
      <c r="I138" t="s">
        <v>578</v>
      </c>
      <c r="J138" t="s">
        <v>579</v>
      </c>
      <c r="K138" t="s">
        <v>580</v>
      </c>
      <c r="L138">
        <v>1348</v>
      </c>
      <c r="N138">
        <v>1009</v>
      </c>
      <c r="O138" t="s">
        <v>35</v>
      </c>
      <c r="P138" t="s">
        <v>35</v>
      </c>
      <c r="Q138">
        <v>1000</v>
      </c>
      <c r="X138">
        <v>1</v>
      </c>
      <c r="Y138">
        <v>79722.539999999994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 t="s">
        <v>52</v>
      </c>
      <c r="AG138">
        <v>0</v>
      </c>
      <c r="AH138">
        <v>2</v>
      </c>
      <c r="AI138">
        <v>71211266</v>
      </c>
      <c r="AJ138">
        <v>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ROW(Source!A57)</f>
        <v>57</v>
      </c>
      <c r="B139">
        <v>71211276</v>
      </c>
      <c r="C139">
        <v>71211272</v>
      </c>
      <c r="D139">
        <v>67878646</v>
      </c>
      <c r="E139">
        <v>27</v>
      </c>
      <c r="F139">
        <v>1</v>
      </c>
      <c r="G139">
        <v>27</v>
      </c>
      <c r="H139">
        <v>1</v>
      </c>
      <c r="I139" t="s">
        <v>565</v>
      </c>
      <c r="J139" t="s">
        <v>3</v>
      </c>
      <c r="K139" t="s">
        <v>566</v>
      </c>
      <c r="L139">
        <v>1191</v>
      </c>
      <c r="N139">
        <v>1013</v>
      </c>
      <c r="O139" t="s">
        <v>567</v>
      </c>
      <c r="P139" t="s">
        <v>567</v>
      </c>
      <c r="Q139">
        <v>1</v>
      </c>
      <c r="X139">
        <v>63.52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 t="s">
        <v>3</v>
      </c>
      <c r="AG139">
        <v>63.52</v>
      </c>
      <c r="AH139">
        <v>2</v>
      </c>
      <c r="AI139">
        <v>71211273</v>
      </c>
      <c r="AJ139">
        <v>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ROW(Source!A57)</f>
        <v>57</v>
      </c>
      <c r="B140">
        <v>71211277</v>
      </c>
      <c r="C140">
        <v>71211272</v>
      </c>
      <c r="D140">
        <v>67890990</v>
      </c>
      <c r="E140">
        <v>1</v>
      </c>
      <c r="F140">
        <v>1</v>
      </c>
      <c r="G140">
        <v>27</v>
      </c>
      <c r="H140">
        <v>2</v>
      </c>
      <c r="I140" t="s">
        <v>581</v>
      </c>
      <c r="J140" t="s">
        <v>582</v>
      </c>
      <c r="K140" t="s">
        <v>583</v>
      </c>
      <c r="L140">
        <v>1368</v>
      </c>
      <c r="N140">
        <v>1011</v>
      </c>
      <c r="O140" t="s">
        <v>571</v>
      </c>
      <c r="P140" t="s">
        <v>571</v>
      </c>
      <c r="Q140">
        <v>1</v>
      </c>
      <c r="X140">
        <v>3.01</v>
      </c>
      <c r="Y140">
        <v>0</v>
      </c>
      <c r="Z140">
        <v>16.920000000000002</v>
      </c>
      <c r="AA140">
        <v>0.09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3.01</v>
      </c>
      <c r="AH140">
        <v>2</v>
      </c>
      <c r="AI140">
        <v>71211274</v>
      </c>
      <c r="AJ140">
        <v>7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ROW(Source!A57)</f>
        <v>57</v>
      </c>
      <c r="B141">
        <v>71211278</v>
      </c>
      <c r="C141">
        <v>71211272</v>
      </c>
      <c r="D141">
        <v>67880404</v>
      </c>
      <c r="E141">
        <v>27</v>
      </c>
      <c r="F141">
        <v>1</v>
      </c>
      <c r="G141">
        <v>27</v>
      </c>
      <c r="H141">
        <v>3</v>
      </c>
      <c r="I141" t="s">
        <v>584</v>
      </c>
      <c r="J141" t="s">
        <v>3</v>
      </c>
      <c r="K141" t="s">
        <v>585</v>
      </c>
      <c r="L141">
        <v>1348</v>
      </c>
      <c r="N141">
        <v>1009</v>
      </c>
      <c r="O141" t="s">
        <v>35</v>
      </c>
      <c r="P141" t="s">
        <v>35</v>
      </c>
      <c r="Q141">
        <v>1000</v>
      </c>
      <c r="X141">
        <v>2.74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2.74</v>
      </c>
      <c r="AH141">
        <v>2</v>
      </c>
      <c r="AI141">
        <v>71211275</v>
      </c>
      <c r="AJ141">
        <v>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ROW(Source!A58)</f>
        <v>58</v>
      </c>
      <c r="B142">
        <v>71211284</v>
      </c>
      <c r="C142">
        <v>71211279</v>
      </c>
      <c r="D142">
        <v>67890860</v>
      </c>
      <c r="E142">
        <v>1</v>
      </c>
      <c r="F142">
        <v>1</v>
      </c>
      <c r="G142">
        <v>27</v>
      </c>
      <c r="H142">
        <v>2</v>
      </c>
      <c r="I142" t="s">
        <v>779</v>
      </c>
      <c r="J142" t="s">
        <v>780</v>
      </c>
      <c r="K142" t="s">
        <v>781</v>
      </c>
      <c r="L142">
        <v>1368</v>
      </c>
      <c r="N142">
        <v>1011</v>
      </c>
      <c r="O142" t="s">
        <v>571</v>
      </c>
      <c r="P142" t="s">
        <v>571</v>
      </c>
      <c r="Q142">
        <v>1</v>
      </c>
      <c r="X142">
        <v>5.3699999999999998E-2</v>
      </c>
      <c r="Y142">
        <v>0</v>
      </c>
      <c r="Z142">
        <v>1494.43</v>
      </c>
      <c r="AA142">
        <v>481.21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5.3699999999999998E-2</v>
      </c>
      <c r="AH142">
        <v>3</v>
      </c>
      <c r="AI142">
        <v>-1</v>
      </c>
      <c r="AJ142" t="s">
        <v>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ROW(Source!A59)</f>
        <v>59</v>
      </c>
      <c r="B143">
        <v>71211290</v>
      </c>
      <c r="C143">
        <v>71211285</v>
      </c>
      <c r="D143">
        <v>67878646</v>
      </c>
      <c r="E143">
        <v>27</v>
      </c>
      <c r="F143">
        <v>1</v>
      </c>
      <c r="G143">
        <v>27</v>
      </c>
      <c r="H143">
        <v>1</v>
      </c>
      <c r="I143" t="s">
        <v>565</v>
      </c>
      <c r="J143" t="s">
        <v>3</v>
      </c>
      <c r="K143" t="s">
        <v>566</v>
      </c>
      <c r="L143">
        <v>1191</v>
      </c>
      <c r="N143">
        <v>1013</v>
      </c>
      <c r="O143" t="s">
        <v>567</v>
      </c>
      <c r="P143" t="s">
        <v>567</v>
      </c>
      <c r="Q143">
        <v>1</v>
      </c>
      <c r="X143">
        <v>1.02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 t="s">
        <v>3</v>
      </c>
      <c r="AG143">
        <v>1.02</v>
      </c>
      <c r="AH143">
        <v>3</v>
      </c>
      <c r="AI143">
        <v>-1</v>
      </c>
      <c r="AJ143" t="s">
        <v>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ROW(Source!A60)</f>
        <v>60</v>
      </c>
      <c r="B144">
        <v>71211300</v>
      </c>
      <c r="C144">
        <v>71211291</v>
      </c>
      <c r="D144">
        <v>67891658</v>
      </c>
      <c r="E144">
        <v>1</v>
      </c>
      <c r="F144">
        <v>1</v>
      </c>
      <c r="G144">
        <v>27</v>
      </c>
      <c r="H144">
        <v>2</v>
      </c>
      <c r="I144" t="s">
        <v>782</v>
      </c>
      <c r="J144" t="s">
        <v>783</v>
      </c>
      <c r="K144" t="s">
        <v>784</v>
      </c>
      <c r="L144">
        <v>1368</v>
      </c>
      <c r="N144">
        <v>1011</v>
      </c>
      <c r="O144" t="s">
        <v>571</v>
      </c>
      <c r="P144" t="s">
        <v>571</v>
      </c>
      <c r="Q144">
        <v>1</v>
      </c>
      <c r="X144">
        <v>0.02</v>
      </c>
      <c r="Y144">
        <v>0</v>
      </c>
      <c r="Z144">
        <v>1009.4</v>
      </c>
      <c r="AA144">
        <v>316.82</v>
      </c>
      <c r="AB144">
        <v>0</v>
      </c>
      <c r="AC144">
        <v>0</v>
      </c>
      <c r="AD144">
        <v>1</v>
      </c>
      <c r="AE144">
        <v>0</v>
      </c>
      <c r="AF144" t="s">
        <v>3</v>
      </c>
      <c r="AG144">
        <v>0.02</v>
      </c>
      <c r="AH144">
        <v>3</v>
      </c>
      <c r="AI144">
        <v>-1</v>
      </c>
      <c r="AJ144" t="s">
        <v>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ROW(Source!A60)</f>
        <v>60</v>
      </c>
      <c r="B145">
        <v>71211301</v>
      </c>
      <c r="C145">
        <v>71211291</v>
      </c>
      <c r="D145">
        <v>67891659</v>
      </c>
      <c r="E145">
        <v>1</v>
      </c>
      <c r="F145">
        <v>1</v>
      </c>
      <c r="G145">
        <v>27</v>
      </c>
      <c r="H145">
        <v>2</v>
      </c>
      <c r="I145" t="s">
        <v>682</v>
      </c>
      <c r="J145" t="s">
        <v>683</v>
      </c>
      <c r="K145" t="s">
        <v>684</v>
      </c>
      <c r="L145">
        <v>1368</v>
      </c>
      <c r="N145">
        <v>1011</v>
      </c>
      <c r="O145" t="s">
        <v>571</v>
      </c>
      <c r="P145" t="s">
        <v>571</v>
      </c>
      <c r="Q145">
        <v>1</v>
      </c>
      <c r="X145">
        <v>1.7999999999999999E-2</v>
      </c>
      <c r="Y145">
        <v>0</v>
      </c>
      <c r="Z145">
        <v>1014.12</v>
      </c>
      <c r="AA145">
        <v>317.13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1.7999999999999999E-2</v>
      </c>
      <c r="AH145">
        <v>3</v>
      </c>
      <c r="AI145">
        <v>-1</v>
      </c>
      <c r="AJ145" t="s">
        <v>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ROW(Source!A61)</f>
        <v>61</v>
      </c>
      <c r="B146">
        <v>71211311</v>
      </c>
      <c r="C146">
        <v>71211302</v>
      </c>
      <c r="D146">
        <v>67891658</v>
      </c>
      <c r="E146">
        <v>1</v>
      </c>
      <c r="F146">
        <v>1</v>
      </c>
      <c r="G146">
        <v>27</v>
      </c>
      <c r="H146">
        <v>2</v>
      </c>
      <c r="I146" t="s">
        <v>782</v>
      </c>
      <c r="J146" t="s">
        <v>783</v>
      </c>
      <c r="K146" t="s">
        <v>784</v>
      </c>
      <c r="L146">
        <v>1368</v>
      </c>
      <c r="N146">
        <v>1011</v>
      </c>
      <c r="O146" t="s">
        <v>571</v>
      </c>
      <c r="P146" t="s">
        <v>571</v>
      </c>
      <c r="Q146">
        <v>1</v>
      </c>
      <c r="X146">
        <v>5.3999999999999999E-2</v>
      </c>
      <c r="Y146">
        <v>0</v>
      </c>
      <c r="Z146">
        <v>1009.4</v>
      </c>
      <c r="AA146">
        <v>316.82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5.3999999999999999E-2</v>
      </c>
      <c r="AH146">
        <v>3</v>
      </c>
      <c r="AI146">
        <v>-1</v>
      </c>
      <c r="AJ146" t="s">
        <v>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ROW(Source!A61)</f>
        <v>61</v>
      </c>
      <c r="B147">
        <v>71211312</v>
      </c>
      <c r="C147">
        <v>71211302</v>
      </c>
      <c r="D147">
        <v>67891659</v>
      </c>
      <c r="E147">
        <v>1</v>
      </c>
      <c r="F147">
        <v>1</v>
      </c>
      <c r="G147">
        <v>27</v>
      </c>
      <c r="H147">
        <v>2</v>
      </c>
      <c r="I147" t="s">
        <v>682</v>
      </c>
      <c r="J147" t="s">
        <v>683</v>
      </c>
      <c r="K147" t="s">
        <v>684</v>
      </c>
      <c r="L147">
        <v>1368</v>
      </c>
      <c r="N147">
        <v>1011</v>
      </c>
      <c r="O147" t="s">
        <v>571</v>
      </c>
      <c r="P147" t="s">
        <v>571</v>
      </c>
      <c r="Q147">
        <v>1</v>
      </c>
      <c r="X147">
        <v>5.5E-2</v>
      </c>
      <c r="Y147">
        <v>0</v>
      </c>
      <c r="Z147">
        <v>1014.12</v>
      </c>
      <c r="AA147">
        <v>317.13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5.5E-2</v>
      </c>
      <c r="AH147">
        <v>3</v>
      </c>
      <c r="AI147">
        <v>-1</v>
      </c>
      <c r="AJ147" t="s">
        <v>3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ROW(Source!A62)</f>
        <v>62</v>
      </c>
      <c r="B148">
        <v>71211322</v>
      </c>
      <c r="C148">
        <v>71211313</v>
      </c>
      <c r="D148">
        <v>67891658</v>
      </c>
      <c r="E148">
        <v>1</v>
      </c>
      <c r="F148">
        <v>1</v>
      </c>
      <c r="G148">
        <v>27</v>
      </c>
      <c r="H148">
        <v>2</v>
      </c>
      <c r="I148" t="s">
        <v>782</v>
      </c>
      <c r="J148" t="s">
        <v>783</v>
      </c>
      <c r="K148" t="s">
        <v>784</v>
      </c>
      <c r="L148">
        <v>1368</v>
      </c>
      <c r="N148">
        <v>1011</v>
      </c>
      <c r="O148" t="s">
        <v>571</v>
      </c>
      <c r="P148" t="s">
        <v>571</v>
      </c>
      <c r="Q148">
        <v>1</v>
      </c>
      <c r="X148">
        <v>0.01</v>
      </c>
      <c r="Y148">
        <v>0</v>
      </c>
      <c r="Z148">
        <v>1009.4</v>
      </c>
      <c r="AA148">
        <v>316.82</v>
      </c>
      <c r="AB148">
        <v>0</v>
      </c>
      <c r="AC148">
        <v>0</v>
      </c>
      <c r="AD148">
        <v>1</v>
      </c>
      <c r="AE148">
        <v>0</v>
      </c>
      <c r="AF148" t="s">
        <v>138</v>
      </c>
      <c r="AG148">
        <v>0.42</v>
      </c>
      <c r="AH148">
        <v>3</v>
      </c>
      <c r="AI148">
        <v>-1</v>
      </c>
      <c r="AJ148" t="s">
        <v>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ROW(Source!A62)</f>
        <v>62</v>
      </c>
      <c r="B149">
        <v>71211323</v>
      </c>
      <c r="C149">
        <v>71211313</v>
      </c>
      <c r="D149">
        <v>67891659</v>
      </c>
      <c r="E149">
        <v>1</v>
      </c>
      <c r="F149">
        <v>1</v>
      </c>
      <c r="G149">
        <v>27</v>
      </c>
      <c r="H149">
        <v>2</v>
      </c>
      <c r="I149" t="s">
        <v>682</v>
      </c>
      <c r="J149" t="s">
        <v>683</v>
      </c>
      <c r="K149" t="s">
        <v>684</v>
      </c>
      <c r="L149">
        <v>1368</v>
      </c>
      <c r="N149">
        <v>1011</v>
      </c>
      <c r="O149" t="s">
        <v>571</v>
      </c>
      <c r="P149" t="s">
        <v>571</v>
      </c>
      <c r="Q149">
        <v>1</v>
      </c>
      <c r="X149">
        <v>8.0000000000000002E-3</v>
      </c>
      <c r="Y149">
        <v>0</v>
      </c>
      <c r="Z149">
        <v>1014.12</v>
      </c>
      <c r="AA149">
        <v>317.13</v>
      </c>
      <c r="AB149">
        <v>0</v>
      </c>
      <c r="AC149">
        <v>0</v>
      </c>
      <c r="AD149">
        <v>1</v>
      </c>
      <c r="AE149">
        <v>0</v>
      </c>
      <c r="AF149" t="s">
        <v>138</v>
      </c>
      <c r="AG149">
        <v>0.33600000000000002</v>
      </c>
      <c r="AH149">
        <v>3</v>
      </c>
      <c r="AI149">
        <v>-1</v>
      </c>
      <c r="AJ149" t="s">
        <v>3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ROW(Source!A99)</f>
        <v>99</v>
      </c>
      <c r="B150">
        <v>71211326</v>
      </c>
      <c r="C150">
        <v>71211325</v>
      </c>
      <c r="D150">
        <v>67878646</v>
      </c>
      <c r="E150">
        <v>27</v>
      </c>
      <c r="F150">
        <v>1</v>
      </c>
      <c r="G150">
        <v>27</v>
      </c>
      <c r="H150">
        <v>1</v>
      </c>
      <c r="I150" t="s">
        <v>565</v>
      </c>
      <c r="J150" t="s">
        <v>3</v>
      </c>
      <c r="K150" t="s">
        <v>566</v>
      </c>
      <c r="L150">
        <v>1191</v>
      </c>
      <c r="N150">
        <v>1013</v>
      </c>
      <c r="O150" t="s">
        <v>567</v>
      </c>
      <c r="P150" t="s">
        <v>567</v>
      </c>
      <c r="Q150">
        <v>1</v>
      </c>
      <c r="X150">
        <v>19.899999999999999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</v>
      </c>
      <c r="AF150" t="s">
        <v>53</v>
      </c>
      <c r="AG150">
        <v>3.98</v>
      </c>
      <c r="AH150">
        <v>3</v>
      </c>
      <c r="AI150">
        <v>-1</v>
      </c>
      <c r="AJ150" t="s">
        <v>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ROW(Source!A99)</f>
        <v>99</v>
      </c>
      <c r="B151">
        <v>71211327</v>
      </c>
      <c r="C151">
        <v>71211325</v>
      </c>
      <c r="D151">
        <v>67891319</v>
      </c>
      <c r="E151">
        <v>1</v>
      </c>
      <c r="F151">
        <v>1</v>
      </c>
      <c r="G151">
        <v>27</v>
      </c>
      <c r="H151">
        <v>2</v>
      </c>
      <c r="I151" t="s">
        <v>625</v>
      </c>
      <c r="J151" t="s">
        <v>626</v>
      </c>
      <c r="K151" t="s">
        <v>627</v>
      </c>
      <c r="L151">
        <v>1368</v>
      </c>
      <c r="N151">
        <v>1011</v>
      </c>
      <c r="O151" t="s">
        <v>571</v>
      </c>
      <c r="P151" t="s">
        <v>571</v>
      </c>
      <c r="Q151">
        <v>1</v>
      </c>
      <c r="X151">
        <v>0.31</v>
      </c>
      <c r="Y151">
        <v>0</v>
      </c>
      <c r="Z151">
        <v>41.19</v>
      </c>
      <c r="AA151">
        <v>0.34</v>
      </c>
      <c r="AB151">
        <v>0</v>
      </c>
      <c r="AC151">
        <v>0</v>
      </c>
      <c r="AD151">
        <v>1</v>
      </c>
      <c r="AE151">
        <v>0</v>
      </c>
      <c r="AF151" t="s">
        <v>53</v>
      </c>
      <c r="AG151">
        <v>6.2E-2</v>
      </c>
      <c r="AH151">
        <v>3</v>
      </c>
      <c r="AI151">
        <v>-1</v>
      </c>
      <c r="AJ151" t="s">
        <v>3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ROW(Source!A99)</f>
        <v>99</v>
      </c>
      <c r="B152">
        <v>71211328</v>
      </c>
      <c r="C152">
        <v>71211325</v>
      </c>
      <c r="D152">
        <v>67891725</v>
      </c>
      <c r="E152">
        <v>1</v>
      </c>
      <c r="F152">
        <v>1</v>
      </c>
      <c r="G152">
        <v>27</v>
      </c>
      <c r="H152">
        <v>2</v>
      </c>
      <c r="I152" t="s">
        <v>628</v>
      </c>
      <c r="J152" t="s">
        <v>629</v>
      </c>
      <c r="K152" t="s">
        <v>630</v>
      </c>
      <c r="L152">
        <v>1368</v>
      </c>
      <c r="N152">
        <v>1011</v>
      </c>
      <c r="O152" t="s">
        <v>571</v>
      </c>
      <c r="P152" t="s">
        <v>571</v>
      </c>
      <c r="Q152">
        <v>1</v>
      </c>
      <c r="X152">
        <v>5.56</v>
      </c>
      <c r="Y152">
        <v>0</v>
      </c>
      <c r="Z152">
        <v>27.02</v>
      </c>
      <c r="AA152">
        <v>0.03</v>
      </c>
      <c r="AB152">
        <v>0</v>
      </c>
      <c r="AC152">
        <v>0</v>
      </c>
      <c r="AD152">
        <v>1</v>
      </c>
      <c r="AE152">
        <v>0</v>
      </c>
      <c r="AF152" t="s">
        <v>53</v>
      </c>
      <c r="AG152">
        <v>1.1119999999999999</v>
      </c>
      <c r="AH152">
        <v>3</v>
      </c>
      <c r="AI152">
        <v>-1</v>
      </c>
      <c r="AJ152" t="s">
        <v>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ROW(Source!A99)</f>
        <v>99</v>
      </c>
      <c r="B153">
        <v>71211329</v>
      </c>
      <c r="C153">
        <v>71211325</v>
      </c>
      <c r="D153">
        <v>67890994</v>
      </c>
      <c r="E153">
        <v>1</v>
      </c>
      <c r="F153">
        <v>1</v>
      </c>
      <c r="G153">
        <v>27</v>
      </c>
      <c r="H153">
        <v>2</v>
      </c>
      <c r="I153" t="s">
        <v>631</v>
      </c>
      <c r="J153" t="s">
        <v>632</v>
      </c>
      <c r="K153" t="s">
        <v>633</v>
      </c>
      <c r="L153">
        <v>1368</v>
      </c>
      <c r="N153">
        <v>1011</v>
      </c>
      <c r="O153" t="s">
        <v>571</v>
      </c>
      <c r="P153" t="s">
        <v>571</v>
      </c>
      <c r="Q153">
        <v>1</v>
      </c>
      <c r="X153">
        <v>1.08</v>
      </c>
      <c r="Y153">
        <v>0</v>
      </c>
      <c r="Z153">
        <v>132.63</v>
      </c>
      <c r="AA153">
        <v>1.55</v>
      </c>
      <c r="AB153">
        <v>0</v>
      </c>
      <c r="AC153">
        <v>0</v>
      </c>
      <c r="AD153">
        <v>1</v>
      </c>
      <c r="AE153">
        <v>0</v>
      </c>
      <c r="AF153" t="s">
        <v>53</v>
      </c>
      <c r="AG153">
        <v>0.21600000000000003</v>
      </c>
      <c r="AH153">
        <v>3</v>
      </c>
      <c r="AI153">
        <v>-1</v>
      </c>
      <c r="AJ153" t="s">
        <v>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ROW(Source!A99)</f>
        <v>99</v>
      </c>
      <c r="B154">
        <v>71211330</v>
      </c>
      <c r="C154">
        <v>71211325</v>
      </c>
      <c r="D154">
        <v>67892810</v>
      </c>
      <c r="E154">
        <v>1</v>
      </c>
      <c r="F154">
        <v>1</v>
      </c>
      <c r="G154">
        <v>27</v>
      </c>
      <c r="H154">
        <v>3</v>
      </c>
      <c r="I154" t="s">
        <v>572</v>
      </c>
      <c r="J154" t="s">
        <v>573</v>
      </c>
      <c r="K154" t="s">
        <v>574</v>
      </c>
      <c r="L154">
        <v>1348</v>
      </c>
      <c r="N154">
        <v>1009</v>
      </c>
      <c r="O154" t="s">
        <v>35</v>
      </c>
      <c r="P154" t="s">
        <v>35</v>
      </c>
      <c r="Q154">
        <v>1000</v>
      </c>
      <c r="X154">
        <v>4.0000000000000001E-3</v>
      </c>
      <c r="Y154">
        <v>105084.63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 t="s">
        <v>52</v>
      </c>
      <c r="AG154">
        <v>0</v>
      </c>
      <c r="AH154">
        <v>3</v>
      </c>
      <c r="AI154">
        <v>-1</v>
      </c>
      <c r="AJ154" t="s">
        <v>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ROW(Source!A99)</f>
        <v>99</v>
      </c>
      <c r="B155">
        <v>71211331</v>
      </c>
      <c r="C155">
        <v>71211325</v>
      </c>
      <c r="D155">
        <v>67893667</v>
      </c>
      <c r="E155">
        <v>1</v>
      </c>
      <c r="F155">
        <v>1</v>
      </c>
      <c r="G155">
        <v>27</v>
      </c>
      <c r="H155">
        <v>3</v>
      </c>
      <c r="I155" t="s">
        <v>575</v>
      </c>
      <c r="J155" t="s">
        <v>576</v>
      </c>
      <c r="K155" t="s">
        <v>577</v>
      </c>
      <c r="L155">
        <v>1348</v>
      </c>
      <c r="N155">
        <v>1009</v>
      </c>
      <c r="O155" t="s">
        <v>35</v>
      </c>
      <c r="P155" t="s">
        <v>35</v>
      </c>
      <c r="Q155">
        <v>1000</v>
      </c>
      <c r="X155">
        <v>3.1E-2</v>
      </c>
      <c r="Y155">
        <v>110781.14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 t="s">
        <v>52</v>
      </c>
      <c r="AG155">
        <v>0</v>
      </c>
      <c r="AH155">
        <v>3</v>
      </c>
      <c r="AI155">
        <v>-1</v>
      </c>
      <c r="AJ155" t="s">
        <v>3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ROW(Source!A99)</f>
        <v>99</v>
      </c>
      <c r="B156">
        <v>71211332</v>
      </c>
      <c r="C156">
        <v>71211325</v>
      </c>
      <c r="D156">
        <v>67895770</v>
      </c>
      <c r="E156">
        <v>1</v>
      </c>
      <c r="F156">
        <v>1</v>
      </c>
      <c r="G156">
        <v>27</v>
      </c>
      <c r="H156">
        <v>3</v>
      </c>
      <c r="I156" t="s">
        <v>424</v>
      </c>
      <c r="J156" t="s">
        <v>426</v>
      </c>
      <c r="K156" t="s">
        <v>425</v>
      </c>
      <c r="L156">
        <v>1348</v>
      </c>
      <c r="N156">
        <v>1009</v>
      </c>
      <c r="O156" t="s">
        <v>35</v>
      </c>
      <c r="P156" t="s">
        <v>35</v>
      </c>
      <c r="Q156">
        <v>1000</v>
      </c>
      <c r="X156">
        <v>1</v>
      </c>
      <c r="Y156">
        <v>67754.539999999994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52</v>
      </c>
      <c r="AG156">
        <v>0</v>
      </c>
      <c r="AH156">
        <v>3</v>
      </c>
      <c r="AI156">
        <v>-1</v>
      </c>
      <c r="AJ156" t="s">
        <v>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ROW(Source!A99)</f>
        <v>99</v>
      </c>
      <c r="B157">
        <v>71211333</v>
      </c>
      <c r="C157">
        <v>71211325</v>
      </c>
      <c r="D157">
        <v>67895780</v>
      </c>
      <c r="E157">
        <v>1</v>
      </c>
      <c r="F157">
        <v>1</v>
      </c>
      <c r="G157">
        <v>27</v>
      </c>
      <c r="H157">
        <v>3</v>
      </c>
      <c r="I157" t="s">
        <v>634</v>
      </c>
      <c r="J157" t="s">
        <v>635</v>
      </c>
      <c r="K157" t="s">
        <v>636</v>
      </c>
      <c r="L157">
        <v>1348</v>
      </c>
      <c r="N157">
        <v>1009</v>
      </c>
      <c r="O157" t="s">
        <v>35</v>
      </c>
      <c r="P157" t="s">
        <v>35</v>
      </c>
      <c r="Q157">
        <v>1000</v>
      </c>
      <c r="X157">
        <v>5.0000000000000001E-3</v>
      </c>
      <c r="Y157">
        <v>75026.559999999998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 t="s">
        <v>52</v>
      </c>
      <c r="AG157">
        <v>0</v>
      </c>
      <c r="AH157">
        <v>3</v>
      </c>
      <c r="AI157">
        <v>-1</v>
      </c>
      <c r="AJ157" t="s">
        <v>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ROW(Source!A100)</f>
        <v>100</v>
      </c>
      <c r="B158">
        <v>71211340</v>
      </c>
      <c r="C158">
        <v>71211334</v>
      </c>
      <c r="D158">
        <v>67878646</v>
      </c>
      <c r="E158">
        <v>27</v>
      </c>
      <c r="F158">
        <v>1</v>
      </c>
      <c r="G158">
        <v>27</v>
      </c>
      <c r="H158">
        <v>1</v>
      </c>
      <c r="I158" t="s">
        <v>565</v>
      </c>
      <c r="J158" t="s">
        <v>3</v>
      </c>
      <c r="K158" t="s">
        <v>566</v>
      </c>
      <c r="L158">
        <v>1191</v>
      </c>
      <c r="N158">
        <v>1013</v>
      </c>
      <c r="O158" t="s">
        <v>567</v>
      </c>
      <c r="P158" t="s">
        <v>567</v>
      </c>
      <c r="Q158">
        <v>1</v>
      </c>
      <c r="X158">
        <v>133.4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 t="s">
        <v>53</v>
      </c>
      <c r="AG158">
        <v>26.680000000000003</v>
      </c>
      <c r="AH158">
        <v>2</v>
      </c>
      <c r="AI158">
        <v>71211335</v>
      </c>
      <c r="AJ158">
        <v>9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ROW(Source!A100)</f>
        <v>100</v>
      </c>
      <c r="B159">
        <v>71211341</v>
      </c>
      <c r="C159">
        <v>71211334</v>
      </c>
      <c r="D159">
        <v>67890991</v>
      </c>
      <c r="E159">
        <v>1</v>
      </c>
      <c r="F159">
        <v>1</v>
      </c>
      <c r="G159">
        <v>27</v>
      </c>
      <c r="H159">
        <v>2</v>
      </c>
      <c r="I159" t="s">
        <v>568</v>
      </c>
      <c r="J159" t="s">
        <v>569</v>
      </c>
      <c r="K159" t="s">
        <v>570</v>
      </c>
      <c r="L159">
        <v>1368</v>
      </c>
      <c r="N159">
        <v>1011</v>
      </c>
      <c r="O159" t="s">
        <v>571</v>
      </c>
      <c r="P159" t="s">
        <v>571</v>
      </c>
      <c r="Q159">
        <v>1</v>
      </c>
      <c r="X159">
        <v>29</v>
      </c>
      <c r="Y159">
        <v>0</v>
      </c>
      <c r="Z159">
        <v>31</v>
      </c>
      <c r="AA159">
        <v>1.35</v>
      </c>
      <c r="AB159">
        <v>0</v>
      </c>
      <c r="AC159">
        <v>0</v>
      </c>
      <c r="AD159">
        <v>1</v>
      </c>
      <c r="AE159">
        <v>0</v>
      </c>
      <c r="AF159" t="s">
        <v>53</v>
      </c>
      <c r="AG159">
        <v>5.8000000000000007</v>
      </c>
      <c r="AH159">
        <v>2</v>
      </c>
      <c r="AI159">
        <v>71211336</v>
      </c>
      <c r="AJ159">
        <v>10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ROW(Source!A100)</f>
        <v>100</v>
      </c>
      <c r="B160">
        <v>71211342</v>
      </c>
      <c r="C160">
        <v>71211334</v>
      </c>
      <c r="D160">
        <v>67892810</v>
      </c>
      <c r="E160">
        <v>1</v>
      </c>
      <c r="F160">
        <v>1</v>
      </c>
      <c r="G160">
        <v>27</v>
      </c>
      <c r="H160">
        <v>3</v>
      </c>
      <c r="I160" t="s">
        <v>572</v>
      </c>
      <c r="J160" t="s">
        <v>573</v>
      </c>
      <c r="K160" t="s">
        <v>574</v>
      </c>
      <c r="L160">
        <v>1348</v>
      </c>
      <c r="N160">
        <v>1009</v>
      </c>
      <c r="O160" t="s">
        <v>35</v>
      </c>
      <c r="P160" t="s">
        <v>35</v>
      </c>
      <c r="Q160">
        <v>1000</v>
      </c>
      <c r="X160">
        <v>6.0000000000000001E-3</v>
      </c>
      <c r="Y160">
        <v>105084.63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 t="s">
        <v>52</v>
      </c>
      <c r="AG160">
        <v>0</v>
      </c>
      <c r="AH160">
        <v>2</v>
      </c>
      <c r="AI160">
        <v>71211337</v>
      </c>
      <c r="AJ160">
        <v>11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ROW(Source!A100)</f>
        <v>100</v>
      </c>
      <c r="B161">
        <v>71211343</v>
      </c>
      <c r="C161">
        <v>71211334</v>
      </c>
      <c r="D161">
        <v>67893667</v>
      </c>
      <c r="E161">
        <v>1</v>
      </c>
      <c r="F161">
        <v>1</v>
      </c>
      <c r="G161">
        <v>27</v>
      </c>
      <c r="H161">
        <v>3</v>
      </c>
      <c r="I161" t="s">
        <v>575</v>
      </c>
      <c r="J161" t="s">
        <v>576</v>
      </c>
      <c r="K161" t="s">
        <v>577</v>
      </c>
      <c r="L161">
        <v>1348</v>
      </c>
      <c r="N161">
        <v>1009</v>
      </c>
      <c r="O161" t="s">
        <v>35</v>
      </c>
      <c r="P161" t="s">
        <v>35</v>
      </c>
      <c r="Q161">
        <v>1000</v>
      </c>
      <c r="X161">
        <v>3.0000000000000001E-3</v>
      </c>
      <c r="Y161">
        <v>110781.14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 t="s">
        <v>52</v>
      </c>
      <c r="AG161">
        <v>0</v>
      </c>
      <c r="AH161">
        <v>2</v>
      </c>
      <c r="AI161">
        <v>71211338</v>
      </c>
      <c r="AJ161">
        <v>12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ROW(Source!A100)</f>
        <v>100</v>
      </c>
      <c r="B162">
        <v>71211344</v>
      </c>
      <c r="C162">
        <v>71211334</v>
      </c>
      <c r="D162">
        <v>67895779</v>
      </c>
      <c r="E162">
        <v>1</v>
      </c>
      <c r="F162">
        <v>1</v>
      </c>
      <c r="G162">
        <v>27</v>
      </c>
      <c r="H162">
        <v>3</v>
      </c>
      <c r="I162" t="s">
        <v>578</v>
      </c>
      <c r="J162" t="s">
        <v>579</v>
      </c>
      <c r="K162" t="s">
        <v>580</v>
      </c>
      <c r="L162">
        <v>1348</v>
      </c>
      <c r="N162">
        <v>1009</v>
      </c>
      <c r="O162" t="s">
        <v>35</v>
      </c>
      <c r="P162" t="s">
        <v>35</v>
      </c>
      <c r="Q162">
        <v>1000</v>
      </c>
      <c r="X162">
        <v>1</v>
      </c>
      <c r="Y162">
        <v>79722.539999999994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52</v>
      </c>
      <c r="AG162">
        <v>0</v>
      </c>
      <c r="AH162">
        <v>2</v>
      </c>
      <c r="AI162">
        <v>71211339</v>
      </c>
      <c r="AJ162">
        <v>13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ROW(Source!A101)</f>
        <v>101</v>
      </c>
      <c r="B163">
        <v>71217246</v>
      </c>
      <c r="C163">
        <v>71211345</v>
      </c>
      <c r="D163">
        <v>67878646</v>
      </c>
      <c r="E163">
        <v>27</v>
      </c>
      <c r="F163">
        <v>1</v>
      </c>
      <c r="G163">
        <v>27</v>
      </c>
      <c r="H163">
        <v>1</v>
      </c>
      <c r="I163" t="s">
        <v>565</v>
      </c>
      <c r="J163" t="s">
        <v>3</v>
      </c>
      <c r="K163" t="s">
        <v>566</v>
      </c>
      <c r="L163">
        <v>1191</v>
      </c>
      <c r="N163">
        <v>1013</v>
      </c>
      <c r="O163" t="s">
        <v>567</v>
      </c>
      <c r="P163" t="s">
        <v>567</v>
      </c>
      <c r="Q163">
        <v>1</v>
      </c>
      <c r="X163">
        <v>110.4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 t="s">
        <v>53</v>
      </c>
      <c r="AG163">
        <v>22.080000000000002</v>
      </c>
      <c r="AH163">
        <v>2</v>
      </c>
      <c r="AI163">
        <v>71217246</v>
      </c>
      <c r="AJ163">
        <v>14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ROW(Source!A101)</f>
        <v>101</v>
      </c>
      <c r="B164">
        <v>71217247</v>
      </c>
      <c r="C164">
        <v>71211345</v>
      </c>
      <c r="D164">
        <v>67890991</v>
      </c>
      <c r="E164">
        <v>1</v>
      </c>
      <c r="F164">
        <v>1</v>
      </c>
      <c r="G164">
        <v>27</v>
      </c>
      <c r="H164">
        <v>2</v>
      </c>
      <c r="I164" t="s">
        <v>568</v>
      </c>
      <c r="J164" t="s">
        <v>569</v>
      </c>
      <c r="K164" t="s">
        <v>570</v>
      </c>
      <c r="L164">
        <v>1368</v>
      </c>
      <c r="N164">
        <v>1011</v>
      </c>
      <c r="O164" t="s">
        <v>571</v>
      </c>
      <c r="P164" t="s">
        <v>571</v>
      </c>
      <c r="Q164">
        <v>1</v>
      </c>
      <c r="X164">
        <v>24</v>
      </c>
      <c r="Y164">
        <v>0</v>
      </c>
      <c r="Z164">
        <v>31</v>
      </c>
      <c r="AA164">
        <v>1.35</v>
      </c>
      <c r="AB164">
        <v>0</v>
      </c>
      <c r="AC164">
        <v>0</v>
      </c>
      <c r="AD164">
        <v>1</v>
      </c>
      <c r="AE164">
        <v>0</v>
      </c>
      <c r="AF164" t="s">
        <v>53</v>
      </c>
      <c r="AG164">
        <v>4.8000000000000007</v>
      </c>
      <c r="AH164">
        <v>2</v>
      </c>
      <c r="AI164">
        <v>71217247</v>
      </c>
      <c r="AJ164">
        <v>15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ROW(Source!A101)</f>
        <v>101</v>
      </c>
      <c r="B165">
        <v>71217248</v>
      </c>
      <c r="C165">
        <v>71211345</v>
      </c>
      <c r="D165">
        <v>67892810</v>
      </c>
      <c r="E165">
        <v>1</v>
      </c>
      <c r="F165">
        <v>1</v>
      </c>
      <c r="G165">
        <v>27</v>
      </c>
      <c r="H165">
        <v>3</v>
      </c>
      <c r="I165" t="s">
        <v>572</v>
      </c>
      <c r="J165" t="s">
        <v>573</v>
      </c>
      <c r="K165" t="s">
        <v>574</v>
      </c>
      <c r="L165">
        <v>1348</v>
      </c>
      <c r="N165">
        <v>1009</v>
      </c>
      <c r="O165" t="s">
        <v>35</v>
      </c>
      <c r="P165" t="s">
        <v>35</v>
      </c>
      <c r="Q165">
        <v>1000</v>
      </c>
      <c r="X165">
        <v>5.0000000000000001E-3</v>
      </c>
      <c r="Y165">
        <v>105084.63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t="s">
        <v>52</v>
      </c>
      <c r="AG165">
        <v>0</v>
      </c>
      <c r="AH165">
        <v>2</v>
      </c>
      <c r="AI165">
        <v>71217248</v>
      </c>
      <c r="AJ165">
        <v>16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ROW(Source!A101)</f>
        <v>101</v>
      </c>
      <c r="B166">
        <v>71217249</v>
      </c>
      <c r="C166">
        <v>71211345</v>
      </c>
      <c r="D166">
        <v>67893667</v>
      </c>
      <c r="E166">
        <v>1</v>
      </c>
      <c r="F166">
        <v>1</v>
      </c>
      <c r="G166">
        <v>27</v>
      </c>
      <c r="H166">
        <v>3</v>
      </c>
      <c r="I166" t="s">
        <v>575</v>
      </c>
      <c r="J166" t="s">
        <v>576</v>
      </c>
      <c r="K166" t="s">
        <v>577</v>
      </c>
      <c r="L166">
        <v>1348</v>
      </c>
      <c r="N166">
        <v>1009</v>
      </c>
      <c r="O166" t="s">
        <v>35</v>
      </c>
      <c r="P166" t="s">
        <v>35</v>
      </c>
      <c r="Q166">
        <v>1000</v>
      </c>
      <c r="X166">
        <v>2E-3</v>
      </c>
      <c r="Y166">
        <v>110781.14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 t="s">
        <v>52</v>
      </c>
      <c r="AG166">
        <v>0</v>
      </c>
      <c r="AH166">
        <v>2</v>
      </c>
      <c r="AI166">
        <v>71217249</v>
      </c>
      <c r="AJ166">
        <v>17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ROW(Source!A101)</f>
        <v>101</v>
      </c>
      <c r="B167">
        <v>71217250</v>
      </c>
      <c r="C167">
        <v>71211345</v>
      </c>
      <c r="D167">
        <v>67895779</v>
      </c>
      <c r="E167">
        <v>1</v>
      </c>
      <c r="F167">
        <v>1</v>
      </c>
      <c r="G167">
        <v>27</v>
      </c>
      <c r="H167">
        <v>3</v>
      </c>
      <c r="I167" t="s">
        <v>578</v>
      </c>
      <c r="J167" t="s">
        <v>579</v>
      </c>
      <c r="K167" t="s">
        <v>580</v>
      </c>
      <c r="L167">
        <v>1348</v>
      </c>
      <c r="N167">
        <v>1009</v>
      </c>
      <c r="O167" t="s">
        <v>35</v>
      </c>
      <c r="P167" t="s">
        <v>35</v>
      </c>
      <c r="Q167">
        <v>1000</v>
      </c>
      <c r="X167">
        <v>1</v>
      </c>
      <c r="Y167">
        <v>79722.539999999994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 t="s">
        <v>52</v>
      </c>
      <c r="AG167">
        <v>0</v>
      </c>
      <c r="AH167">
        <v>2</v>
      </c>
      <c r="AI167">
        <v>71217250</v>
      </c>
      <c r="AJ167">
        <v>18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ROW(Source!A102)</f>
        <v>102</v>
      </c>
      <c r="B168">
        <v>71211362</v>
      </c>
      <c r="C168">
        <v>71211356</v>
      </c>
      <c r="D168">
        <v>67878646</v>
      </c>
      <c r="E168">
        <v>27</v>
      </c>
      <c r="F168">
        <v>1</v>
      </c>
      <c r="G168">
        <v>27</v>
      </c>
      <c r="H168">
        <v>1</v>
      </c>
      <c r="I168" t="s">
        <v>565</v>
      </c>
      <c r="J168" t="s">
        <v>3</v>
      </c>
      <c r="K168" t="s">
        <v>566</v>
      </c>
      <c r="L168">
        <v>1191</v>
      </c>
      <c r="N168">
        <v>1013</v>
      </c>
      <c r="O168" t="s">
        <v>567</v>
      </c>
      <c r="P168" t="s">
        <v>567</v>
      </c>
      <c r="Q168">
        <v>1</v>
      </c>
      <c r="X168">
        <v>87.4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 t="s">
        <v>53</v>
      </c>
      <c r="AG168">
        <v>17.48</v>
      </c>
      <c r="AH168">
        <v>2</v>
      </c>
      <c r="AI168">
        <v>71211357</v>
      </c>
      <c r="AJ168">
        <v>19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ROW(Source!A102)</f>
        <v>102</v>
      </c>
      <c r="B169">
        <v>71211363</v>
      </c>
      <c r="C169">
        <v>71211356</v>
      </c>
      <c r="D169">
        <v>67890991</v>
      </c>
      <c r="E169">
        <v>1</v>
      </c>
      <c r="F169">
        <v>1</v>
      </c>
      <c r="G169">
        <v>27</v>
      </c>
      <c r="H169">
        <v>2</v>
      </c>
      <c r="I169" t="s">
        <v>568</v>
      </c>
      <c r="J169" t="s">
        <v>569</v>
      </c>
      <c r="K169" t="s">
        <v>570</v>
      </c>
      <c r="L169">
        <v>1368</v>
      </c>
      <c r="N169">
        <v>1011</v>
      </c>
      <c r="O169" t="s">
        <v>571</v>
      </c>
      <c r="P169" t="s">
        <v>571</v>
      </c>
      <c r="Q169">
        <v>1</v>
      </c>
      <c r="X169">
        <v>19</v>
      </c>
      <c r="Y169">
        <v>0</v>
      </c>
      <c r="Z169">
        <v>31</v>
      </c>
      <c r="AA169">
        <v>1.35</v>
      </c>
      <c r="AB169">
        <v>0</v>
      </c>
      <c r="AC169">
        <v>0</v>
      </c>
      <c r="AD169">
        <v>1</v>
      </c>
      <c r="AE169">
        <v>0</v>
      </c>
      <c r="AF169" t="s">
        <v>53</v>
      </c>
      <c r="AG169">
        <v>3.8000000000000003</v>
      </c>
      <c r="AH169">
        <v>2</v>
      </c>
      <c r="AI169">
        <v>71211358</v>
      </c>
      <c r="AJ169">
        <v>20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ROW(Source!A102)</f>
        <v>102</v>
      </c>
      <c r="B170">
        <v>71211364</v>
      </c>
      <c r="C170">
        <v>71211356</v>
      </c>
      <c r="D170">
        <v>67892810</v>
      </c>
      <c r="E170">
        <v>1</v>
      </c>
      <c r="F170">
        <v>1</v>
      </c>
      <c r="G170">
        <v>27</v>
      </c>
      <c r="H170">
        <v>3</v>
      </c>
      <c r="I170" t="s">
        <v>572</v>
      </c>
      <c r="J170" t="s">
        <v>573</v>
      </c>
      <c r="K170" t="s">
        <v>574</v>
      </c>
      <c r="L170">
        <v>1348</v>
      </c>
      <c r="N170">
        <v>1009</v>
      </c>
      <c r="O170" t="s">
        <v>35</v>
      </c>
      <c r="P170" t="s">
        <v>35</v>
      </c>
      <c r="Q170">
        <v>1000</v>
      </c>
      <c r="X170">
        <v>3.3E-3</v>
      </c>
      <c r="Y170">
        <v>105084.63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 t="s">
        <v>52</v>
      </c>
      <c r="AG170">
        <v>0</v>
      </c>
      <c r="AH170">
        <v>2</v>
      </c>
      <c r="AI170">
        <v>71211359</v>
      </c>
      <c r="AJ170">
        <v>21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ROW(Source!A102)</f>
        <v>102</v>
      </c>
      <c r="B171">
        <v>71211365</v>
      </c>
      <c r="C171">
        <v>71211356</v>
      </c>
      <c r="D171">
        <v>67893667</v>
      </c>
      <c r="E171">
        <v>1</v>
      </c>
      <c r="F171">
        <v>1</v>
      </c>
      <c r="G171">
        <v>27</v>
      </c>
      <c r="H171">
        <v>3</v>
      </c>
      <c r="I171" t="s">
        <v>575</v>
      </c>
      <c r="J171" t="s">
        <v>576</v>
      </c>
      <c r="K171" t="s">
        <v>577</v>
      </c>
      <c r="L171">
        <v>1348</v>
      </c>
      <c r="N171">
        <v>1009</v>
      </c>
      <c r="O171" t="s">
        <v>35</v>
      </c>
      <c r="P171" t="s">
        <v>35</v>
      </c>
      <c r="Q171">
        <v>1000</v>
      </c>
      <c r="X171">
        <v>1.4E-3</v>
      </c>
      <c r="Y171">
        <v>110781.14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 t="s">
        <v>52</v>
      </c>
      <c r="AG171">
        <v>0</v>
      </c>
      <c r="AH171">
        <v>2</v>
      </c>
      <c r="AI171">
        <v>71211360</v>
      </c>
      <c r="AJ171">
        <v>22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ROW(Source!A102)</f>
        <v>102</v>
      </c>
      <c r="B172">
        <v>71211366</v>
      </c>
      <c r="C172">
        <v>71211356</v>
      </c>
      <c r="D172">
        <v>67895782</v>
      </c>
      <c r="E172">
        <v>1</v>
      </c>
      <c r="F172">
        <v>1</v>
      </c>
      <c r="G172">
        <v>27</v>
      </c>
      <c r="H172">
        <v>3</v>
      </c>
      <c r="I172" t="s">
        <v>586</v>
      </c>
      <c r="J172" t="s">
        <v>587</v>
      </c>
      <c r="K172" t="s">
        <v>588</v>
      </c>
      <c r="L172">
        <v>1348</v>
      </c>
      <c r="N172">
        <v>1009</v>
      </c>
      <c r="O172" t="s">
        <v>35</v>
      </c>
      <c r="P172" t="s">
        <v>35</v>
      </c>
      <c r="Q172">
        <v>1000</v>
      </c>
      <c r="X172">
        <v>1</v>
      </c>
      <c r="Y172">
        <v>75026.559999999998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 t="s">
        <v>52</v>
      </c>
      <c r="AG172">
        <v>0</v>
      </c>
      <c r="AH172">
        <v>2</v>
      </c>
      <c r="AI172">
        <v>71211361</v>
      </c>
      <c r="AJ172">
        <v>23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ROW(Source!A103)</f>
        <v>103</v>
      </c>
      <c r="B173">
        <v>71211371</v>
      </c>
      <c r="C173">
        <v>71211367</v>
      </c>
      <c r="D173">
        <v>67878646</v>
      </c>
      <c r="E173">
        <v>27</v>
      </c>
      <c r="F173">
        <v>1</v>
      </c>
      <c r="G173">
        <v>27</v>
      </c>
      <c r="H173">
        <v>1</v>
      </c>
      <c r="I173" t="s">
        <v>565</v>
      </c>
      <c r="J173" t="s">
        <v>3</v>
      </c>
      <c r="K173" t="s">
        <v>566</v>
      </c>
      <c r="L173">
        <v>1191</v>
      </c>
      <c r="N173">
        <v>1013</v>
      </c>
      <c r="O173" t="s">
        <v>567</v>
      </c>
      <c r="P173" t="s">
        <v>567</v>
      </c>
      <c r="Q173">
        <v>1</v>
      </c>
      <c r="X173">
        <v>63.52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 t="s">
        <v>3</v>
      </c>
      <c r="AG173">
        <v>63.52</v>
      </c>
      <c r="AH173">
        <v>2</v>
      </c>
      <c r="AI173">
        <v>71211368</v>
      </c>
      <c r="AJ173">
        <v>24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ROW(Source!A103)</f>
        <v>103</v>
      </c>
      <c r="B174">
        <v>71211372</v>
      </c>
      <c r="C174">
        <v>71211367</v>
      </c>
      <c r="D174">
        <v>67890990</v>
      </c>
      <c r="E174">
        <v>1</v>
      </c>
      <c r="F174">
        <v>1</v>
      </c>
      <c r="G174">
        <v>27</v>
      </c>
      <c r="H174">
        <v>2</v>
      </c>
      <c r="I174" t="s">
        <v>581</v>
      </c>
      <c r="J174" t="s">
        <v>582</v>
      </c>
      <c r="K174" t="s">
        <v>583</v>
      </c>
      <c r="L174">
        <v>1368</v>
      </c>
      <c r="N174">
        <v>1011</v>
      </c>
      <c r="O174" t="s">
        <v>571</v>
      </c>
      <c r="P174" t="s">
        <v>571</v>
      </c>
      <c r="Q174">
        <v>1</v>
      </c>
      <c r="X174">
        <v>3.01</v>
      </c>
      <c r="Y174">
        <v>0</v>
      </c>
      <c r="Z174">
        <v>16.920000000000002</v>
      </c>
      <c r="AA174">
        <v>0.09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3.01</v>
      </c>
      <c r="AH174">
        <v>2</v>
      </c>
      <c r="AI174">
        <v>71211369</v>
      </c>
      <c r="AJ174">
        <v>25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ROW(Source!A103)</f>
        <v>103</v>
      </c>
      <c r="B175">
        <v>71211373</v>
      </c>
      <c r="C175">
        <v>71211367</v>
      </c>
      <c r="D175">
        <v>67880404</v>
      </c>
      <c r="E175">
        <v>27</v>
      </c>
      <c r="F175">
        <v>1</v>
      </c>
      <c r="G175">
        <v>27</v>
      </c>
      <c r="H175">
        <v>3</v>
      </c>
      <c r="I175" t="s">
        <v>584</v>
      </c>
      <c r="J175" t="s">
        <v>3</v>
      </c>
      <c r="K175" t="s">
        <v>585</v>
      </c>
      <c r="L175">
        <v>1348</v>
      </c>
      <c r="N175">
        <v>1009</v>
      </c>
      <c r="O175" t="s">
        <v>35</v>
      </c>
      <c r="P175" t="s">
        <v>35</v>
      </c>
      <c r="Q175">
        <v>1000</v>
      </c>
      <c r="X175">
        <v>2.74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2.74</v>
      </c>
      <c r="AH175">
        <v>2</v>
      </c>
      <c r="AI175">
        <v>71211370</v>
      </c>
      <c r="AJ175">
        <v>26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ROW(Source!A104)</f>
        <v>104</v>
      </c>
      <c r="B176">
        <v>71211375</v>
      </c>
      <c r="C176">
        <v>71211374</v>
      </c>
      <c r="D176">
        <v>67878646</v>
      </c>
      <c r="E176">
        <v>27</v>
      </c>
      <c r="F176">
        <v>1</v>
      </c>
      <c r="G176">
        <v>27</v>
      </c>
      <c r="H176">
        <v>1</v>
      </c>
      <c r="I176" t="s">
        <v>565</v>
      </c>
      <c r="J176" t="s">
        <v>3</v>
      </c>
      <c r="K176" t="s">
        <v>566</v>
      </c>
      <c r="L176">
        <v>1191</v>
      </c>
      <c r="N176">
        <v>1013</v>
      </c>
      <c r="O176" t="s">
        <v>567</v>
      </c>
      <c r="P176" t="s">
        <v>567</v>
      </c>
      <c r="Q176">
        <v>1</v>
      </c>
      <c r="X176">
        <v>49.1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 t="s">
        <v>53</v>
      </c>
      <c r="AG176">
        <v>9.82</v>
      </c>
      <c r="AH176">
        <v>3</v>
      </c>
      <c r="AI176">
        <v>-1</v>
      </c>
      <c r="AJ176" t="s">
        <v>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ROW(Source!A104)</f>
        <v>104</v>
      </c>
      <c r="B177">
        <v>71211376</v>
      </c>
      <c r="C177">
        <v>71211374</v>
      </c>
      <c r="D177">
        <v>67891309</v>
      </c>
      <c r="E177">
        <v>1</v>
      </c>
      <c r="F177">
        <v>1</v>
      </c>
      <c r="G177">
        <v>27</v>
      </c>
      <c r="H177">
        <v>2</v>
      </c>
      <c r="I177" t="s">
        <v>785</v>
      </c>
      <c r="J177" t="s">
        <v>786</v>
      </c>
      <c r="K177" t="s">
        <v>787</v>
      </c>
      <c r="L177">
        <v>1368</v>
      </c>
      <c r="N177">
        <v>1011</v>
      </c>
      <c r="O177" t="s">
        <v>571</v>
      </c>
      <c r="P177" t="s">
        <v>571</v>
      </c>
      <c r="Q177">
        <v>1</v>
      </c>
      <c r="X177">
        <v>22.9</v>
      </c>
      <c r="Y177">
        <v>0</v>
      </c>
      <c r="Z177">
        <v>54.65</v>
      </c>
      <c r="AA177">
        <v>0.05</v>
      </c>
      <c r="AB177">
        <v>0</v>
      </c>
      <c r="AC177">
        <v>0</v>
      </c>
      <c r="AD177">
        <v>1</v>
      </c>
      <c r="AE177">
        <v>0</v>
      </c>
      <c r="AF177" t="s">
        <v>53</v>
      </c>
      <c r="AG177">
        <v>4.58</v>
      </c>
      <c r="AH177">
        <v>3</v>
      </c>
      <c r="AI177">
        <v>-1</v>
      </c>
      <c r="AJ177" t="s">
        <v>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ROW(Source!A104)</f>
        <v>104</v>
      </c>
      <c r="B178">
        <v>71211377</v>
      </c>
      <c r="C178">
        <v>71211374</v>
      </c>
      <c r="D178">
        <v>67893667</v>
      </c>
      <c r="E178">
        <v>1</v>
      </c>
      <c r="F178">
        <v>1</v>
      </c>
      <c r="G178">
        <v>27</v>
      </c>
      <c r="H178">
        <v>3</v>
      </c>
      <c r="I178" t="s">
        <v>575</v>
      </c>
      <c r="J178" t="s">
        <v>576</v>
      </c>
      <c r="K178" t="s">
        <v>577</v>
      </c>
      <c r="L178">
        <v>1348</v>
      </c>
      <c r="N178">
        <v>1009</v>
      </c>
      <c r="O178" t="s">
        <v>35</v>
      </c>
      <c r="P178" t="s">
        <v>35</v>
      </c>
      <c r="Q178">
        <v>1000</v>
      </c>
      <c r="X178">
        <v>0.04</v>
      </c>
      <c r="Y178">
        <v>110781.14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 t="s">
        <v>52</v>
      </c>
      <c r="AG178">
        <v>0</v>
      </c>
      <c r="AH178">
        <v>3</v>
      </c>
      <c r="AI178">
        <v>-1</v>
      </c>
      <c r="AJ178" t="s">
        <v>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ROW(Source!A104)</f>
        <v>104</v>
      </c>
      <c r="B179">
        <v>71211378</v>
      </c>
      <c r="C179">
        <v>71211374</v>
      </c>
      <c r="D179">
        <v>67894986</v>
      </c>
      <c r="E179">
        <v>1</v>
      </c>
      <c r="F179">
        <v>1</v>
      </c>
      <c r="G179">
        <v>27</v>
      </c>
      <c r="H179">
        <v>3</v>
      </c>
      <c r="I179" t="s">
        <v>788</v>
      </c>
      <c r="J179" t="s">
        <v>789</v>
      </c>
      <c r="K179" t="s">
        <v>790</v>
      </c>
      <c r="L179">
        <v>1348</v>
      </c>
      <c r="N179">
        <v>1009</v>
      </c>
      <c r="O179" t="s">
        <v>35</v>
      </c>
      <c r="P179" t="s">
        <v>35</v>
      </c>
      <c r="Q179">
        <v>1000</v>
      </c>
      <c r="X179">
        <v>1</v>
      </c>
      <c r="Y179">
        <v>53233.52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 t="s">
        <v>52</v>
      </c>
      <c r="AG179">
        <v>0</v>
      </c>
      <c r="AH179">
        <v>3</v>
      </c>
      <c r="AI179">
        <v>-1</v>
      </c>
      <c r="AJ179" t="s">
        <v>3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ROW(Source!A105)</f>
        <v>105</v>
      </c>
      <c r="B180">
        <v>71211380</v>
      </c>
      <c r="C180">
        <v>71211379</v>
      </c>
      <c r="D180">
        <v>67878646</v>
      </c>
      <c r="E180">
        <v>27</v>
      </c>
      <c r="F180">
        <v>1</v>
      </c>
      <c r="G180">
        <v>27</v>
      </c>
      <c r="H180">
        <v>1</v>
      </c>
      <c r="I180" t="s">
        <v>565</v>
      </c>
      <c r="J180" t="s">
        <v>3</v>
      </c>
      <c r="K180" t="s">
        <v>566</v>
      </c>
      <c r="L180">
        <v>1191</v>
      </c>
      <c r="N180">
        <v>1013</v>
      </c>
      <c r="O180" t="s">
        <v>567</v>
      </c>
      <c r="P180" t="s">
        <v>567</v>
      </c>
      <c r="Q180">
        <v>1</v>
      </c>
      <c r="X180">
        <v>41.28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 t="s">
        <v>3</v>
      </c>
      <c r="AG180">
        <v>41.28</v>
      </c>
      <c r="AH180">
        <v>3</v>
      </c>
      <c r="AI180">
        <v>-1</v>
      </c>
      <c r="AJ180" t="s">
        <v>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ROW(Source!A105)</f>
        <v>105</v>
      </c>
      <c r="B181">
        <v>71211381</v>
      </c>
      <c r="C181">
        <v>71211379</v>
      </c>
      <c r="D181">
        <v>67891319</v>
      </c>
      <c r="E181">
        <v>1</v>
      </c>
      <c r="F181">
        <v>1</v>
      </c>
      <c r="G181">
        <v>27</v>
      </c>
      <c r="H181">
        <v>2</v>
      </c>
      <c r="I181" t="s">
        <v>625</v>
      </c>
      <c r="J181" t="s">
        <v>626</v>
      </c>
      <c r="K181" t="s">
        <v>627</v>
      </c>
      <c r="L181">
        <v>1368</v>
      </c>
      <c r="N181">
        <v>1011</v>
      </c>
      <c r="O181" t="s">
        <v>571</v>
      </c>
      <c r="P181" t="s">
        <v>571</v>
      </c>
      <c r="Q181">
        <v>1</v>
      </c>
      <c r="X181">
        <v>0.42</v>
      </c>
      <c r="Y181">
        <v>0</v>
      </c>
      <c r="Z181">
        <v>41.19</v>
      </c>
      <c r="AA181">
        <v>0.34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0.42</v>
      </c>
      <c r="AH181">
        <v>3</v>
      </c>
      <c r="AI181">
        <v>-1</v>
      </c>
      <c r="AJ181" t="s">
        <v>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ROW(Source!A105)</f>
        <v>105</v>
      </c>
      <c r="B182">
        <v>71211382</v>
      </c>
      <c r="C182">
        <v>71211379</v>
      </c>
      <c r="D182">
        <v>67891725</v>
      </c>
      <c r="E182">
        <v>1</v>
      </c>
      <c r="F182">
        <v>1</v>
      </c>
      <c r="G182">
        <v>27</v>
      </c>
      <c r="H182">
        <v>2</v>
      </c>
      <c r="I182" t="s">
        <v>628</v>
      </c>
      <c r="J182" t="s">
        <v>629</v>
      </c>
      <c r="K182" t="s">
        <v>630</v>
      </c>
      <c r="L182">
        <v>1368</v>
      </c>
      <c r="N182">
        <v>1011</v>
      </c>
      <c r="O182" t="s">
        <v>571</v>
      </c>
      <c r="P182" t="s">
        <v>571</v>
      </c>
      <c r="Q182">
        <v>1</v>
      </c>
      <c r="X182">
        <v>7.7</v>
      </c>
      <c r="Y182">
        <v>0</v>
      </c>
      <c r="Z182">
        <v>27.02</v>
      </c>
      <c r="AA182">
        <v>0.03</v>
      </c>
      <c r="AB182">
        <v>0</v>
      </c>
      <c r="AC182">
        <v>0</v>
      </c>
      <c r="AD182">
        <v>1</v>
      </c>
      <c r="AE182">
        <v>0</v>
      </c>
      <c r="AF182" t="s">
        <v>3</v>
      </c>
      <c r="AG182">
        <v>7.7</v>
      </c>
      <c r="AH182">
        <v>3</v>
      </c>
      <c r="AI182">
        <v>-1</v>
      </c>
      <c r="AJ182" t="s">
        <v>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ROW(Source!A105)</f>
        <v>105</v>
      </c>
      <c r="B183">
        <v>71211383</v>
      </c>
      <c r="C183">
        <v>71211379</v>
      </c>
      <c r="D183">
        <v>67891002</v>
      </c>
      <c r="E183">
        <v>1</v>
      </c>
      <c r="F183">
        <v>1</v>
      </c>
      <c r="G183">
        <v>27</v>
      </c>
      <c r="H183">
        <v>2</v>
      </c>
      <c r="I183" t="s">
        <v>791</v>
      </c>
      <c r="J183" t="s">
        <v>792</v>
      </c>
      <c r="K183" t="s">
        <v>793</v>
      </c>
      <c r="L183">
        <v>1368</v>
      </c>
      <c r="N183">
        <v>1011</v>
      </c>
      <c r="O183" t="s">
        <v>571</v>
      </c>
      <c r="P183" t="s">
        <v>571</v>
      </c>
      <c r="Q183">
        <v>1</v>
      </c>
      <c r="X183">
        <v>3.96</v>
      </c>
      <c r="Y183">
        <v>0</v>
      </c>
      <c r="Z183">
        <v>10.39</v>
      </c>
      <c r="AA183">
        <v>0.03</v>
      </c>
      <c r="AB183">
        <v>0</v>
      </c>
      <c r="AC183">
        <v>0</v>
      </c>
      <c r="AD183">
        <v>1</v>
      </c>
      <c r="AE183">
        <v>0</v>
      </c>
      <c r="AF183" t="s">
        <v>3</v>
      </c>
      <c r="AG183">
        <v>3.96</v>
      </c>
      <c r="AH183">
        <v>3</v>
      </c>
      <c r="AI183">
        <v>-1</v>
      </c>
      <c r="AJ183" t="s">
        <v>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ROW(Source!A105)</f>
        <v>105</v>
      </c>
      <c r="B184">
        <v>71211384</v>
      </c>
      <c r="C184">
        <v>71211379</v>
      </c>
      <c r="D184">
        <v>67892810</v>
      </c>
      <c r="E184">
        <v>1</v>
      </c>
      <c r="F184">
        <v>1</v>
      </c>
      <c r="G184">
        <v>27</v>
      </c>
      <c r="H184">
        <v>3</v>
      </c>
      <c r="I184" t="s">
        <v>572</v>
      </c>
      <c r="J184" t="s">
        <v>573</v>
      </c>
      <c r="K184" t="s">
        <v>574</v>
      </c>
      <c r="L184">
        <v>1348</v>
      </c>
      <c r="N184">
        <v>1009</v>
      </c>
      <c r="O184" t="s">
        <v>35</v>
      </c>
      <c r="P184" t="s">
        <v>35</v>
      </c>
      <c r="Q184">
        <v>1000</v>
      </c>
      <c r="X184">
        <v>1.0500000000000001E-2</v>
      </c>
      <c r="Y184">
        <v>105084.63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1.0500000000000001E-2</v>
      </c>
      <c r="AH184">
        <v>3</v>
      </c>
      <c r="AI184">
        <v>-1</v>
      </c>
      <c r="AJ184" t="s">
        <v>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ROW(Source!A105)</f>
        <v>105</v>
      </c>
      <c r="B185">
        <v>71211385</v>
      </c>
      <c r="C185">
        <v>71211379</v>
      </c>
      <c r="D185">
        <v>67893667</v>
      </c>
      <c r="E185">
        <v>1</v>
      </c>
      <c r="F185">
        <v>1</v>
      </c>
      <c r="G185">
        <v>27</v>
      </c>
      <c r="H185">
        <v>3</v>
      </c>
      <c r="I185" t="s">
        <v>575</v>
      </c>
      <c r="J185" t="s">
        <v>576</v>
      </c>
      <c r="K185" t="s">
        <v>577</v>
      </c>
      <c r="L185">
        <v>1348</v>
      </c>
      <c r="N185">
        <v>1009</v>
      </c>
      <c r="O185" t="s">
        <v>35</v>
      </c>
      <c r="P185" t="s">
        <v>35</v>
      </c>
      <c r="Q185">
        <v>1000</v>
      </c>
      <c r="X185">
        <v>4.0000000000000001E-3</v>
      </c>
      <c r="Y185">
        <v>110781.14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 t="s">
        <v>3</v>
      </c>
      <c r="AG185">
        <v>4.0000000000000001E-3</v>
      </c>
      <c r="AH185">
        <v>3</v>
      </c>
      <c r="AI185">
        <v>-1</v>
      </c>
      <c r="AJ185" t="s">
        <v>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ROW(Source!A105)</f>
        <v>105</v>
      </c>
      <c r="B186">
        <v>71211386</v>
      </c>
      <c r="C186">
        <v>71211379</v>
      </c>
      <c r="D186">
        <v>67895780</v>
      </c>
      <c r="E186">
        <v>1</v>
      </c>
      <c r="F186">
        <v>1</v>
      </c>
      <c r="G186">
        <v>27</v>
      </c>
      <c r="H186">
        <v>3</v>
      </c>
      <c r="I186" t="s">
        <v>634</v>
      </c>
      <c r="J186" t="s">
        <v>635</v>
      </c>
      <c r="K186" t="s">
        <v>636</v>
      </c>
      <c r="L186">
        <v>1348</v>
      </c>
      <c r="N186">
        <v>1009</v>
      </c>
      <c r="O186" t="s">
        <v>35</v>
      </c>
      <c r="P186" t="s">
        <v>35</v>
      </c>
      <c r="Q186">
        <v>1000</v>
      </c>
      <c r="X186">
        <v>1E-3</v>
      </c>
      <c r="Y186">
        <v>75026.559999999998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 t="s">
        <v>3</v>
      </c>
      <c r="AG186">
        <v>1E-3</v>
      </c>
      <c r="AH186">
        <v>3</v>
      </c>
      <c r="AI186">
        <v>-1</v>
      </c>
      <c r="AJ186" t="s">
        <v>3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ROW(Source!A105)</f>
        <v>105</v>
      </c>
      <c r="B187">
        <v>71211387</v>
      </c>
      <c r="C187">
        <v>71211379</v>
      </c>
      <c r="D187">
        <v>67895794</v>
      </c>
      <c r="E187">
        <v>1</v>
      </c>
      <c r="F187">
        <v>1</v>
      </c>
      <c r="G187">
        <v>27</v>
      </c>
      <c r="H187">
        <v>3</v>
      </c>
      <c r="I187" t="s">
        <v>794</v>
      </c>
      <c r="J187" t="s">
        <v>795</v>
      </c>
      <c r="K187" t="s">
        <v>796</v>
      </c>
      <c r="L187">
        <v>1348</v>
      </c>
      <c r="N187">
        <v>1009</v>
      </c>
      <c r="O187" t="s">
        <v>35</v>
      </c>
      <c r="P187" t="s">
        <v>35</v>
      </c>
      <c r="Q187">
        <v>1000</v>
      </c>
      <c r="X187">
        <v>1</v>
      </c>
      <c r="Y187">
        <v>75453.460000000006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 t="s">
        <v>3</v>
      </c>
      <c r="AG187">
        <v>1</v>
      </c>
      <c r="AH187">
        <v>3</v>
      </c>
      <c r="AI187">
        <v>-1</v>
      </c>
      <c r="AJ187" t="s">
        <v>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ROW(Source!A106)</f>
        <v>106</v>
      </c>
      <c r="B188">
        <v>71211389</v>
      </c>
      <c r="C188">
        <v>71211388</v>
      </c>
      <c r="D188">
        <v>67878646</v>
      </c>
      <c r="E188">
        <v>27</v>
      </c>
      <c r="F188">
        <v>1</v>
      </c>
      <c r="G188">
        <v>27</v>
      </c>
      <c r="H188">
        <v>1</v>
      </c>
      <c r="I188" t="s">
        <v>565</v>
      </c>
      <c r="J188" t="s">
        <v>3</v>
      </c>
      <c r="K188" t="s">
        <v>566</v>
      </c>
      <c r="L188">
        <v>1191</v>
      </c>
      <c r="N188">
        <v>1013</v>
      </c>
      <c r="O188" t="s">
        <v>567</v>
      </c>
      <c r="P188" t="s">
        <v>567</v>
      </c>
      <c r="Q188">
        <v>1</v>
      </c>
      <c r="X188">
        <v>133.4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 t="s">
        <v>3</v>
      </c>
      <c r="AG188">
        <v>133.4</v>
      </c>
      <c r="AH188">
        <v>3</v>
      </c>
      <c r="AI188">
        <v>-1</v>
      </c>
      <c r="AJ188" t="s">
        <v>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ROW(Source!A106)</f>
        <v>106</v>
      </c>
      <c r="B189">
        <v>71211390</v>
      </c>
      <c r="C189">
        <v>71211388</v>
      </c>
      <c r="D189">
        <v>67890991</v>
      </c>
      <c r="E189">
        <v>1</v>
      </c>
      <c r="F189">
        <v>1</v>
      </c>
      <c r="G189">
        <v>27</v>
      </c>
      <c r="H189">
        <v>2</v>
      </c>
      <c r="I189" t="s">
        <v>568</v>
      </c>
      <c r="J189" t="s">
        <v>569</v>
      </c>
      <c r="K189" t="s">
        <v>570</v>
      </c>
      <c r="L189">
        <v>1368</v>
      </c>
      <c r="N189">
        <v>1011</v>
      </c>
      <c r="O189" t="s">
        <v>571</v>
      </c>
      <c r="P189" t="s">
        <v>571</v>
      </c>
      <c r="Q189">
        <v>1</v>
      </c>
      <c r="X189">
        <v>29</v>
      </c>
      <c r="Y189">
        <v>0</v>
      </c>
      <c r="Z189">
        <v>31</v>
      </c>
      <c r="AA189">
        <v>1.35</v>
      </c>
      <c r="AB189">
        <v>0</v>
      </c>
      <c r="AC189">
        <v>0</v>
      </c>
      <c r="AD189">
        <v>1</v>
      </c>
      <c r="AE189">
        <v>0</v>
      </c>
      <c r="AF189" t="s">
        <v>3</v>
      </c>
      <c r="AG189">
        <v>29</v>
      </c>
      <c r="AH189">
        <v>3</v>
      </c>
      <c r="AI189">
        <v>-1</v>
      </c>
      <c r="AJ189" t="s">
        <v>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ROW(Source!A106)</f>
        <v>106</v>
      </c>
      <c r="B190">
        <v>71211391</v>
      </c>
      <c r="C190">
        <v>71211388</v>
      </c>
      <c r="D190">
        <v>67892810</v>
      </c>
      <c r="E190">
        <v>1</v>
      </c>
      <c r="F190">
        <v>1</v>
      </c>
      <c r="G190">
        <v>27</v>
      </c>
      <c r="H190">
        <v>3</v>
      </c>
      <c r="I190" t="s">
        <v>572</v>
      </c>
      <c r="J190" t="s">
        <v>573</v>
      </c>
      <c r="K190" t="s">
        <v>574</v>
      </c>
      <c r="L190">
        <v>1348</v>
      </c>
      <c r="N190">
        <v>1009</v>
      </c>
      <c r="O190" t="s">
        <v>35</v>
      </c>
      <c r="P190" t="s">
        <v>35</v>
      </c>
      <c r="Q190">
        <v>1000</v>
      </c>
      <c r="X190">
        <v>6.0000000000000001E-3</v>
      </c>
      <c r="Y190">
        <v>105084.63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 t="s">
        <v>3</v>
      </c>
      <c r="AG190">
        <v>6.0000000000000001E-3</v>
      </c>
      <c r="AH190">
        <v>3</v>
      </c>
      <c r="AI190">
        <v>-1</v>
      </c>
      <c r="AJ190" t="s">
        <v>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ROW(Source!A106)</f>
        <v>106</v>
      </c>
      <c r="B191">
        <v>71211392</v>
      </c>
      <c r="C191">
        <v>71211388</v>
      </c>
      <c r="D191">
        <v>67893667</v>
      </c>
      <c r="E191">
        <v>1</v>
      </c>
      <c r="F191">
        <v>1</v>
      </c>
      <c r="G191">
        <v>27</v>
      </c>
      <c r="H191">
        <v>3</v>
      </c>
      <c r="I191" t="s">
        <v>575</v>
      </c>
      <c r="J191" t="s">
        <v>576</v>
      </c>
      <c r="K191" t="s">
        <v>577</v>
      </c>
      <c r="L191">
        <v>1348</v>
      </c>
      <c r="N191">
        <v>1009</v>
      </c>
      <c r="O191" t="s">
        <v>35</v>
      </c>
      <c r="P191" t="s">
        <v>35</v>
      </c>
      <c r="Q191">
        <v>1000</v>
      </c>
      <c r="X191">
        <v>3.0000000000000001E-3</v>
      </c>
      <c r="Y191">
        <v>110781.14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3.0000000000000001E-3</v>
      </c>
      <c r="AH191">
        <v>3</v>
      </c>
      <c r="AI191">
        <v>-1</v>
      </c>
      <c r="AJ191" t="s">
        <v>3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ROW(Source!A106)</f>
        <v>106</v>
      </c>
      <c r="B192">
        <v>71211393</v>
      </c>
      <c r="C192">
        <v>71211388</v>
      </c>
      <c r="D192">
        <v>67895779</v>
      </c>
      <c r="E192">
        <v>1</v>
      </c>
      <c r="F192">
        <v>1</v>
      </c>
      <c r="G192">
        <v>27</v>
      </c>
      <c r="H192">
        <v>3</v>
      </c>
      <c r="I192" t="s">
        <v>578</v>
      </c>
      <c r="J192" t="s">
        <v>579</v>
      </c>
      <c r="K192" t="s">
        <v>580</v>
      </c>
      <c r="L192">
        <v>1348</v>
      </c>
      <c r="N192">
        <v>1009</v>
      </c>
      <c r="O192" t="s">
        <v>35</v>
      </c>
      <c r="P192" t="s">
        <v>35</v>
      </c>
      <c r="Q192">
        <v>1000</v>
      </c>
      <c r="X192">
        <v>1</v>
      </c>
      <c r="Y192">
        <v>79722.539999999994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 t="s">
        <v>3</v>
      </c>
      <c r="AG192">
        <v>1</v>
      </c>
      <c r="AH192">
        <v>3</v>
      </c>
      <c r="AI192">
        <v>-1</v>
      </c>
      <c r="AJ192" t="s">
        <v>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ROW(Source!A107)</f>
        <v>107</v>
      </c>
      <c r="B193">
        <v>71211395</v>
      </c>
      <c r="C193">
        <v>71211394</v>
      </c>
      <c r="D193">
        <v>67878646</v>
      </c>
      <c r="E193">
        <v>27</v>
      </c>
      <c r="F193">
        <v>1</v>
      </c>
      <c r="G193">
        <v>27</v>
      </c>
      <c r="H193">
        <v>1</v>
      </c>
      <c r="I193" t="s">
        <v>565</v>
      </c>
      <c r="J193" t="s">
        <v>3</v>
      </c>
      <c r="K193" t="s">
        <v>566</v>
      </c>
      <c r="L193">
        <v>1191</v>
      </c>
      <c r="N193">
        <v>1013</v>
      </c>
      <c r="O193" t="s">
        <v>567</v>
      </c>
      <c r="P193" t="s">
        <v>567</v>
      </c>
      <c r="Q193">
        <v>1</v>
      </c>
      <c r="X193">
        <v>53.59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 t="s">
        <v>3</v>
      </c>
      <c r="AG193">
        <v>53.59</v>
      </c>
      <c r="AH193">
        <v>3</v>
      </c>
      <c r="AI193">
        <v>-1</v>
      </c>
      <c r="AJ193" t="s">
        <v>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ROW(Source!A107)</f>
        <v>107</v>
      </c>
      <c r="B194">
        <v>71211396</v>
      </c>
      <c r="C194">
        <v>71211394</v>
      </c>
      <c r="D194">
        <v>67891319</v>
      </c>
      <c r="E194">
        <v>1</v>
      </c>
      <c r="F194">
        <v>1</v>
      </c>
      <c r="G194">
        <v>27</v>
      </c>
      <c r="H194">
        <v>2</v>
      </c>
      <c r="I194" t="s">
        <v>625</v>
      </c>
      <c r="J194" t="s">
        <v>626</v>
      </c>
      <c r="K194" t="s">
        <v>627</v>
      </c>
      <c r="L194">
        <v>1368</v>
      </c>
      <c r="N194">
        <v>1011</v>
      </c>
      <c r="O194" t="s">
        <v>571</v>
      </c>
      <c r="P194" t="s">
        <v>571</v>
      </c>
      <c r="Q194">
        <v>1</v>
      </c>
      <c r="X194">
        <v>0.18</v>
      </c>
      <c r="Y194">
        <v>0</v>
      </c>
      <c r="Z194">
        <v>41.19</v>
      </c>
      <c r="AA194">
        <v>0.34</v>
      </c>
      <c r="AB194">
        <v>0</v>
      </c>
      <c r="AC194">
        <v>0</v>
      </c>
      <c r="AD194">
        <v>1</v>
      </c>
      <c r="AE194">
        <v>0</v>
      </c>
      <c r="AF194" t="s">
        <v>3</v>
      </c>
      <c r="AG194">
        <v>0.18</v>
      </c>
      <c r="AH194">
        <v>3</v>
      </c>
      <c r="AI194">
        <v>-1</v>
      </c>
      <c r="AJ194" t="s">
        <v>3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ROW(Source!A107)</f>
        <v>107</v>
      </c>
      <c r="B195">
        <v>71211397</v>
      </c>
      <c r="C195">
        <v>71211394</v>
      </c>
      <c r="D195">
        <v>67891725</v>
      </c>
      <c r="E195">
        <v>1</v>
      </c>
      <c r="F195">
        <v>1</v>
      </c>
      <c r="G195">
        <v>27</v>
      </c>
      <c r="H195">
        <v>2</v>
      </c>
      <c r="I195" t="s">
        <v>628</v>
      </c>
      <c r="J195" t="s">
        <v>629</v>
      </c>
      <c r="K195" t="s">
        <v>630</v>
      </c>
      <c r="L195">
        <v>1368</v>
      </c>
      <c r="N195">
        <v>1011</v>
      </c>
      <c r="O195" t="s">
        <v>571</v>
      </c>
      <c r="P195" t="s">
        <v>571</v>
      </c>
      <c r="Q195">
        <v>1</v>
      </c>
      <c r="X195">
        <v>2.19</v>
      </c>
      <c r="Y195">
        <v>0</v>
      </c>
      <c r="Z195">
        <v>27.02</v>
      </c>
      <c r="AA195">
        <v>0.03</v>
      </c>
      <c r="AB195">
        <v>0</v>
      </c>
      <c r="AC195">
        <v>0</v>
      </c>
      <c r="AD195">
        <v>1</v>
      </c>
      <c r="AE195">
        <v>0</v>
      </c>
      <c r="AF195" t="s">
        <v>3</v>
      </c>
      <c r="AG195">
        <v>2.19</v>
      </c>
      <c r="AH195">
        <v>3</v>
      </c>
      <c r="AI195">
        <v>-1</v>
      </c>
      <c r="AJ195" t="s">
        <v>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ROW(Source!A107)</f>
        <v>107</v>
      </c>
      <c r="B196">
        <v>71211398</v>
      </c>
      <c r="C196">
        <v>71211394</v>
      </c>
      <c r="D196">
        <v>67890994</v>
      </c>
      <c r="E196">
        <v>1</v>
      </c>
      <c r="F196">
        <v>1</v>
      </c>
      <c r="G196">
        <v>27</v>
      </c>
      <c r="H196">
        <v>2</v>
      </c>
      <c r="I196" t="s">
        <v>631</v>
      </c>
      <c r="J196" t="s">
        <v>632</v>
      </c>
      <c r="K196" t="s">
        <v>633</v>
      </c>
      <c r="L196">
        <v>1368</v>
      </c>
      <c r="N196">
        <v>1011</v>
      </c>
      <c r="O196" t="s">
        <v>571</v>
      </c>
      <c r="P196" t="s">
        <v>571</v>
      </c>
      <c r="Q196">
        <v>1</v>
      </c>
      <c r="X196">
        <v>11.35</v>
      </c>
      <c r="Y196">
        <v>0</v>
      </c>
      <c r="Z196">
        <v>132.63</v>
      </c>
      <c r="AA196">
        <v>1.55</v>
      </c>
      <c r="AB196">
        <v>0</v>
      </c>
      <c r="AC196">
        <v>0</v>
      </c>
      <c r="AD196">
        <v>1</v>
      </c>
      <c r="AE196">
        <v>0</v>
      </c>
      <c r="AF196" t="s">
        <v>3</v>
      </c>
      <c r="AG196">
        <v>11.35</v>
      </c>
      <c r="AH196">
        <v>3</v>
      </c>
      <c r="AI196">
        <v>-1</v>
      </c>
      <c r="AJ196" t="s">
        <v>3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ROW(Source!A107)</f>
        <v>107</v>
      </c>
      <c r="B197">
        <v>71211399</v>
      </c>
      <c r="C197">
        <v>71211394</v>
      </c>
      <c r="D197">
        <v>67892810</v>
      </c>
      <c r="E197">
        <v>1</v>
      </c>
      <c r="F197">
        <v>1</v>
      </c>
      <c r="G197">
        <v>27</v>
      </c>
      <c r="H197">
        <v>3</v>
      </c>
      <c r="I197" t="s">
        <v>572</v>
      </c>
      <c r="J197" t="s">
        <v>573</v>
      </c>
      <c r="K197" t="s">
        <v>574</v>
      </c>
      <c r="L197">
        <v>1348</v>
      </c>
      <c r="N197">
        <v>1009</v>
      </c>
      <c r="O197" t="s">
        <v>35</v>
      </c>
      <c r="P197" t="s">
        <v>35</v>
      </c>
      <c r="Q197">
        <v>1000</v>
      </c>
      <c r="X197">
        <v>3.3E-3</v>
      </c>
      <c r="Y197">
        <v>105084.63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 t="s">
        <v>3</v>
      </c>
      <c r="AG197">
        <v>3.3E-3</v>
      </c>
      <c r="AH197">
        <v>3</v>
      </c>
      <c r="AI197">
        <v>-1</v>
      </c>
      <c r="AJ197" t="s">
        <v>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ROW(Source!A107)</f>
        <v>107</v>
      </c>
      <c r="B198">
        <v>71211400</v>
      </c>
      <c r="C198">
        <v>71211394</v>
      </c>
      <c r="D198">
        <v>67893667</v>
      </c>
      <c r="E198">
        <v>1</v>
      </c>
      <c r="F198">
        <v>1</v>
      </c>
      <c r="G198">
        <v>27</v>
      </c>
      <c r="H198">
        <v>3</v>
      </c>
      <c r="I198" t="s">
        <v>575</v>
      </c>
      <c r="J198" t="s">
        <v>576</v>
      </c>
      <c r="K198" t="s">
        <v>577</v>
      </c>
      <c r="L198">
        <v>1348</v>
      </c>
      <c r="N198">
        <v>1009</v>
      </c>
      <c r="O198" t="s">
        <v>35</v>
      </c>
      <c r="P198" t="s">
        <v>35</v>
      </c>
      <c r="Q198">
        <v>1000</v>
      </c>
      <c r="X198">
        <v>1.4E-3</v>
      </c>
      <c r="Y198">
        <v>110781.14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 t="s">
        <v>3</v>
      </c>
      <c r="AG198">
        <v>1.4E-3</v>
      </c>
      <c r="AH198">
        <v>3</v>
      </c>
      <c r="AI198">
        <v>-1</v>
      </c>
      <c r="AJ198" t="s">
        <v>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ROW(Source!A107)</f>
        <v>107</v>
      </c>
      <c r="B199">
        <v>71211401</v>
      </c>
      <c r="C199">
        <v>71211394</v>
      </c>
      <c r="D199">
        <v>67895748</v>
      </c>
      <c r="E199">
        <v>1</v>
      </c>
      <c r="F199">
        <v>1</v>
      </c>
      <c r="G199">
        <v>27</v>
      </c>
      <c r="H199">
        <v>3</v>
      </c>
      <c r="I199" t="s">
        <v>797</v>
      </c>
      <c r="J199" t="s">
        <v>798</v>
      </c>
      <c r="K199" t="s">
        <v>799</v>
      </c>
      <c r="L199">
        <v>1348</v>
      </c>
      <c r="N199">
        <v>1009</v>
      </c>
      <c r="O199" t="s">
        <v>35</v>
      </c>
      <c r="P199" t="s">
        <v>35</v>
      </c>
      <c r="Q199">
        <v>1000</v>
      </c>
      <c r="X199">
        <v>1</v>
      </c>
      <c r="Y199">
        <v>80328.740000000005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 t="s">
        <v>3</v>
      </c>
      <c r="AG199">
        <v>1</v>
      </c>
      <c r="AH199">
        <v>3</v>
      </c>
      <c r="AI199">
        <v>-1</v>
      </c>
      <c r="AJ199" t="s">
        <v>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ROW(Source!A108)</f>
        <v>108</v>
      </c>
      <c r="B200">
        <v>71211403</v>
      </c>
      <c r="C200">
        <v>71211402</v>
      </c>
      <c r="D200">
        <v>67878646</v>
      </c>
      <c r="E200">
        <v>27</v>
      </c>
      <c r="F200">
        <v>1</v>
      </c>
      <c r="G200">
        <v>27</v>
      </c>
      <c r="H200">
        <v>1</v>
      </c>
      <c r="I200" t="s">
        <v>565</v>
      </c>
      <c r="J200" t="s">
        <v>3</v>
      </c>
      <c r="K200" t="s">
        <v>566</v>
      </c>
      <c r="L200">
        <v>1191</v>
      </c>
      <c r="N200">
        <v>1013</v>
      </c>
      <c r="O200" t="s">
        <v>567</v>
      </c>
      <c r="P200" t="s">
        <v>567</v>
      </c>
      <c r="Q200">
        <v>1</v>
      </c>
      <c r="X200">
        <v>479.1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 t="s">
        <v>3</v>
      </c>
      <c r="AG200">
        <v>479.1</v>
      </c>
      <c r="AH200">
        <v>3</v>
      </c>
      <c r="AI200">
        <v>-1</v>
      </c>
      <c r="AJ200" t="s">
        <v>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ROW(Source!A108)</f>
        <v>108</v>
      </c>
      <c r="B201">
        <v>71211404</v>
      </c>
      <c r="C201">
        <v>71211402</v>
      </c>
      <c r="D201">
        <v>67880404</v>
      </c>
      <c r="E201">
        <v>27</v>
      </c>
      <c r="F201">
        <v>1</v>
      </c>
      <c r="G201">
        <v>27</v>
      </c>
      <c r="H201">
        <v>3</v>
      </c>
      <c r="I201" t="s">
        <v>584</v>
      </c>
      <c r="J201" t="s">
        <v>3</v>
      </c>
      <c r="K201" t="s">
        <v>585</v>
      </c>
      <c r="L201">
        <v>1348</v>
      </c>
      <c r="N201">
        <v>1009</v>
      </c>
      <c r="O201" t="s">
        <v>35</v>
      </c>
      <c r="P201" t="s">
        <v>35</v>
      </c>
      <c r="Q201">
        <v>1000</v>
      </c>
      <c r="X201">
        <v>16.2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16.2</v>
      </c>
      <c r="AH201">
        <v>3</v>
      </c>
      <c r="AI201">
        <v>-1</v>
      </c>
      <c r="AJ201" t="s">
        <v>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ROW(Source!A109)</f>
        <v>109</v>
      </c>
      <c r="B202">
        <v>71211406</v>
      </c>
      <c r="C202">
        <v>71211405</v>
      </c>
      <c r="D202">
        <v>67878646</v>
      </c>
      <c r="E202">
        <v>27</v>
      </c>
      <c r="F202">
        <v>1</v>
      </c>
      <c r="G202">
        <v>27</v>
      </c>
      <c r="H202">
        <v>1</v>
      </c>
      <c r="I202" t="s">
        <v>565</v>
      </c>
      <c r="J202" t="s">
        <v>3</v>
      </c>
      <c r="K202" t="s">
        <v>566</v>
      </c>
      <c r="L202">
        <v>1191</v>
      </c>
      <c r="N202">
        <v>1013</v>
      </c>
      <c r="O202" t="s">
        <v>567</v>
      </c>
      <c r="P202" t="s">
        <v>567</v>
      </c>
      <c r="Q202">
        <v>1</v>
      </c>
      <c r="X202">
        <v>186.3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 t="s">
        <v>53</v>
      </c>
      <c r="AG202">
        <v>37.260000000000005</v>
      </c>
      <c r="AH202">
        <v>3</v>
      </c>
      <c r="AI202">
        <v>-1</v>
      </c>
      <c r="AJ202" t="s">
        <v>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ROW(Source!A109)</f>
        <v>109</v>
      </c>
      <c r="B203">
        <v>71211407</v>
      </c>
      <c r="C203">
        <v>71211405</v>
      </c>
      <c r="D203">
        <v>67893936</v>
      </c>
      <c r="E203">
        <v>1</v>
      </c>
      <c r="F203">
        <v>1</v>
      </c>
      <c r="G203">
        <v>27</v>
      </c>
      <c r="H203">
        <v>3</v>
      </c>
      <c r="I203" t="s">
        <v>800</v>
      </c>
      <c r="J203" t="s">
        <v>801</v>
      </c>
      <c r="K203" t="s">
        <v>802</v>
      </c>
      <c r="L203">
        <v>1346</v>
      </c>
      <c r="N203">
        <v>1009</v>
      </c>
      <c r="O203" t="s">
        <v>288</v>
      </c>
      <c r="P203" t="s">
        <v>288</v>
      </c>
      <c r="Q203">
        <v>1</v>
      </c>
      <c r="X203">
        <v>80</v>
      </c>
      <c r="Y203">
        <v>84.54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 t="s">
        <v>52</v>
      </c>
      <c r="AG203">
        <v>0</v>
      </c>
      <c r="AH203">
        <v>3</v>
      </c>
      <c r="AI203">
        <v>-1</v>
      </c>
      <c r="AJ203" t="s">
        <v>3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ROW(Source!A109)</f>
        <v>109</v>
      </c>
      <c r="B204">
        <v>71211408</v>
      </c>
      <c r="C204">
        <v>71211405</v>
      </c>
      <c r="D204">
        <v>67894787</v>
      </c>
      <c r="E204">
        <v>1</v>
      </c>
      <c r="F204">
        <v>1</v>
      </c>
      <c r="G204">
        <v>27</v>
      </c>
      <c r="H204">
        <v>3</v>
      </c>
      <c r="I204" t="s">
        <v>803</v>
      </c>
      <c r="J204" t="s">
        <v>804</v>
      </c>
      <c r="K204" t="s">
        <v>805</v>
      </c>
      <c r="L204">
        <v>1339</v>
      </c>
      <c r="N204">
        <v>1007</v>
      </c>
      <c r="O204" t="s">
        <v>236</v>
      </c>
      <c r="P204" t="s">
        <v>236</v>
      </c>
      <c r="Q204">
        <v>1</v>
      </c>
      <c r="X204">
        <v>0.55000000000000004</v>
      </c>
      <c r="Y204">
        <v>2967.84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 t="s">
        <v>52</v>
      </c>
      <c r="AG204">
        <v>0</v>
      </c>
      <c r="AH204">
        <v>3</v>
      </c>
      <c r="AI204">
        <v>-1</v>
      </c>
      <c r="AJ204" t="s">
        <v>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ROW(Source!A109)</f>
        <v>109</v>
      </c>
      <c r="B205">
        <v>71211409</v>
      </c>
      <c r="C205">
        <v>71211405</v>
      </c>
      <c r="D205">
        <v>67894805</v>
      </c>
      <c r="E205">
        <v>1</v>
      </c>
      <c r="F205">
        <v>1</v>
      </c>
      <c r="G205">
        <v>27</v>
      </c>
      <c r="H205">
        <v>3</v>
      </c>
      <c r="I205" t="s">
        <v>616</v>
      </c>
      <c r="J205" t="s">
        <v>617</v>
      </c>
      <c r="K205" t="s">
        <v>618</v>
      </c>
      <c r="L205">
        <v>1339</v>
      </c>
      <c r="N205">
        <v>1007</v>
      </c>
      <c r="O205" t="s">
        <v>236</v>
      </c>
      <c r="P205" t="s">
        <v>236</v>
      </c>
      <c r="Q205">
        <v>1</v>
      </c>
      <c r="X205">
        <v>1.5</v>
      </c>
      <c r="Y205">
        <v>3392.59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 t="s">
        <v>52</v>
      </c>
      <c r="AG205">
        <v>0</v>
      </c>
      <c r="AH205">
        <v>3</v>
      </c>
      <c r="AI205">
        <v>-1</v>
      </c>
      <c r="AJ205" t="s">
        <v>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ROW(Source!A109)</f>
        <v>109</v>
      </c>
      <c r="B206">
        <v>71211410</v>
      </c>
      <c r="C206">
        <v>71211405</v>
      </c>
      <c r="D206">
        <v>67895696</v>
      </c>
      <c r="E206">
        <v>1</v>
      </c>
      <c r="F206">
        <v>1</v>
      </c>
      <c r="G206">
        <v>27</v>
      </c>
      <c r="H206">
        <v>3</v>
      </c>
      <c r="I206" t="s">
        <v>508</v>
      </c>
      <c r="J206" t="s">
        <v>510</v>
      </c>
      <c r="K206" t="s">
        <v>509</v>
      </c>
      <c r="L206">
        <v>1339</v>
      </c>
      <c r="N206">
        <v>1007</v>
      </c>
      <c r="O206" t="s">
        <v>236</v>
      </c>
      <c r="P206" t="s">
        <v>236</v>
      </c>
      <c r="Q206">
        <v>1</v>
      </c>
      <c r="X206">
        <v>59</v>
      </c>
      <c r="Y206">
        <v>9099.09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 t="s">
        <v>52</v>
      </c>
      <c r="AG206">
        <v>0</v>
      </c>
      <c r="AH206">
        <v>3</v>
      </c>
      <c r="AI206">
        <v>-1</v>
      </c>
      <c r="AJ206" t="s">
        <v>3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ROW(Source!A110)</f>
        <v>110</v>
      </c>
      <c r="B207">
        <v>71211412</v>
      </c>
      <c r="C207">
        <v>71211411</v>
      </c>
      <c r="D207">
        <v>67878646</v>
      </c>
      <c r="E207">
        <v>27</v>
      </c>
      <c r="F207">
        <v>1</v>
      </c>
      <c r="G207">
        <v>27</v>
      </c>
      <c r="H207">
        <v>1</v>
      </c>
      <c r="I207" t="s">
        <v>565</v>
      </c>
      <c r="J207" t="s">
        <v>3</v>
      </c>
      <c r="K207" t="s">
        <v>566</v>
      </c>
      <c r="L207">
        <v>1191</v>
      </c>
      <c r="N207">
        <v>1013</v>
      </c>
      <c r="O207" t="s">
        <v>567</v>
      </c>
      <c r="P207" t="s">
        <v>567</v>
      </c>
      <c r="Q207">
        <v>1</v>
      </c>
      <c r="X207">
        <v>454.25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1</v>
      </c>
      <c r="AF207" t="s">
        <v>53</v>
      </c>
      <c r="AG207">
        <v>90.850000000000009</v>
      </c>
      <c r="AH207">
        <v>3</v>
      </c>
      <c r="AI207">
        <v>-1</v>
      </c>
      <c r="AJ207" t="s">
        <v>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ROW(Source!A110)</f>
        <v>110</v>
      </c>
      <c r="B208">
        <v>71211413</v>
      </c>
      <c r="C208">
        <v>71211411</v>
      </c>
      <c r="D208">
        <v>67890856</v>
      </c>
      <c r="E208">
        <v>1</v>
      </c>
      <c r="F208">
        <v>1</v>
      </c>
      <c r="G208">
        <v>27</v>
      </c>
      <c r="H208">
        <v>2</v>
      </c>
      <c r="I208" t="s">
        <v>806</v>
      </c>
      <c r="J208" t="s">
        <v>807</v>
      </c>
      <c r="K208" t="s">
        <v>808</v>
      </c>
      <c r="L208">
        <v>1368</v>
      </c>
      <c r="N208">
        <v>1011</v>
      </c>
      <c r="O208" t="s">
        <v>571</v>
      </c>
      <c r="P208" t="s">
        <v>571</v>
      </c>
      <c r="Q208">
        <v>1</v>
      </c>
      <c r="X208">
        <v>4.55</v>
      </c>
      <c r="Y208">
        <v>0</v>
      </c>
      <c r="Z208">
        <v>1009.65</v>
      </c>
      <c r="AA208">
        <v>554.42999999999995</v>
      </c>
      <c r="AB208">
        <v>0</v>
      </c>
      <c r="AC208">
        <v>0</v>
      </c>
      <c r="AD208">
        <v>1</v>
      </c>
      <c r="AE208">
        <v>0</v>
      </c>
      <c r="AF208" t="s">
        <v>53</v>
      </c>
      <c r="AG208">
        <v>0.91</v>
      </c>
      <c r="AH208">
        <v>3</v>
      </c>
      <c r="AI208">
        <v>-1</v>
      </c>
      <c r="AJ208" t="s">
        <v>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ROW(Source!A110)</f>
        <v>110</v>
      </c>
      <c r="B209">
        <v>71211414</v>
      </c>
      <c r="C209">
        <v>71211411</v>
      </c>
      <c r="D209">
        <v>67891313</v>
      </c>
      <c r="E209">
        <v>1</v>
      </c>
      <c r="F209">
        <v>1</v>
      </c>
      <c r="G209">
        <v>27</v>
      </c>
      <c r="H209">
        <v>2</v>
      </c>
      <c r="I209" t="s">
        <v>691</v>
      </c>
      <c r="J209" t="s">
        <v>692</v>
      </c>
      <c r="K209" t="s">
        <v>693</v>
      </c>
      <c r="L209">
        <v>1368</v>
      </c>
      <c r="N209">
        <v>1011</v>
      </c>
      <c r="O209" t="s">
        <v>571</v>
      </c>
      <c r="P209" t="s">
        <v>571</v>
      </c>
      <c r="Q209">
        <v>1</v>
      </c>
      <c r="X209">
        <v>20.440000000000001</v>
      </c>
      <c r="Y209">
        <v>0</v>
      </c>
      <c r="Z209">
        <v>27.21</v>
      </c>
      <c r="AA209">
        <v>0.13</v>
      </c>
      <c r="AB209">
        <v>0</v>
      </c>
      <c r="AC209">
        <v>0</v>
      </c>
      <c r="AD209">
        <v>1</v>
      </c>
      <c r="AE209">
        <v>0</v>
      </c>
      <c r="AF209" t="s">
        <v>53</v>
      </c>
      <c r="AG209">
        <v>4.0880000000000001</v>
      </c>
      <c r="AH209">
        <v>3</v>
      </c>
      <c r="AI209">
        <v>-1</v>
      </c>
      <c r="AJ209" t="s">
        <v>3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ROW(Source!A110)</f>
        <v>110</v>
      </c>
      <c r="B210">
        <v>71211415</v>
      </c>
      <c r="C210">
        <v>71211411</v>
      </c>
      <c r="D210">
        <v>67890976</v>
      </c>
      <c r="E210">
        <v>1</v>
      </c>
      <c r="F210">
        <v>1</v>
      </c>
      <c r="G210">
        <v>27</v>
      </c>
      <c r="H210">
        <v>2</v>
      </c>
      <c r="I210" t="s">
        <v>697</v>
      </c>
      <c r="J210" t="s">
        <v>698</v>
      </c>
      <c r="K210" t="s">
        <v>699</v>
      </c>
      <c r="L210">
        <v>1368</v>
      </c>
      <c r="N210">
        <v>1011</v>
      </c>
      <c r="O210" t="s">
        <v>571</v>
      </c>
      <c r="P210" t="s">
        <v>571</v>
      </c>
      <c r="Q210">
        <v>1</v>
      </c>
      <c r="X210">
        <v>0.41</v>
      </c>
      <c r="Y210">
        <v>0</v>
      </c>
      <c r="Z210">
        <v>683.9</v>
      </c>
      <c r="AA210">
        <v>371.27</v>
      </c>
      <c r="AB210">
        <v>0</v>
      </c>
      <c r="AC210">
        <v>0</v>
      </c>
      <c r="AD210">
        <v>1</v>
      </c>
      <c r="AE210">
        <v>0</v>
      </c>
      <c r="AF210" t="s">
        <v>53</v>
      </c>
      <c r="AG210">
        <v>8.2000000000000003E-2</v>
      </c>
      <c r="AH210">
        <v>3</v>
      </c>
      <c r="AI210">
        <v>-1</v>
      </c>
      <c r="AJ210" t="s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ROW(Source!A110)</f>
        <v>110</v>
      </c>
      <c r="B211">
        <v>71211416</v>
      </c>
      <c r="C211">
        <v>71211411</v>
      </c>
      <c r="D211">
        <v>67893029</v>
      </c>
      <c r="E211">
        <v>1</v>
      </c>
      <c r="F211">
        <v>1</v>
      </c>
      <c r="G211">
        <v>27</v>
      </c>
      <c r="H211">
        <v>3</v>
      </c>
      <c r="I211" t="s">
        <v>809</v>
      </c>
      <c r="J211" t="s">
        <v>810</v>
      </c>
      <c r="K211" t="s">
        <v>811</v>
      </c>
      <c r="L211">
        <v>1339</v>
      </c>
      <c r="N211">
        <v>1007</v>
      </c>
      <c r="O211" t="s">
        <v>236</v>
      </c>
      <c r="P211" t="s">
        <v>236</v>
      </c>
      <c r="Q211">
        <v>1</v>
      </c>
      <c r="X211">
        <v>3</v>
      </c>
      <c r="Y211">
        <v>1436.5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 t="s">
        <v>52</v>
      </c>
      <c r="AG211">
        <v>0</v>
      </c>
      <c r="AH211">
        <v>3</v>
      </c>
      <c r="AI211">
        <v>-1</v>
      </c>
      <c r="AJ211" t="s">
        <v>3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ROW(Source!A110)</f>
        <v>110</v>
      </c>
      <c r="B212">
        <v>71211417</v>
      </c>
      <c r="C212">
        <v>71211411</v>
      </c>
      <c r="D212">
        <v>67891963</v>
      </c>
      <c r="E212">
        <v>1</v>
      </c>
      <c r="F212">
        <v>1</v>
      </c>
      <c r="G212">
        <v>27</v>
      </c>
      <c r="H212">
        <v>3</v>
      </c>
      <c r="I212" t="s">
        <v>619</v>
      </c>
      <c r="J212" t="s">
        <v>620</v>
      </c>
      <c r="K212" t="s">
        <v>621</v>
      </c>
      <c r="L212">
        <v>1348</v>
      </c>
      <c r="N212">
        <v>1009</v>
      </c>
      <c r="O212" t="s">
        <v>35</v>
      </c>
      <c r="P212" t="s">
        <v>35</v>
      </c>
      <c r="Q212">
        <v>1000</v>
      </c>
      <c r="X212">
        <v>1.02</v>
      </c>
      <c r="Y212">
        <v>4207.5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 t="s">
        <v>52</v>
      </c>
      <c r="AG212">
        <v>0</v>
      </c>
      <c r="AH212">
        <v>3</v>
      </c>
      <c r="AI212">
        <v>-1</v>
      </c>
      <c r="AJ212" t="s">
        <v>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ROW(Source!A110)</f>
        <v>110</v>
      </c>
      <c r="B213">
        <v>71211418</v>
      </c>
      <c r="C213">
        <v>71211411</v>
      </c>
      <c r="D213">
        <v>67893667</v>
      </c>
      <c r="E213">
        <v>1</v>
      </c>
      <c r="F213">
        <v>1</v>
      </c>
      <c r="G213">
        <v>27</v>
      </c>
      <c r="H213">
        <v>3</v>
      </c>
      <c r="I213" t="s">
        <v>575</v>
      </c>
      <c r="J213" t="s">
        <v>576</v>
      </c>
      <c r="K213" t="s">
        <v>577</v>
      </c>
      <c r="L213">
        <v>1348</v>
      </c>
      <c r="N213">
        <v>1009</v>
      </c>
      <c r="O213" t="s">
        <v>35</v>
      </c>
      <c r="P213" t="s">
        <v>35</v>
      </c>
      <c r="Q213">
        <v>1000</v>
      </c>
      <c r="X213">
        <v>0.03</v>
      </c>
      <c r="Y213">
        <v>110781.14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 t="s">
        <v>52</v>
      </c>
      <c r="AG213">
        <v>0</v>
      </c>
      <c r="AH213">
        <v>3</v>
      </c>
      <c r="AI213">
        <v>-1</v>
      </c>
      <c r="AJ213" t="s">
        <v>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ROW(Source!A110)</f>
        <v>110</v>
      </c>
      <c r="B214">
        <v>71211419</v>
      </c>
      <c r="C214">
        <v>71211411</v>
      </c>
      <c r="D214">
        <v>67893760</v>
      </c>
      <c r="E214">
        <v>1</v>
      </c>
      <c r="F214">
        <v>1</v>
      </c>
      <c r="G214">
        <v>27</v>
      </c>
      <c r="H214">
        <v>3</v>
      </c>
      <c r="I214" t="s">
        <v>652</v>
      </c>
      <c r="J214" t="s">
        <v>653</v>
      </c>
      <c r="K214" t="s">
        <v>654</v>
      </c>
      <c r="L214">
        <v>1339</v>
      </c>
      <c r="N214">
        <v>1007</v>
      </c>
      <c r="O214" t="s">
        <v>236</v>
      </c>
      <c r="P214" t="s">
        <v>236</v>
      </c>
      <c r="Q214">
        <v>1</v>
      </c>
      <c r="X214">
        <v>0.79</v>
      </c>
      <c r="Y214">
        <v>35.25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 t="s">
        <v>52</v>
      </c>
      <c r="AG214">
        <v>0</v>
      </c>
      <c r="AH214">
        <v>3</v>
      </c>
      <c r="AI214">
        <v>-1</v>
      </c>
      <c r="AJ214" t="s">
        <v>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ROW(Source!A110)</f>
        <v>110</v>
      </c>
      <c r="B215">
        <v>71211420</v>
      </c>
      <c r="C215">
        <v>71211411</v>
      </c>
      <c r="D215">
        <v>67878760</v>
      </c>
      <c r="E215">
        <v>27</v>
      </c>
      <c r="F215">
        <v>1</v>
      </c>
      <c r="G215">
        <v>27</v>
      </c>
      <c r="H215">
        <v>3</v>
      </c>
      <c r="I215" t="s">
        <v>812</v>
      </c>
      <c r="J215" t="s">
        <v>3</v>
      </c>
      <c r="K215" t="s">
        <v>813</v>
      </c>
      <c r="L215">
        <v>1354</v>
      </c>
      <c r="N215">
        <v>1010</v>
      </c>
      <c r="O215" t="s">
        <v>232</v>
      </c>
      <c r="P215" t="s">
        <v>232</v>
      </c>
      <c r="Q215">
        <v>1</v>
      </c>
      <c r="X215">
        <v>100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t="s">
        <v>52</v>
      </c>
      <c r="AG215">
        <v>0</v>
      </c>
      <c r="AH215">
        <v>3</v>
      </c>
      <c r="AI215">
        <v>-1</v>
      </c>
      <c r="AJ215" t="s">
        <v>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ROW(Source!A111)</f>
        <v>111</v>
      </c>
      <c r="B216">
        <v>71211422</v>
      </c>
      <c r="C216">
        <v>71211421</v>
      </c>
      <c r="D216">
        <v>67878646</v>
      </c>
      <c r="E216">
        <v>27</v>
      </c>
      <c r="F216">
        <v>1</v>
      </c>
      <c r="G216">
        <v>27</v>
      </c>
      <c r="H216">
        <v>1</v>
      </c>
      <c r="I216" t="s">
        <v>565</v>
      </c>
      <c r="J216" t="s">
        <v>3</v>
      </c>
      <c r="K216" t="s">
        <v>566</v>
      </c>
      <c r="L216">
        <v>1191</v>
      </c>
      <c r="N216">
        <v>1013</v>
      </c>
      <c r="O216" t="s">
        <v>567</v>
      </c>
      <c r="P216" t="s">
        <v>567</v>
      </c>
      <c r="Q216">
        <v>1</v>
      </c>
      <c r="X216">
        <v>21.3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1</v>
      </c>
      <c r="AF216" t="s">
        <v>3</v>
      </c>
      <c r="AG216">
        <v>21.3</v>
      </c>
      <c r="AH216">
        <v>3</v>
      </c>
      <c r="AI216">
        <v>-1</v>
      </c>
      <c r="AJ216" t="s">
        <v>3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ROW(Source!A112)</f>
        <v>112</v>
      </c>
      <c r="B217">
        <v>71211428</v>
      </c>
      <c r="C217">
        <v>71211423</v>
      </c>
      <c r="D217">
        <v>67878646</v>
      </c>
      <c r="E217">
        <v>27</v>
      </c>
      <c r="F217">
        <v>1</v>
      </c>
      <c r="G217">
        <v>27</v>
      </c>
      <c r="H217">
        <v>1</v>
      </c>
      <c r="I217" t="s">
        <v>565</v>
      </c>
      <c r="J217" t="s">
        <v>3</v>
      </c>
      <c r="K217" t="s">
        <v>566</v>
      </c>
      <c r="L217">
        <v>1191</v>
      </c>
      <c r="N217">
        <v>1013</v>
      </c>
      <c r="O217" t="s">
        <v>567</v>
      </c>
      <c r="P217" t="s">
        <v>567</v>
      </c>
      <c r="Q217">
        <v>1</v>
      </c>
      <c r="X217">
        <v>2.0699999999999998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 t="s">
        <v>53</v>
      </c>
      <c r="AG217">
        <v>0.41399999999999998</v>
      </c>
      <c r="AH217">
        <v>2</v>
      </c>
      <c r="AI217">
        <v>71211424</v>
      </c>
      <c r="AJ217">
        <v>27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ROW(Source!A112)</f>
        <v>112</v>
      </c>
      <c r="B218">
        <v>71211429</v>
      </c>
      <c r="C218">
        <v>71211423</v>
      </c>
      <c r="D218">
        <v>67891771</v>
      </c>
      <c r="E218">
        <v>1</v>
      </c>
      <c r="F218">
        <v>1</v>
      </c>
      <c r="G218">
        <v>27</v>
      </c>
      <c r="H218">
        <v>2</v>
      </c>
      <c r="I218" t="s">
        <v>589</v>
      </c>
      <c r="J218" t="s">
        <v>748</v>
      </c>
      <c r="K218" t="s">
        <v>591</v>
      </c>
      <c r="L218">
        <v>1368</v>
      </c>
      <c r="N218">
        <v>1011</v>
      </c>
      <c r="O218" t="s">
        <v>571</v>
      </c>
      <c r="P218" t="s">
        <v>571</v>
      </c>
      <c r="Q218">
        <v>1</v>
      </c>
      <c r="X218">
        <v>0.15</v>
      </c>
      <c r="Y218">
        <v>0</v>
      </c>
      <c r="Z218">
        <v>7.44</v>
      </c>
      <c r="AA218">
        <v>0.98</v>
      </c>
      <c r="AB218">
        <v>0</v>
      </c>
      <c r="AC218">
        <v>0</v>
      </c>
      <c r="AD218">
        <v>1</v>
      </c>
      <c r="AE218">
        <v>0</v>
      </c>
      <c r="AF218" t="s">
        <v>53</v>
      </c>
      <c r="AG218">
        <v>0.03</v>
      </c>
      <c r="AH218">
        <v>2</v>
      </c>
      <c r="AI218">
        <v>71211425</v>
      </c>
      <c r="AJ218">
        <v>28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ROW(Source!A112)</f>
        <v>112</v>
      </c>
      <c r="B219">
        <v>71211430</v>
      </c>
      <c r="C219">
        <v>71211423</v>
      </c>
      <c r="D219">
        <v>67891951</v>
      </c>
      <c r="E219">
        <v>1</v>
      </c>
      <c r="F219">
        <v>1</v>
      </c>
      <c r="G219">
        <v>27</v>
      </c>
      <c r="H219">
        <v>3</v>
      </c>
      <c r="I219" t="s">
        <v>592</v>
      </c>
      <c r="J219" t="s">
        <v>814</v>
      </c>
      <c r="K219" t="s">
        <v>594</v>
      </c>
      <c r="L219">
        <v>1348</v>
      </c>
      <c r="N219">
        <v>1009</v>
      </c>
      <c r="O219" t="s">
        <v>35</v>
      </c>
      <c r="P219" t="s">
        <v>35</v>
      </c>
      <c r="Q219">
        <v>1000</v>
      </c>
      <c r="X219">
        <v>5.4000000000000001E-4</v>
      </c>
      <c r="Y219">
        <v>6565.6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 t="s">
        <v>52</v>
      </c>
      <c r="AG219">
        <v>0</v>
      </c>
      <c r="AH219">
        <v>2</v>
      </c>
      <c r="AI219">
        <v>71211426</v>
      </c>
      <c r="AJ219">
        <v>29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ROW(Source!A112)</f>
        <v>112</v>
      </c>
      <c r="B220">
        <v>71211431</v>
      </c>
      <c r="C220">
        <v>71211423</v>
      </c>
      <c r="D220">
        <v>67892441</v>
      </c>
      <c r="E220">
        <v>1</v>
      </c>
      <c r="F220">
        <v>1</v>
      </c>
      <c r="G220">
        <v>27</v>
      </c>
      <c r="H220">
        <v>3</v>
      </c>
      <c r="I220" t="s">
        <v>595</v>
      </c>
      <c r="J220" t="s">
        <v>815</v>
      </c>
      <c r="K220" t="s">
        <v>597</v>
      </c>
      <c r="L220">
        <v>1339</v>
      </c>
      <c r="N220">
        <v>1007</v>
      </c>
      <c r="O220" t="s">
        <v>236</v>
      </c>
      <c r="P220" t="s">
        <v>236</v>
      </c>
      <c r="Q220">
        <v>1</v>
      </c>
      <c r="X220">
        <v>9.0000000000000006E-5</v>
      </c>
      <c r="Y220">
        <v>6232.67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 t="s">
        <v>52</v>
      </c>
      <c r="AG220">
        <v>0</v>
      </c>
      <c r="AH220">
        <v>2</v>
      </c>
      <c r="AI220">
        <v>71211427</v>
      </c>
      <c r="AJ220">
        <v>30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ROW(Source!A112)</f>
        <v>112</v>
      </c>
      <c r="B221">
        <v>71211432</v>
      </c>
      <c r="C221">
        <v>71211423</v>
      </c>
      <c r="D221">
        <v>67879481</v>
      </c>
      <c r="E221">
        <v>27</v>
      </c>
      <c r="F221">
        <v>1</v>
      </c>
      <c r="G221">
        <v>27</v>
      </c>
      <c r="H221">
        <v>3</v>
      </c>
      <c r="I221" t="s">
        <v>816</v>
      </c>
      <c r="J221" t="s">
        <v>3</v>
      </c>
      <c r="K221" t="s">
        <v>817</v>
      </c>
      <c r="L221">
        <v>1354</v>
      </c>
      <c r="N221">
        <v>1010</v>
      </c>
      <c r="O221" t="s">
        <v>232</v>
      </c>
      <c r="P221" t="s">
        <v>232</v>
      </c>
      <c r="Q221">
        <v>1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t="s">
        <v>52</v>
      </c>
      <c r="AG221">
        <v>0</v>
      </c>
      <c r="AH221">
        <v>3</v>
      </c>
      <c r="AI221">
        <v>-1</v>
      </c>
      <c r="AJ221" t="s">
        <v>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ROW(Source!A113)</f>
        <v>113</v>
      </c>
      <c r="B222">
        <v>71211434</v>
      </c>
      <c r="C222">
        <v>71211433</v>
      </c>
      <c r="D222">
        <v>67878646</v>
      </c>
      <c r="E222">
        <v>27</v>
      </c>
      <c r="F222">
        <v>1</v>
      </c>
      <c r="G222">
        <v>27</v>
      </c>
      <c r="H222">
        <v>1</v>
      </c>
      <c r="I222" t="s">
        <v>565</v>
      </c>
      <c r="J222" t="s">
        <v>3</v>
      </c>
      <c r="K222" t="s">
        <v>566</v>
      </c>
      <c r="L222">
        <v>1191</v>
      </c>
      <c r="N222">
        <v>1013</v>
      </c>
      <c r="O222" t="s">
        <v>567</v>
      </c>
      <c r="P222" t="s">
        <v>567</v>
      </c>
      <c r="Q222">
        <v>1</v>
      </c>
      <c r="X222">
        <v>9.6999999999999993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1</v>
      </c>
      <c r="AF222" t="s">
        <v>3</v>
      </c>
      <c r="AG222">
        <v>9.6999999999999993</v>
      </c>
      <c r="AH222">
        <v>3</v>
      </c>
      <c r="AI222">
        <v>-1</v>
      </c>
      <c r="AJ222" t="s">
        <v>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ROW(Source!A114)</f>
        <v>114</v>
      </c>
      <c r="B223">
        <v>71211436</v>
      </c>
      <c r="C223">
        <v>71211435</v>
      </c>
      <c r="D223">
        <v>67878646</v>
      </c>
      <c r="E223">
        <v>27</v>
      </c>
      <c r="F223">
        <v>1</v>
      </c>
      <c r="G223">
        <v>27</v>
      </c>
      <c r="H223">
        <v>1</v>
      </c>
      <c r="I223" t="s">
        <v>565</v>
      </c>
      <c r="J223" t="s">
        <v>3</v>
      </c>
      <c r="K223" t="s">
        <v>566</v>
      </c>
      <c r="L223">
        <v>1191</v>
      </c>
      <c r="N223">
        <v>1013</v>
      </c>
      <c r="O223" t="s">
        <v>567</v>
      </c>
      <c r="P223" t="s">
        <v>567</v>
      </c>
      <c r="Q223">
        <v>1</v>
      </c>
      <c r="X223">
        <v>3.59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 t="s">
        <v>238</v>
      </c>
      <c r="AG223">
        <v>2.8719999999999999</v>
      </c>
      <c r="AH223">
        <v>3</v>
      </c>
      <c r="AI223">
        <v>-1</v>
      </c>
      <c r="AJ223" t="s">
        <v>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ROW(Source!A114)</f>
        <v>114</v>
      </c>
      <c r="B224">
        <v>71211437</v>
      </c>
      <c r="C224">
        <v>71211435</v>
      </c>
      <c r="D224">
        <v>67880406</v>
      </c>
      <c r="E224">
        <v>27</v>
      </c>
      <c r="F224">
        <v>1</v>
      </c>
      <c r="G224">
        <v>27</v>
      </c>
      <c r="H224">
        <v>3</v>
      </c>
      <c r="I224" t="s">
        <v>703</v>
      </c>
      <c r="J224" t="s">
        <v>3</v>
      </c>
      <c r="K224" t="s">
        <v>705</v>
      </c>
      <c r="L224">
        <v>1346</v>
      </c>
      <c r="N224">
        <v>1009</v>
      </c>
      <c r="O224" t="s">
        <v>288</v>
      </c>
      <c r="P224" t="s">
        <v>288</v>
      </c>
      <c r="Q224">
        <v>1</v>
      </c>
      <c r="X224">
        <v>0.16470000000000001</v>
      </c>
      <c r="Y224">
        <v>49.736040000000003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 t="s">
        <v>52</v>
      </c>
      <c r="AG224">
        <v>0</v>
      </c>
      <c r="AH224">
        <v>3</v>
      </c>
      <c r="AI224">
        <v>-1</v>
      </c>
      <c r="AJ224" t="s">
        <v>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ROW(Source!A114)</f>
        <v>114</v>
      </c>
      <c r="B225">
        <v>71211442</v>
      </c>
      <c r="C225">
        <v>71211435</v>
      </c>
      <c r="D225">
        <v>67880350</v>
      </c>
      <c r="E225">
        <v>27</v>
      </c>
      <c r="F225">
        <v>1</v>
      </c>
      <c r="G225">
        <v>27</v>
      </c>
      <c r="H225">
        <v>3</v>
      </c>
      <c r="I225" t="s">
        <v>818</v>
      </c>
      <c r="J225" t="s">
        <v>3</v>
      </c>
      <c r="K225" t="s">
        <v>819</v>
      </c>
      <c r="L225">
        <v>1346</v>
      </c>
      <c r="N225">
        <v>1009</v>
      </c>
      <c r="O225" t="s">
        <v>288</v>
      </c>
      <c r="P225" t="s">
        <v>288</v>
      </c>
      <c r="Q225">
        <v>1</v>
      </c>
      <c r="X225">
        <v>0.79</v>
      </c>
      <c r="Y225">
        <v>57.445790000000002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 t="s">
        <v>52</v>
      </c>
      <c r="AG225">
        <v>0</v>
      </c>
      <c r="AH225">
        <v>3</v>
      </c>
      <c r="AI225">
        <v>-1</v>
      </c>
      <c r="AJ225" t="s">
        <v>3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ROW(Source!A114)</f>
        <v>114</v>
      </c>
      <c r="B226">
        <v>71211438</v>
      </c>
      <c r="C226">
        <v>71211435</v>
      </c>
      <c r="D226">
        <v>67893803</v>
      </c>
      <c r="E226">
        <v>1</v>
      </c>
      <c r="F226">
        <v>1</v>
      </c>
      <c r="G226">
        <v>27</v>
      </c>
      <c r="H226">
        <v>3</v>
      </c>
      <c r="I226" t="s">
        <v>820</v>
      </c>
      <c r="J226" t="s">
        <v>821</v>
      </c>
      <c r="K226" t="s">
        <v>822</v>
      </c>
      <c r="L226">
        <v>1346</v>
      </c>
      <c r="N226">
        <v>1009</v>
      </c>
      <c r="O226" t="s">
        <v>288</v>
      </c>
      <c r="P226" t="s">
        <v>288</v>
      </c>
      <c r="Q226">
        <v>1</v>
      </c>
      <c r="X226">
        <v>0.15</v>
      </c>
      <c r="Y226">
        <v>196.71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 t="s">
        <v>52</v>
      </c>
      <c r="AG226">
        <v>0</v>
      </c>
      <c r="AH226">
        <v>3</v>
      </c>
      <c r="AI226">
        <v>-1</v>
      </c>
      <c r="AJ226" t="s">
        <v>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ROW(Source!A114)</f>
        <v>114</v>
      </c>
      <c r="B227">
        <v>71211439</v>
      </c>
      <c r="C227">
        <v>71211435</v>
      </c>
      <c r="D227">
        <v>67892406</v>
      </c>
      <c r="E227">
        <v>1</v>
      </c>
      <c r="F227">
        <v>1</v>
      </c>
      <c r="G227">
        <v>27</v>
      </c>
      <c r="H227">
        <v>3</v>
      </c>
      <c r="I227" t="s">
        <v>823</v>
      </c>
      <c r="J227" t="s">
        <v>824</v>
      </c>
      <c r="K227" t="s">
        <v>825</v>
      </c>
      <c r="L227">
        <v>1339</v>
      </c>
      <c r="N227">
        <v>1007</v>
      </c>
      <c r="O227" t="s">
        <v>236</v>
      </c>
      <c r="P227" t="s">
        <v>236</v>
      </c>
      <c r="Q227">
        <v>1</v>
      </c>
      <c r="X227">
        <v>1.1739999999999999</v>
      </c>
      <c r="Y227">
        <v>4041.29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 t="s">
        <v>52</v>
      </c>
      <c r="AG227">
        <v>0</v>
      </c>
      <c r="AH227">
        <v>3</v>
      </c>
      <c r="AI227">
        <v>-1</v>
      </c>
      <c r="AJ227" t="s">
        <v>3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ROW(Source!A114)</f>
        <v>114</v>
      </c>
      <c r="B228">
        <v>71211440</v>
      </c>
      <c r="C228">
        <v>71211435</v>
      </c>
      <c r="D228">
        <v>67892441</v>
      </c>
      <c r="E228">
        <v>1</v>
      </c>
      <c r="F228">
        <v>1</v>
      </c>
      <c r="G228">
        <v>27</v>
      </c>
      <c r="H228">
        <v>3</v>
      </c>
      <c r="I228" t="s">
        <v>595</v>
      </c>
      <c r="J228" t="s">
        <v>815</v>
      </c>
      <c r="K228" t="s">
        <v>597</v>
      </c>
      <c r="L228">
        <v>1339</v>
      </c>
      <c r="N228">
        <v>1007</v>
      </c>
      <c r="O228" t="s">
        <v>236</v>
      </c>
      <c r="P228" t="s">
        <v>236</v>
      </c>
      <c r="Q228">
        <v>1</v>
      </c>
      <c r="X228">
        <v>1.23E-2</v>
      </c>
      <c r="Y228">
        <v>6232.67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 t="s">
        <v>52</v>
      </c>
      <c r="AG228">
        <v>0</v>
      </c>
      <c r="AH228">
        <v>3</v>
      </c>
      <c r="AI228">
        <v>-1</v>
      </c>
      <c r="AJ228" t="s">
        <v>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ROW(Source!A114)</f>
        <v>114</v>
      </c>
      <c r="B229">
        <v>71211441</v>
      </c>
      <c r="C229">
        <v>71211435</v>
      </c>
      <c r="D229">
        <v>67892442</v>
      </c>
      <c r="E229">
        <v>1</v>
      </c>
      <c r="F229">
        <v>1</v>
      </c>
      <c r="G229">
        <v>27</v>
      </c>
      <c r="H229">
        <v>3</v>
      </c>
      <c r="I229" t="s">
        <v>826</v>
      </c>
      <c r="J229" t="s">
        <v>827</v>
      </c>
      <c r="K229" t="s">
        <v>828</v>
      </c>
      <c r="L229">
        <v>1339</v>
      </c>
      <c r="N229">
        <v>1007</v>
      </c>
      <c r="O229" t="s">
        <v>236</v>
      </c>
      <c r="P229" t="s">
        <v>236</v>
      </c>
      <c r="Q229">
        <v>1</v>
      </c>
      <c r="X229">
        <v>0.1113</v>
      </c>
      <c r="Y229">
        <v>6232.67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 t="s">
        <v>52</v>
      </c>
      <c r="AG229">
        <v>0</v>
      </c>
      <c r="AH229">
        <v>3</v>
      </c>
      <c r="AI229">
        <v>-1</v>
      </c>
      <c r="AJ229" t="s">
        <v>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ROW(Source!A115)</f>
        <v>115</v>
      </c>
      <c r="B230">
        <v>71211444</v>
      </c>
      <c r="C230">
        <v>71211443</v>
      </c>
      <c r="D230">
        <v>67878646</v>
      </c>
      <c r="E230">
        <v>27</v>
      </c>
      <c r="F230">
        <v>1</v>
      </c>
      <c r="G230">
        <v>27</v>
      </c>
      <c r="H230">
        <v>1</v>
      </c>
      <c r="I230" t="s">
        <v>565</v>
      </c>
      <c r="J230" t="s">
        <v>3</v>
      </c>
      <c r="K230" t="s">
        <v>566</v>
      </c>
      <c r="L230">
        <v>1191</v>
      </c>
      <c r="N230">
        <v>1013</v>
      </c>
      <c r="O230" t="s">
        <v>567</v>
      </c>
      <c r="P230" t="s">
        <v>567</v>
      </c>
      <c r="Q230">
        <v>1</v>
      </c>
      <c r="X230">
        <v>49.5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F230" t="s">
        <v>3</v>
      </c>
      <c r="AG230">
        <v>49.5</v>
      </c>
      <c r="AH230">
        <v>3</v>
      </c>
      <c r="AI230">
        <v>-1</v>
      </c>
      <c r="AJ230" t="s">
        <v>3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ROW(Source!A115)</f>
        <v>115</v>
      </c>
      <c r="B231">
        <v>71211445</v>
      </c>
      <c r="C231">
        <v>71211443</v>
      </c>
      <c r="D231">
        <v>67890881</v>
      </c>
      <c r="E231">
        <v>1</v>
      </c>
      <c r="F231">
        <v>1</v>
      </c>
      <c r="G231">
        <v>27</v>
      </c>
      <c r="H231">
        <v>2</v>
      </c>
      <c r="I231" t="s">
        <v>776</v>
      </c>
      <c r="J231" t="s">
        <v>777</v>
      </c>
      <c r="K231" t="s">
        <v>778</v>
      </c>
      <c r="L231">
        <v>1368</v>
      </c>
      <c r="N231">
        <v>1011</v>
      </c>
      <c r="O231" t="s">
        <v>571</v>
      </c>
      <c r="P231" t="s">
        <v>571</v>
      </c>
      <c r="Q231">
        <v>1</v>
      </c>
      <c r="X231">
        <v>2.87</v>
      </c>
      <c r="Y231">
        <v>0</v>
      </c>
      <c r="Z231">
        <v>956.79</v>
      </c>
      <c r="AA231">
        <v>359.44</v>
      </c>
      <c r="AB231">
        <v>0</v>
      </c>
      <c r="AC231">
        <v>0</v>
      </c>
      <c r="AD231">
        <v>1</v>
      </c>
      <c r="AE231">
        <v>0</v>
      </c>
      <c r="AF231" t="s">
        <v>3</v>
      </c>
      <c r="AG231">
        <v>2.87</v>
      </c>
      <c r="AH231">
        <v>3</v>
      </c>
      <c r="AI231">
        <v>-1</v>
      </c>
      <c r="AJ231" t="s">
        <v>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ROW(Source!A115)</f>
        <v>115</v>
      </c>
      <c r="B232">
        <v>71211446</v>
      </c>
      <c r="C232">
        <v>71211443</v>
      </c>
      <c r="D232">
        <v>67890860</v>
      </c>
      <c r="E232">
        <v>1</v>
      </c>
      <c r="F232">
        <v>1</v>
      </c>
      <c r="G232">
        <v>27</v>
      </c>
      <c r="H232">
        <v>2</v>
      </c>
      <c r="I232" t="s">
        <v>779</v>
      </c>
      <c r="J232" t="s">
        <v>780</v>
      </c>
      <c r="K232" t="s">
        <v>781</v>
      </c>
      <c r="L232">
        <v>1368</v>
      </c>
      <c r="N232">
        <v>1011</v>
      </c>
      <c r="O232" t="s">
        <v>571</v>
      </c>
      <c r="P232" t="s">
        <v>571</v>
      </c>
      <c r="Q232">
        <v>1</v>
      </c>
      <c r="X232">
        <v>7.86</v>
      </c>
      <c r="Y232">
        <v>0</v>
      </c>
      <c r="Z232">
        <v>1494.43</v>
      </c>
      <c r="AA232">
        <v>481.21</v>
      </c>
      <c r="AB232">
        <v>0</v>
      </c>
      <c r="AC232">
        <v>0</v>
      </c>
      <c r="AD232">
        <v>1</v>
      </c>
      <c r="AE232">
        <v>0</v>
      </c>
      <c r="AF232" t="s">
        <v>3</v>
      </c>
      <c r="AG232">
        <v>7.86</v>
      </c>
      <c r="AH232">
        <v>3</v>
      </c>
      <c r="AI232">
        <v>-1</v>
      </c>
      <c r="AJ232" t="s">
        <v>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ROW(Source!A116)</f>
        <v>116</v>
      </c>
      <c r="B233">
        <v>71211448</v>
      </c>
      <c r="C233">
        <v>71211447</v>
      </c>
      <c r="D233">
        <v>67890860</v>
      </c>
      <c r="E233">
        <v>1</v>
      </c>
      <c r="F233">
        <v>1</v>
      </c>
      <c r="G233">
        <v>27</v>
      </c>
      <c r="H233">
        <v>2</v>
      </c>
      <c r="I233" t="s">
        <v>779</v>
      </c>
      <c r="J233" t="s">
        <v>780</v>
      </c>
      <c r="K233" t="s">
        <v>781</v>
      </c>
      <c r="L233">
        <v>1368</v>
      </c>
      <c r="N233">
        <v>1011</v>
      </c>
      <c r="O233" t="s">
        <v>571</v>
      </c>
      <c r="P233" t="s">
        <v>571</v>
      </c>
      <c r="Q233">
        <v>1</v>
      </c>
      <c r="X233">
        <v>5.3699999999999998E-2</v>
      </c>
      <c r="Y233">
        <v>0</v>
      </c>
      <c r="Z233">
        <v>1494.43</v>
      </c>
      <c r="AA233">
        <v>481.21</v>
      </c>
      <c r="AB233">
        <v>0</v>
      </c>
      <c r="AC233">
        <v>0</v>
      </c>
      <c r="AD233">
        <v>1</v>
      </c>
      <c r="AE233">
        <v>0</v>
      </c>
      <c r="AF233" t="s">
        <v>3</v>
      </c>
      <c r="AG233">
        <v>5.3699999999999998E-2</v>
      </c>
      <c r="AH233">
        <v>3</v>
      </c>
      <c r="AI233">
        <v>-1</v>
      </c>
      <c r="AJ233" t="s">
        <v>3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ROW(Source!A117)</f>
        <v>117</v>
      </c>
      <c r="B234">
        <v>71211450</v>
      </c>
      <c r="C234">
        <v>71211449</v>
      </c>
      <c r="D234">
        <v>67878646</v>
      </c>
      <c r="E234">
        <v>27</v>
      </c>
      <c r="F234">
        <v>1</v>
      </c>
      <c r="G234">
        <v>27</v>
      </c>
      <c r="H234">
        <v>1</v>
      </c>
      <c r="I234" t="s">
        <v>565</v>
      </c>
      <c r="J234" t="s">
        <v>3</v>
      </c>
      <c r="K234" t="s">
        <v>566</v>
      </c>
      <c r="L234">
        <v>1191</v>
      </c>
      <c r="N234">
        <v>1013</v>
      </c>
      <c r="O234" t="s">
        <v>567</v>
      </c>
      <c r="P234" t="s">
        <v>567</v>
      </c>
      <c r="Q234">
        <v>1</v>
      </c>
      <c r="X234">
        <v>1.02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 t="s">
        <v>3</v>
      </c>
      <c r="AG234">
        <v>1.02</v>
      </c>
      <c r="AH234">
        <v>3</v>
      </c>
      <c r="AI234">
        <v>-1</v>
      </c>
      <c r="AJ234" t="s">
        <v>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ROW(Source!A118)</f>
        <v>118</v>
      </c>
      <c r="B235">
        <v>71211452</v>
      </c>
      <c r="C235">
        <v>71211451</v>
      </c>
      <c r="D235">
        <v>67891658</v>
      </c>
      <c r="E235">
        <v>1</v>
      </c>
      <c r="F235">
        <v>1</v>
      </c>
      <c r="G235">
        <v>27</v>
      </c>
      <c r="H235">
        <v>2</v>
      </c>
      <c r="I235" t="s">
        <v>782</v>
      </c>
      <c r="J235" t="s">
        <v>783</v>
      </c>
      <c r="K235" t="s">
        <v>784</v>
      </c>
      <c r="L235">
        <v>1368</v>
      </c>
      <c r="N235">
        <v>1011</v>
      </c>
      <c r="O235" t="s">
        <v>571</v>
      </c>
      <c r="P235" t="s">
        <v>571</v>
      </c>
      <c r="Q235">
        <v>1</v>
      </c>
      <c r="X235">
        <v>0.02</v>
      </c>
      <c r="Y235">
        <v>0</v>
      </c>
      <c r="Z235">
        <v>1009.4</v>
      </c>
      <c r="AA235">
        <v>316.82</v>
      </c>
      <c r="AB235">
        <v>0</v>
      </c>
      <c r="AC235">
        <v>0</v>
      </c>
      <c r="AD235">
        <v>1</v>
      </c>
      <c r="AE235">
        <v>0</v>
      </c>
      <c r="AF235" t="s">
        <v>3</v>
      </c>
      <c r="AG235">
        <v>0.02</v>
      </c>
      <c r="AH235">
        <v>3</v>
      </c>
      <c r="AI235">
        <v>-1</v>
      </c>
      <c r="AJ235" t="s">
        <v>3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ROW(Source!A118)</f>
        <v>118</v>
      </c>
      <c r="B236">
        <v>71211453</v>
      </c>
      <c r="C236">
        <v>71211451</v>
      </c>
      <c r="D236">
        <v>67891659</v>
      </c>
      <c r="E236">
        <v>1</v>
      </c>
      <c r="F236">
        <v>1</v>
      </c>
      <c r="G236">
        <v>27</v>
      </c>
      <c r="H236">
        <v>2</v>
      </c>
      <c r="I236" t="s">
        <v>682</v>
      </c>
      <c r="J236" t="s">
        <v>683</v>
      </c>
      <c r="K236" t="s">
        <v>684</v>
      </c>
      <c r="L236">
        <v>1368</v>
      </c>
      <c r="N236">
        <v>1011</v>
      </c>
      <c r="O236" t="s">
        <v>571</v>
      </c>
      <c r="P236" t="s">
        <v>571</v>
      </c>
      <c r="Q236">
        <v>1</v>
      </c>
      <c r="X236">
        <v>1.7999999999999999E-2</v>
      </c>
      <c r="Y236">
        <v>0</v>
      </c>
      <c r="Z236">
        <v>1014.12</v>
      </c>
      <c r="AA236">
        <v>317.13</v>
      </c>
      <c r="AB236">
        <v>0</v>
      </c>
      <c r="AC236">
        <v>0</v>
      </c>
      <c r="AD236">
        <v>1</v>
      </c>
      <c r="AE236">
        <v>0</v>
      </c>
      <c r="AF236" t="s">
        <v>3</v>
      </c>
      <c r="AG236">
        <v>1.7999999999999999E-2</v>
      </c>
      <c r="AH236">
        <v>3</v>
      </c>
      <c r="AI236">
        <v>-1</v>
      </c>
      <c r="AJ236" t="s">
        <v>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>
        <f>ROW(Source!A119)</f>
        <v>119</v>
      </c>
      <c r="B237">
        <v>71211455</v>
      </c>
      <c r="C237">
        <v>71211454</v>
      </c>
      <c r="D237">
        <v>67891658</v>
      </c>
      <c r="E237">
        <v>1</v>
      </c>
      <c r="F237">
        <v>1</v>
      </c>
      <c r="G237">
        <v>27</v>
      </c>
      <c r="H237">
        <v>2</v>
      </c>
      <c r="I237" t="s">
        <v>782</v>
      </c>
      <c r="J237" t="s">
        <v>783</v>
      </c>
      <c r="K237" t="s">
        <v>784</v>
      </c>
      <c r="L237">
        <v>1368</v>
      </c>
      <c r="N237">
        <v>1011</v>
      </c>
      <c r="O237" t="s">
        <v>571</v>
      </c>
      <c r="P237" t="s">
        <v>571</v>
      </c>
      <c r="Q237">
        <v>1</v>
      </c>
      <c r="X237">
        <v>5.3999999999999999E-2</v>
      </c>
      <c r="Y237">
        <v>0</v>
      </c>
      <c r="Z237">
        <v>1009.4</v>
      </c>
      <c r="AA237">
        <v>316.82</v>
      </c>
      <c r="AB237">
        <v>0</v>
      </c>
      <c r="AC237">
        <v>0</v>
      </c>
      <c r="AD237">
        <v>1</v>
      </c>
      <c r="AE237">
        <v>0</v>
      </c>
      <c r="AF237" t="s">
        <v>3</v>
      </c>
      <c r="AG237">
        <v>5.3999999999999999E-2</v>
      </c>
      <c r="AH237">
        <v>3</v>
      </c>
      <c r="AI237">
        <v>-1</v>
      </c>
      <c r="AJ237" t="s">
        <v>3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>
        <f>ROW(Source!A119)</f>
        <v>119</v>
      </c>
      <c r="B238">
        <v>71211456</v>
      </c>
      <c r="C238">
        <v>71211454</v>
      </c>
      <c r="D238">
        <v>67891659</v>
      </c>
      <c r="E238">
        <v>1</v>
      </c>
      <c r="F238">
        <v>1</v>
      </c>
      <c r="G238">
        <v>27</v>
      </c>
      <c r="H238">
        <v>2</v>
      </c>
      <c r="I238" t="s">
        <v>682</v>
      </c>
      <c r="J238" t="s">
        <v>683</v>
      </c>
      <c r="K238" t="s">
        <v>684</v>
      </c>
      <c r="L238">
        <v>1368</v>
      </c>
      <c r="N238">
        <v>1011</v>
      </c>
      <c r="O238" t="s">
        <v>571</v>
      </c>
      <c r="P238" t="s">
        <v>571</v>
      </c>
      <c r="Q238">
        <v>1</v>
      </c>
      <c r="X238">
        <v>5.5E-2</v>
      </c>
      <c r="Y238">
        <v>0</v>
      </c>
      <c r="Z238">
        <v>1014.12</v>
      </c>
      <c r="AA238">
        <v>317.13</v>
      </c>
      <c r="AB238">
        <v>0</v>
      </c>
      <c r="AC238">
        <v>0</v>
      </c>
      <c r="AD238">
        <v>1</v>
      </c>
      <c r="AE238">
        <v>0</v>
      </c>
      <c r="AF238" t="s">
        <v>3</v>
      </c>
      <c r="AG238">
        <v>5.5E-2</v>
      </c>
      <c r="AH238">
        <v>3</v>
      </c>
      <c r="AI238">
        <v>-1</v>
      </c>
      <c r="AJ238" t="s">
        <v>3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>
        <f>ROW(Source!A120)</f>
        <v>120</v>
      </c>
      <c r="B239">
        <v>71211458</v>
      </c>
      <c r="C239">
        <v>71211457</v>
      </c>
      <c r="D239">
        <v>67891658</v>
      </c>
      <c r="E239">
        <v>1</v>
      </c>
      <c r="F239">
        <v>1</v>
      </c>
      <c r="G239">
        <v>27</v>
      </c>
      <c r="H239">
        <v>2</v>
      </c>
      <c r="I239" t="s">
        <v>782</v>
      </c>
      <c r="J239" t="s">
        <v>783</v>
      </c>
      <c r="K239" t="s">
        <v>784</v>
      </c>
      <c r="L239">
        <v>1368</v>
      </c>
      <c r="N239">
        <v>1011</v>
      </c>
      <c r="O239" t="s">
        <v>571</v>
      </c>
      <c r="P239" t="s">
        <v>571</v>
      </c>
      <c r="Q239">
        <v>1</v>
      </c>
      <c r="X239">
        <v>0.01</v>
      </c>
      <c r="Y239">
        <v>0</v>
      </c>
      <c r="Z239">
        <v>1009.4</v>
      </c>
      <c r="AA239">
        <v>316.82</v>
      </c>
      <c r="AB239">
        <v>0</v>
      </c>
      <c r="AC239">
        <v>0</v>
      </c>
      <c r="AD239">
        <v>1</v>
      </c>
      <c r="AE239">
        <v>0</v>
      </c>
      <c r="AF239" t="s">
        <v>138</v>
      </c>
      <c r="AG239">
        <v>0.42</v>
      </c>
      <c r="AH239">
        <v>3</v>
      </c>
      <c r="AI239">
        <v>-1</v>
      </c>
      <c r="AJ239" t="s">
        <v>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>
        <f>ROW(Source!A120)</f>
        <v>120</v>
      </c>
      <c r="B240">
        <v>71211459</v>
      </c>
      <c r="C240">
        <v>71211457</v>
      </c>
      <c r="D240">
        <v>67891659</v>
      </c>
      <c r="E240">
        <v>1</v>
      </c>
      <c r="F240">
        <v>1</v>
      </c>
      <c r="G240">
        <v>27</v>
      </c>
      <c r="H240">
        <v>2</v>
      </c>
      <c r="I240" t="s">
        <v>682</v>
      </c>
      <c r="J240" t="s">
        <v>683</v>
      </c>
      <c r="K240" t="s">
        <v>684</v>
      </c>
      <c r="L240">
        <v>1368</v>
      </c>
      <c r="N240">
        <v>1011</v>
      </c>
      <c r="O240" t="s">
        <v>571</v>
      </c>
      <c r="P240" t="s">
        <v>571</v>
      </c>
      <c r="Q240">
        <v>1</v>
      </c>
      <c r="X240">
        <v>8.0000000000000002E-3</v>
      </c>
      <c r="Y240">
        <v>0</v>
      </c>
      <c r="Z240">
        <v>1014.12</v>
      </c>
      <c r="AA240">
        <v>317.13</v>
      </c>
      <c r="AB240">
        <v>0</v>
      </c>
      <c r="AC240">
        <v>0</v>
      </c>
      <c r="AD240">
        <v>1</v>
      </c>
      <c r="AE240">
        <v>0</v>
      </c>
      <c r="AF240" t="s">
        <v>138</v>
      </c>
      <c r="AG240">
        <v>0.33600000000000002</v>
      </c>
      <c r="AH240">
        <v>3</v>
      </c>
      <c r="AI240">
        <v>-1</v>
      </c>
      <c r="AJ240" t="s">
        <v>3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>
        <f>ROW(Source!A122)</f>
        <v>122</v>
      </c>
      <c r="B241">
        <v>71211462</v>
      </c>
      <c r="C241">
        <v>71211461</v>
      </c>
      <c r="D241">
        <v>67890860</v>
      </c>
      <c r="E241">
        <v>1</v>
      </c>
      <c r="F241">
        <v>1</v>
      </c>
      <c r="G241">
        <v>27</v>
      </c>
      <c r="H241">
        <v>2</v>
      </c>
      <c r="I241" t="s">
        <v>779</v>
      </c>
      <c r="J241" t="s">
        <v>780</v>
      </c>
      <c r="K241" t="s">
        <v>781</v>
      </c>
      <c r="L241">
        <v>1368</v>
      </c>
      <c r="N241">
        <v>1011</v>
      </c>
      <c r="O241" t="s">
        <v>571</v>
      </c>
      <c r="P241" t="s">
        <v>571</v>
      </c>
      <c r="Q241">
        <v>1</v>
      </c>
      <c r="X241">
        <v>5.3699999999999998E-2</v>
      </c>
      <c r="Y241">
        <v>0</v>
      </c>
      <c r="Z241">
        <v>1494.43</v>
      </c>
      <c r="AA241">
        <v>481.21</v>
      </c>
      <c r="AB241">
        <v>0</v>
      </c>
      <c r="AC241">
        <v>0</v>
      </c>
      <c r="AD241">
        <v>1</v>
      </c>
      <c r="AE241">
        <v>0</v>
      </c>
      <c r="AF241" t="s">
        <v>3</v>
      </c>
      <c r="AG241">
        <v>5.3699999999999998E-2</v>
      </c>
      <c r="AH241">
        <v>3</v>
      </c>
      <c r="AI241">
        <v>-1</v>
      </c>
      <c r="AJ241" t="s">
        <v>3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>
        <f>ROW(Source!A123)</f>
        <v>123</v>
      </c>
      <c r="B242">
        <v>71211464</v>
      </c>
      <c r="C242">
        <v>71211463</v>
      </c>
      <c r="D242">
        <v>67878646</v>
      </c>
      <c r="E242">
        <v>27</v>
      </c>
      <c r="F242">
        <v>1</v>
      </c>
      <c r="G242">
        <v>27</v>
      </c>
      <c r="H242">
        <v>1</v>
      </c>
      <c r="I242" t="s">
        <v>565</v>
      </c>
      <c r="J242" t="s">
        <v>3</v>
      </c>
      <c r="K242" t="s">
        <v>566</v>
      </c>
      <c r="L242">
        <v>1191</v>
      </c>
      <c r="N242">
        <v>1013</v>
      </c>
      <c r="O242" t="s">
        <v>567</v>
      </c>
      <c r="P242" t="s">
        <v>567</v>
      </c>
      <c r="Q242">
        <v>1</v>
      </c>
      <c r="X242">
        <v>1.02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 t="s">
        <v>3</v>
      </c>
      <c r="AG242">
        <v>1.02</v>
      </c>
      <c r="AH242">
        <v>3</v>
      </c>
      <c r="AI242">
        <v>-1</v>
      </c>
      <c r="AJ242" t="s">
        <v>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>
        <f>ROW(Source!A124)</f>
        <v>124</v>
      </c>
      <c r="B243">
        <v>71211466</v>
      </c>
      <c r="C243">
        <v>71211465</v>
      </c>
      <c r="D243">
        <v>67891658</v>
      </c>
      <c r="E243">
        <v>1</v>
      </c>
      <c r="F243">
        <v>1</v>
      </c>
      <c r="G243">
        <v>27</v>
      </c>
      <c r="H243">
        <v>2</v>
      </c>
      <c r="I243" t="s">
        <v>782</v>
      </c>
      <c r="J243" t="s">
        <v>783</v>
      </c>
      <c r="K243" t="s">
        <v>784</v>
      </c>
      <c r="L243">
        <v>1368</v>
      </c>
      <c r="N243">
        <v>1011</v>
      </c>
      <c r="O243" t="s">
        <v>571</v>
      </c>
      <c r="P243" t="s">
        <v>571</v>
      </c>
      <c r="Q243">
        <v>1</v>
      </c>
      <c r="X243">
        <v>0.02</v>
      </c>
      <c r="Y243">
        <v>0</v>
      </c>
      <c r="Z243">
        <v>1009.4</v>
      </c>
      <c r="AA243">
        <v>316.82</v>
      </c>
      <c r="AB243">
        <v>0</v>
      </c>
      <c r="AC243">
        <v>0</v>
      </c>
      <c r="AD243">
        <v>1</v>
      </c>
      <c r="AE243">
        <v>0</v>
      </c>
      <c r="AF243" t="s">
        <v>3</v>
      </c>
      <c r="AG243">
        <v>0.02</v>
      </c>
      <c r="AH243">
        <v>3</v>
      </c>
      <c r="AI243">
        <v>-1</v>
      </c>
      <c r="AJ243" t="s">
        <v>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>
        <f>ROW(Source!A124)</f>
        <v>124</v>
      </c>
      <c r="B244">
        <v>71211467</v>
      </c>
      <c r="C244">
        <v>71211465</v>
      </c>
      <c r="D244">
        <v>67891659</v>
      </c>
      <c r="E244">
        <v>1</v>
      </c>
      <c r="F244">
        <v>1</v>
      </c>
      <c r="G244">
        <v>27</v>
      </c>
      <c r="H244">
        <v>2</v>
      </c>
      <c r="I244" t="s">
        <v>682</v>
      </c>
      <c r="J244" t="s">
        <v>683</v>
      </c>
      <c r="K244" t="s">
        <v>684</v>
      </c>
      <c r="L244">
        <v>1368</v>
      </c>
      <c r="N244">
        <v>1011</v>
      </c>
      <c r="O244" t="s">
        <v>571</v>
      </c>
      <c r="P244" t="s">
        <v>571</v>
      </c>
      <c r="Q244">
        <v>1</v>
      </c>
      <c r="X244">
        <v>1.7999999999999999E-2</v>
      </c>
      <c r="Y244">
        <v>0</v>
      </c>
      <c r="Z244">
        <v>1014.12</v>
      </c>
      <c r="AA244">
        <v>317.13</v>
      </c>
      <c r="AB244">
        <v>0</v>
      </c>
      <c r="AC244">
        <v>0</v>
      </c>
      <c r="AD244">
        <v>1</v>
      </c>
      <c r="AE244">
        <v>0</v>
      </c>
      <c r="AF244" t="s">
        <v>3</v>
      </c>
      <c r="AG244">
        <v>1.7999999999999999E-2</v>
      </c>
      <c r="AH244">
        <v>3</v>
      </c>
      <c r="AI244">
        <v>-1</v>
      </c>
      <c r="AJ244" t="s">
        <v>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>
        <f>ROW(Source!A125)</f>
        <v>125</v>
      </c>
      <c r="B245">
        <v>71211469</v>
      </c>
      <c r="C245">
        <v>71211468</v>
      </c>
      <c r="D245">
        <v>67891658</v>
      </c>
      <c r="E245">
        <v>1</v>
      </c>
      <c r="F245">
        <v>1</v>
      </c>
      <c r="G245">
        <v>27</v>
      </c>
      <c r="H245">
        <v>2</v>
      </c>
      <c r="I245" t="s">
        <v>782</v>
      </c>
      <c r="J245" t="s">
        <v>783</v>
      </c>
      <c r="K245" t="s">
        <v>784</v>
      </c>
      <c r="L245">
        <v>1368</v>
      </c>
      <c r="N245">
        <v>1011</v>
      </c>
      <c r="O245" t="s">
        <v>571</v>
      </c>
      <c r="P245" t="s">
        <v>571</v>
      </c>
      <c r="Q245">
        <v>1</v>
      </c>
      <c r="X245">
        <v>5.3999999999999999E-2</v>
      </c>
      <c r="Y245">
        <v>0</v>
      </c>
      <c r="Z245">
        <v>1009.4</v>
      </c>
      <c r="AA245">
        <v>316.82</v>
      </c>
      <c r="AB245">
        <v>0</v>
      </c>
      <c r="AC245">
        <v>0</v>
      </c>
      <c r="AD245">
        <v>1</v>
      </c>
      <c r="AE245">
        <v>0</v>
      </c>
      <c r="AF245" t="s">
        <v>3</v>
      </c>
      <c r="AG245">
        <v>5.3999999999999999E-2</v>
      </c>
      <c r="AH245">
        <v>3</v>
      </c>
      <c r="AI245">
        <v>-1</v>
      </c>
      <c r="AJ245" t="s">
        <v>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>
        <f>ROW(Source!A125)</f>
        <v>125</v>
      </c>
      <c r="B246">
        <v>71211470</v>
      </c>
      <c r="C246">
        <v>71211468</v>
      </c>
      <c r="D246">
        <v>67891659</v>
      </c>
      <c r="E246">
        <v>1</v>
      </c>
      <c r="F246">
        <v>1</v>
      </c>
      <c r="G246">
        <v>27</v>
      </c>
      <c r="H246">
        <v>2</v>
      </c>
      <c r="I246" t="s">
        <v>682</v>
      </c>
      <c r="J246" t="s">
        <v>683</v>
      </c>
      <c r="K246" t="s">
        <v>684</v>
      </c>
      <c r="L246">
        <v>1368</v>
      </c>
      <c r="N246">
        <v>1011</v>
      </c>
      <c r="O246" t="s">
        <v>571</v>
      </c>
      <c r="P246" t="s">
        <v>571</v>
      </c>
      <c r="Q246">
        <v>1</v>
      </c>
      <c r="X246">
        <v>5.5E-2</v>
      </c>
      <c r="Y246">
        <v>0</v>
      </c>
      <c r="Z246">
        <v>1014.12</v>
      </c>
      <c r="AA246">
        <v>317.13</v>
      </c>
      <c r="AB246">
        <v>0</v>
      </c>
      <c r="AC246">
        <v>0</v>
      </c>
      <c r="AD246">
        <v>1</v>
      </c>
      <c r="AE246">
        <v>0</v>
      </c>
      <c r="AF246" t="s">
        <v>3</v>
      </c>
      <c r="AG246">
        <v>5.5E-2</v>
      </c>
      <c r="AH246">
        <v>3</v>
      </c>
      <c r="AI246">
        <v>-1</v>
      </c>
      <c r="AJ246" t="s">
        <v>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>
        <f>ROW(Source!A126)</f>
        <v>126</v>
      </c>
      <c r="B247">
        <v>71211472</v>
      </c>
      <c r="C247">
        <v>71211471</v>
      </c>
      <c r="D247">
        <v>67891658</v>
      </c>
      <c r="E247">
        <v>1</v>
      </c>
      <c r="F247">
        <v>1</v>
      </c>
      <c r="G247">
        <v>27</v>
      </c>
      <c r="H247">
        <v>2</v>
      </c>
      <c r="I247" t="s">
        <v>782</v>
      </c>
      <c r="J247" t="s">
        <v>783</v>
      </c>
      <c r="K247" t="s">
        <v>784</v>
      </c>
      <c r="L247">
        <v>1368</v>
      </c>
      <c r="N247">
        <v>1011</v>
      </c>
      <c r="O247" t="s">
        <v>571</v>
      </c>
      <c r="P247" t="s">
        <v>571</v>
      </c>
      <c r="Q247">
        <v>1</v>
      </c>
      <c r="X247">
        <v>0.01</v>
      </c>
      <c r="Y247">
        <v>0</v>
      </c>
      <c r="Z247">
        <v>1009.4</v>
      </c>
      <c r="AA247">
        <v>316.82</v>
      </c>
      <c r="AB247">
        <v>0</v>
      </c>
      <c r="AC247">
        <v>0</v>
      </c>
      <c r="AD247">
        <v>1</v>
      </c>
      <c r="AE247">
        <v>0</v>
      </c>
      <c r="AF247" t="s">
        <v>41</v>
      </c>
      <c r="AG247">
        <v>0.32</v>
      </c>
      <c r="AH247">
        <v>3</v>
      </c>
      <c r="AI247">
        <v>-1</v>
      </c>
      <c r="AJ247" t="s">
        <v>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>
        <f>ROW(Source!A126)</f>
        <v>126</v>
      </c>
      <c r="B248">
        <v>71211473</v>
      </c>
      <c r="C248">
        <v>71211471</v>
      </c>
      <c r="D248">
        <v>67891659</v>
      </c>
      <c r="E248">
        <v>1</v>
      </c>
      <c r="F248">
        <v>1</v>
      </c>
      <c r="G248">
        <v>27</v>
      </c>
      <c r="H248">
        <v>2</v>
      </c>
      <c r="I248" t="s">
        <v>682</v>
      </c>
      <c r="J248" t="s">
        <v>683</v>
      </c>
      <c r="K248" t="s">
        <v>684</v>
      </c>
      <c r="L248">
        <v>1368</v>
      </c>
      <c r="N248">
        <v>1011</v>
      </c>
      <c r="O248" t="s">
        <v>571</v>
      </c>
      <c r="P248" t="s">
        <v>571</v>
      </c>
      <c r="Q248">
        <v>1</v>
      </c>
      <c r="X248">
        <v>8.0000000000000002E-3</v>
      </c>
      <c r="Y248">
        <v>0</v>
      </c>
      <c r="Z248">
        <v>1014.12</v>
      </c>
      <c r="AA248">
        <v>317.13</v>
      </c>
      <c r="AB248">
        <v>0</v>
      </c>
      <c r="AC248">
        <v>0</v>
      </c>
      <c r="AD248">
        <v>1</v>
      </c>
      <c r="AE248">
        <v>0</v>
      </c>
      <c r="AF248" t="s">
        <v>41</v>
      </c>
      <c r="AG248">
        <v>0.25600000000000001</v>
      </c>
      <c r="AH248">
        <v>3</v>
      </c>
      <c r="AI248">
        <v>-1</v>
      </c>
      <c r="AJ248" t="s">
        <v>3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A249">
        <f>ROW(Source!A162)</f>
        <v>162</v>
      </c>
      <c r="B249">
        <v>71211475</v>
      </c>
      <c r="C249">
        <v>71211474</v>
      </c>
      <c r="D249">
        <v>67878646</v>
      </c>
      <c r="E249">
        <v>27</v>
      </c>
      <c r="F249">
        <v>1</v>
      </c>
      <c r="G249">
        <v>27</v>
      </c>
      <c r="H249">
        <v>1</v>
      </c>
      <c r="I249" t="s">
        <v>565</v>
      </c>
      <c r="J249" t="s">
        <v>3</v>
      </c>
      <c r="K249" t="s">
        <v>566</v>
      </c>
      <c r="L249">
        <v>1191</v>
      </c>
      <c r="N249">
        <v>1013</v>
      </c>
      <c r="O249" t="s">
        <v>567</v>
      </c>
      <c r="P249" t="s">
        <v>567</v>
      </c>
      <c r="Q249">
        <v>1</v>
      </c>
      <c r="X249">
        <v>16.559999999999999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1</v>
      </c>
      <c r="AF249" t="s">
        <v>3</v>
      </c>
      <c r="AG249">
        <v>16.559999999999999</v>
      </c>
      <c r="AH249">
        <v>3</v>
      </c>
      <c r="AI249">
        <v>-1</v>
      </c>
      <c r="AJ249" t="s">
        <v>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>
        <f>ROW(Source!A162)</f>
        <v>162</v>
      </c>
      <c r="B250">
        <v>71211476</v>
      </c>
      <c r="C250">
        <v>71211474</v>
      </c>
      <c r="D250">
        <v>67890904</v>
      </c>
      <c r="E250">
        <v>1</v>
      </c>
      <c r="F250">
        <v>1</v>
      </c>
      <c r="G250">
        <v>27</v>
      </c>
      <c r="H250">
        <v>2</v>
      </c>
      <c r="I250" t="s">
        <v>685</v>
      </c>
      <c r="J250" t="s">
        <v>686</v>
      </c>
      <c r="K250" t="s">
        <v>687</v>
      </c>
      <c r="L250">
        <v>1368</v>
      </c>
      <c r="N250">
        <v>1011</v>
      </c>
      <c r="O250" t="s">
        <v>571</v>
      </c>
      <c r="P250" t="s">
        <v>571</v>
      </c>
      <c r="Q250">
        <v>1</v>
      </c>
      <c r="X250">
        <v>2.08</v>
      </c>
      <c r="Y250">
        <v>0</v>
      </c>
      <c r="Z250">
        <v>740.94</v>
      </c>
      <c r="AA250">
        <v>413.22</v>
      </c>
      <c r="AB250">
        <v>0</v>
      </c>
      <c r="AC250">
        <v>0</v>
      </c>
      <c r="AD250">
        <v>1</v>
      </c>
      <c r="AE250">
        <v>0</v>
      </c>
      <c r="AF250" t="s">
        <v>3</v>
      </c>
      <c r="AG250">
        <v>2.08</v>
      </c>
      <c r="AH250">
        <v>3</v>
      </c>
      <c r="AI250">
        <v>-1</v>
      </c>
      <c r="AJ250" t="s">
        <v>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f>ROW(Source!A162)</f>
        <v>162</v>
      </c>
      <c r="B251">
        <v>71211477</v>
      </c>
      <c r="C251">
        <v>71211474</v>
      </c>
      <c r="D251">
        <v>67891059</v>
      </c>
      <c r="E251">
        <v>1</v>
      </c>
      <c r="F251">
        <v>1</v>
      </c>
      <c r="G251">
        <v>27</v>
      </c>
      <c r="H251">
        <v>2</v>
      </c>
      <c r="I251" t="s">
        <v>829</v>
      </c>
      <c r="J251" t="s">
        <v>830</v>
      </c>
      <c r="K251" t="s">
        <v>831</v>
      </c>
      <c r="L251">
        <v>1368</v>
      </c>
      <c r="N251">
        <v>1011</v>
      </c>
      <c r="O251" t="s">
        <v>571</v>
      </c>
      <c r="P251" t="s">
        <v>571</v>
      </c>
      <c r="Q251">
        <v>1</v>
      </c>
      <c r="X251">
        <v>2.08</v>
      </c>
      <c r="Y251">
        <v>0</v>
      </c>
      <c r="Z251">
        <v>430.32</v>
      </c>
      <c r="AA251">
        <v>215.31</v>
      </c>
      <c r="AB251">
        <v>0</v>
      </c>
      <c r="AC251">
        <v>0</v>
      </c>
      <c r="AD251">
        <v>1</v>
      </c>
      <c r="AE251">
        <v>0</v>
      </c>
      <c r="AF251" t="s">
        <v>3</v>
      </c>
      <c r="AG251">
        <v>2.08</v>
      </c>
      <c r="AH251">
        <v>3</v>
      </c>
      <c r="AI251">
        <v>-1</v>
      </c>
      <c r="AJ251" t="s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f>ROW(Source!A162)</f>
        <v>162</v>
      </c>
      <c r="B252">
        <v>71211478</v>
      </c>
      <c r="C252">
        <v>71211474</v>
      </c>
      <c r="D252">
        <v>67891062</v>
      </c>
      <c r="E252">
        <v>1</v>
      </c>
      <c r="F252">
        <v>1</v>
      </c>
      <c r="G252">
        <v>27</v>
      </c>
      <c r="H252">
        <v>2</v>
      </c>
      <c r="I252" t="s">
        <v>649</v>
      </c>
      <c r="J252" t="s">
        <v>650</v>
      </c>
      <c r="K252" t="s">
        <v>651</v>
      </c>
      <c r="L252">
        <v>1368</v>
      </c>
      <c r="N252">
        <v>1011</v>
      </c>
      <c r="O252" t="s">
        <v>571</v>
      </c>
      <c r="P252" t="s">
        <v>571</v>
      </c>
      <c r="Q252">
        <v>1</v>
      </c>
      <c r="X252">
        <v>0.81</v>
      </c>
      <c r="Y252">
        <v>0</v>
      </c>
      <c r="Z252">
        <v>2020.59</v>
      </c>
      <c r="AA252">
        <v>458.56</v>
      </c>
      <c r="AB252">
        <v>0</v>
      </c>
      <c r="AC252">
        <v>0</v>
      </c>
      <c r="AD252">
        <v>1</v>
      </c>
      <c r="AE252">
        <v>0</v>
      </c>
      <c r="AF252" t="s">
        <v>3</v>
      </c>
      <c r="AG252">
        <v>0.81</v>
      </c>
      <c r="AH252">
        <v>3</v>
      </c>
      <c r="AI252">
        <v>-1</v>
      </c>
      <c r="AJ252" t="s">
        <v>3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f>ROW(Source!A162)</f>
        <v>162</v>
      </c>
      <c r="B253">
        <v>71211479</v>
      </c>
      <c r="C253">
        <v>71211474</v>
      </c>
      <c r="D253">
        <v>67891086</v>
      </c>
      <c r="E253">
        <v>1</v>
      </c>
      <c r="F253">
        <v>1</v>
      </c>
      <c r="G253">
        <v>27</v>
      </c>
      <c r="H253">
        <v>2</v>
      </c>
      <c r="I253" t="s">
        <v>688</v>
      </c>
      <c r="J253" t="s">
        <v>689</v>
      </c>
      <c r="K253" t="s">
        <v>690</v>
      </c>
      <c r="L253">
        <v>1368</v>
      </c>
      <c r="N253">
        <v>1011</v>
      </c>
      <c r="O253" t="s">
        <v>571</v>
      </c>
      <c r="P253" t="s">
        <v>571</v>
      </c>
      <c r="Q253">
        <v>1</v>
      </c>
      <c r="X253">
        <v>1.94</v>
      </c>
      <c r="Y253">
        <v>0</v>
      </c>
      <c r="Z253">
        <v>1412.71</v>
      </c>
      <c r="AA253">
        <v>641.32000000000005</v>
      </c>
      <c r="AB253">
        <v>0</v>
      </c>
      <c r="AC253">
        <v>0</v>
      </c>
      <c r="AD253">
        <v>1</v>
      </c>
      <c r="AE253">
        <v>0</v>
      </c>
      <c r="AF253" t="s">
        <v>3</v>
      </c>
      <c r="AG253">
        <v>1.94</v>
      </c>
      <c r="AH253">
        <v>3</v>
      </c>
      <c r="AI253">
        <v>-1</v>
      </c>
      <c r="AJ253" t="s">
        <v>3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f>ROW(Source!A162)</f>
        <v>162</v>
      </c>
      <c r="B254">
        <v>71211480</v>
      </c>
      <c r="C254">
        <v>71211474</v>
      </c>
      <c r="D254">
        <v>67891052</v>
      </c>
      <c r="E254">
        <v>1</v>
      </c>
      <c r="F254">
        <v>1</v>
      </c>
      <c r="G254">
        <v>27</v>
      </c>
      <c r="H254">
        <v>2</v>
      </c>
      <c r="I254" t="s">
        <v>832</v>
      </c>
      <c r="J254" t="s">
        <v>833</v>
      </c>
      <c r="K254" t="s">
        <v>834</v>
      </c>
      <c r="L254">
        <v>1368</v>
      </c>
      <c r="N254">
        <v>1011</v>
      </c>
      <c r="O254" t="s">
        <v>571</v>
      </c>
      <c r="P254" t="s">
        <v>571</v>
      </c>
      <c r="Q254">
        <v>1</v>
      </c>
      <c r="X254">
        <v>0.65</v>
      </c>
      <c r="Y254">
        <v>0</v>
      </c>
      <c r="Z254">
        <v>1213.3399999999999</v>
      </c>
      <c r="AA254">
        <v>461.6</v>
      </c>
      <c r="AB254">
        <v>0</v>
      </c>
      <c r="AC254">
        <v>0</v>
      </c>
      <c r="AD254">
        <v>1</v>
      </c>
      <c r="AE254">
        <v>0</v>
      </c>
      <c r="AF254" t="s">
        <v>3</v>
      </c>
      <c r="AG254">
        <v>0.65</v>
      </c>
      <c r="AH254">
        <v>3</v>
      </c>
      <c r="AI254">
        <v>-1</v>
      </c>
      <c r="AJ254" t="s">
        <v>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f>ROW(Source!A162)</f>
        <v>162</v>
      </c>
      <c r="B255">
        <v>71211481</v>
      </c>
      <c r="C255">
        <v>71211474</v>
      </c>
      <c r="D255">
        <v>67893014</v>
      </c>
      <c r="E255">
        <v>1</v>
      </c>
      <c r="F255">
        <v>1</v>
      </c>
      <c r="G255">
        <v>27</v>
      </c>
      <c r="H255">
        <v>3</v>
      </c>
      <c r="I255" t="s">
        <v>835</v>
      </c>
      <c r="J255" t="s">
        <v>836</v>
      </c>
      <c r="K255" t="s">
        <v>837</v>
      </c>
      <c r="L255">
        <v>1339</v>
      </c>
      <c r="N255">
        <v>1007</v>
      </c>
      <c r="O255" t="s">
        <v>236</v>
      </c>
      <c r="P255" t="s">
        <v>236</v>
      </c>
      <c r="Q255">
        <v>1</v>
      </c>
      <c r="X255">
        <v>110</v>
      </c>
      <c r="Y255">
        <v>590.78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 t="s">
        <v>3</v>
      </c>
      <c r="AG255">
        <v>110</v>
      </c>
      <c r="AH255">
        <v>3</v>
      </c>
      <c r="AI255">
        <v>-1</v>
      </c>
      <c r="AJ255" t="s">
        <v>3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f>ROW(Source!A162)</f>
        <v>162</v>
      </c>
      <c r="B256">
        <v>71211482</v>
      </c>
      <c r="C256">
        <v>71211474</v>
      </c>
      <c r="D256">
        <v>67893760</v>
      </c>
      <c r="E256">
        <v>1</v>
      </c>
      <c r="F256">
        <v>1</v>
      </c>
      <c r="G256">
        <v>27</v>
      </c>
      <c r="H256">
        <v>3</v>
      </c>
      <c r="I256" t="s">
        <v>652</v>
      </c>
      <c r="J256" t="s">
        <v>653</v>
      </c>
      <c r="K256" t="s">
        <v>654</v>
      </c>
      <c r="L256">
        <v>1339</v>
      </c>
      <c r="N256">
        <v>1007</v>
      </c>
      <c r="O256" t="s">
        <v>236</v>
      </c>
      <c r="P256" t="s">
        <v>236</v>
      </c>
      <c r="Q256">
        <v>1</v>
      </c>
      <c r="X256">
        <v>5</v>
      </c>
      <c r="Y256">
        <v>35.25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 t="s">
        <v>3</v>
      </c>
      <c r="AG256">
        <v>5</v>
      </c>
      <c r="AH256">
        <v>3</v>
      </c>
      <c r="AI256">
        <v>-1</v>
      </c>
      <c r="AJ256" t="s">
        <v>3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f>ROW(Source!A163)</f>
        <v>163</v>
      </c>
      <c r="B257">
        <v>71211484</v>
      </c>
      <c r="C257">
        <v>71211483</v>
      </c>
      <c r="D257">
        <v>67878646</v>
      </c>
      <c r="E257">
        <v>27</v>
      </c>
      <c r="F257">
        <v>1</v>
      </c>
      <c r="G257">
        <v>27</v>
      </c>
      <c r="H257">
        <v>1</v>
      </c>
      <c r="I257" t="s">
        <v>565</v>
      </c>
      <c r="J257" t="s">
        <v>3</v>
      </c>
      <c r="K257" t="s">
        <v>566</v>
      </c>
      <c r="L257">
        <v>1191</v>
      </c>
      <c r="N257">
        <v>1013</v>
      </c>
      <c r="O257" t="s">
        <v>567</v>
      </c>
      <c r="P257" t="s">
        <v>567</v>
      </c>
      <c r="Q257">
        <v>1</v>
      </c>
      <c r="X257">
        <v>24.84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 t="s">
        <v>3</v>
      </c>
      <c r="AG257">
        <v>24.84</v>
      </c>
      <c r="AH257">
        <v>3</v>
      </c>
      <c r="AI257">
        <v>-1</v>
      </c>
      <c r="AJ257" t="s">
        <v>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f>ROW(Source!A163)</f>
        <v>163</v>
      </c>
      <c r="B258">
        <v>71211485</v>
      </c>
      <c r="C258">
        <v>71211483</v>
      </c>
      <c r="D258">
        <v>67890881</v>
      </c>
      <c r="E258">
        <v>1</v>
      </c>
      <c r="F258">
        <v>1</v>
      </c>
      <c r="G258">
        <v>27</v>
      </c>
      <c r="H258">
        <v>2</v>
      </c>
      <c r="I258" t="s">
        <v>776</v>
      </c>
      <c r="J258" t="s">
        <v>777</v>
      </c>
      <c r="K258" t="s">
        <v>778</v>
      </c>
      <c r="L258">
        <v>1368</v>
      </c>
      <c r="N258">
        <v>1011</v>
      </c>
      <c r="O258" t="s">
        <v>571</v>
      </c>
      <c r="P258" t="s">
        <v>571</v>
      </c>
      <c r="Q258">
        <v>1</v>
      </c>
      <c r="X258">
        <v>2.94</v>
      </c>
      <c r="Y258">
        <v>0</v>
      </c>
      <c r="Z258">
        <v>956.79</v>
      </c>
      <c r="AA258">
        <v>359.44</v>
      </c>
      <c r="AB258">
        <v>0</v>
      </c>
      <c r="AC258">
        <v>0</v>
      </c>
      <c r="AD258">
        <v>1</v>
      </c>
      <c r="AE258">
        <v>0</v>
      </c>
      <c r="AF258" t="s">
        <v>3</v>
      </c>
      <c r="AG258">
        <v>2.94</v>
      </c>
      <c r="AH258">
        <v>3</v>
      </c>
      <c r="AI258">
        <v>-1</v>
      </c>
      <c r="AJ258" t="s">
        <v>3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f>ROW(Source!A163)</f>
        <v>163</v>
      </c>
      <c r="B259">
        <v>71211486</v>
      </c>
      <c r="C259">
        <v>71211483</v>
      </c>
      <c r="D259">
        <v>67891062</v>
      </c>
      <c r="E259">
        <v>1</v>
      </c>
      <c r="F259">
        <v>1</v>
      </c>
      <c r="G259">
        <v>27</v>
      </c>
      <c r="H259">
        <v>2</v>
      </c>
      <c r="I259" t="s">
        <v>649</v>
      </c>
      <c r="J259" t="s">
        <v>650</v>
      </c>
      <c r="K259" t="s">
        <v>651</v>
      </c>
      <c r="L259">
        <v>1368</v>
      </c>
      <c r="N259">
        <v>1011</v>
      </c>
      <c r="O259" t="s">
        <v>571</v>
      </c>
      <c r="P259" t="s">
        <v>571</v>
      </c>
      <c r="Q259">
        <v>1</v>
      </c>
      <c r="X259">
        <v>1.1399999999999999</v>
      </c>
      <c r="Y259">
        <v>0</v>
      </c>
      <c r="Z259">
        <v>2020.59</v>
      </c>
      <c r="AA259">
        <v>458.56</v>
      </c>
      <c r="AB259">
        <v>0</v>
      </c>
      <c r="AC259">
        <v>0</v>
      </c>
      <c r="AD259">
        <v>1</v>
      </c>
      <c r="AE259">
        <v>0</v>
      </c>
      <c r="AF259" t="s">
        <v>3</v>
      </c>
      <c r="AG259">
        <v>1.1399999999999999</v>
      </c>
      <c r="AH259">
        <v>3</v>
      </c>
      <c r="AI259">
        <v>-1</v>
      </c>
      <c r="AJ259" t="s">
        <v>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f>ROW(Source!A163)</f>
        <v>163</v>
      </c>
      <c r="B260">
        <v>71211487</v>
      </c>
      <c r="C260">
        <v>71211483</v>
      </c>
      <c r="D260">
        <v>67891047</v>
      </c>
      <c r="E260">
        <v>1</v>
      </c>
      <c r="F260">
        <v>1</v>
      </c>
      <c r="G260">
        <v>27</v>
      </c>
      <c r="H260">
        <v>2</v>
      </c>
      <c r="I260" t="s">
        <v>838</v>
      </c>
      <c r="J260" t="s">
        <v>839</v>
      </c>
      <c r="K260" t="s">
        <v>840</v>
      </c>
      <c r="L260">
        <v>1368</v>
      </c>
      <c r="N260">
        <v>1011</v>
      </c>
      <c r="O260" t="s">
        <v>571</v>
      </c>
      <c r="P260" t="s">
        <v>571</v>
      </c>
      <c r="Q260">
        <v>1</v>
      </c>
      <c r="X260">
        <v>8.9600000000000009</v>
      </c>
      <c r="Y260">
        <v>0</v>
      </c>
      <c r="Z260">
        <v>1261.8699999999999</v>
      </c>
      <c r="AA260">
        <v>530.02</v>
      </c>
      <c r="AB260">
        <v>0</v>
      </c>
      <c r="AC260">
        <v>0</v>
      </c>
      <c r="AD260">
        <v>1</v>
      </c>
      <c r="AE260">
        <v>0</v>
      </c>
      <c r="AF260" t="s">
        <v>3</v>
      </c>
      <c r="AG260">
        <v>8.9600000000000009</v>
      </c>
      <c r="AH260">
        <v>3</v>
      </c>
      <c r="AI260">
        <v>-1</v>
      </c>
      <c r="AJ260" t="s">
        <v>3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f>ROW(Source!A163)</f>
        <v>163</v>
      </c>
      <c r="B261">
        <v>71211488</v>
      </c>
      <c r="C261">
        <v>71211483</v>
      </c>
      <c r="D261">
        <v>67891048</v>
      </c>
      <c r="E261">
        <v>1</v>
      </c>
      <c r="F261">
        <v>1</v>
      </c>
      <c r="G261">
        <v>27</v>
      </c>
      <c r="H261">
        <v>2</v>
      </c>
      <c r="I261" t="s">
        <v>841</v>
      </c>
      <c r="J261" t="s">
        <v>842</v>
      </c>
      <c r="K261" t="s">
        <v>843</v>
      </c>
      <c r="L261">
        <v>1368</v>
      </c>
      <c r="N261">
        <v>1011</v>
      </c>
      <c r="O261" t="s">
        <v>571</v>
      </c>
      <c r="P261" t="s">
        <v>571</v>
      </c>
      <c r="Q261">
        <v>1</v>
      </c>
      <c r="X261">
        <v>18.25</v>
      </c>
      <c r="Y261">
        <v>0</v>
      </c>
      <c r="Z261">
        <v>1827.95</v>
      </c>
      <c r="AA261">
        <v>720.55</v>
      </c>
      <c r="AB261">
        <v>0</v>
      </c>
      <c r="AC261">
        <v>0</v>
      </c>
      <c r="AD261">
        <v>1</v>
      </c>
      <c r="AE261">
        <v>0</v>
      </c>
      <c r="AF261" t="s">
        <v>3</v>
      </c>
      <c r="AG261">
        <v>18.25</v>
      </c>
      <c r="AH261">
        <v>3</v>
      </c>
      <c r="AI261">
        <v>-1</v>
      </c>
      <c r="AJ261" t="s">
        <v>3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f>ROW(Source!A163)</f>
        <v>163</v>
      </c>
      <c r="B262">
        <v>71211489</v>
      </c>
      <c r="C262">
        <v>71211483</v>
      </c>
      <c r="D262">
        <v>67891086</v>
      </c>
      <c r="E262">
        <v>1</v>
      </c>
      <c r="F262">
        <v>1</v>
      </c>
      <c r="G262">
        <v>27</v>
      </c>
      <c r="H262">
        <v>2</v>
      </c>
      <c r="I262" t="s">
        <v>688</v>
      </c>
      <c r="J262" t="s">
        <v>689</v>
      </c>
      <c r="K262" t="s">
        <v>690</v>
      </c>
      <c r="L262">
        <v>1368</v>
      </c>
      <c r="N262">
        <v>1011</v>
      </c>
      <c r="O262" t="s">
        <v>571</v>
      </c>
      <c r="P262" t="s">
        <v>571</v>
      </c>
      <c r="Q262">
        <v>1</v>
      </c>
      <c r="X262">
        <v>2.2400000000000002</v>
      </c>
      <c r="Y262">
        <v>0</v>
      </c>
      <c r="Z262">
        <v>1412.71</v>
      </c>
      <c r="AA262">
        <v>641.32000000000005</v>
      </c>
      <c r="AB262">
        <v>0</v>
      </c>
      <c r="AC262">
        <v>0</v>
      </c>
      <c r="AD262">
        <v>1</v>
      </c>
      <c r="AE262">
        <v>0</v>
      </c>
      <c r="AF262" t="s">
        <v>3</v>
      </c>
      <c r="AG262">
        <v>2.2400000000000002</v>
      </c>
      <c r="AH262">
        <v>3</v>
      </c>
      <c r="AI262">
        <v>-1</v>
      </c>
      <c r="AJ262" t="s">
        <v>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f>ROW(Source!A163)</f>
        <v>163</v>
      </c>
      <c r="B263">
        <v>71211490</v>
      </c>
      <c r="C263">
        <v>71211483</v>
      </c>
      <c r="D263">
        <v>67891052</v>
      </c>
      <c r="E263">
        <v>1</v>
      </c>
      <c r="F263">
        <v>1</v>
      </c>
      <c r="G263">
        <v>27</v>
      </c>
      <c r="H263">
        <v>2</v>
      </c>
      <c r="I263" t="s">
        <v>832</v>
      </c>
      <c r="J263" t="s">
        <v>833</v>
      </c>
      <c r="K263" t="s">
        <v>834</v>
      </c>
      <c r="L263">
        <v>1368</v>
      </c>
      <c r="N263">
        <v>1011</v>
      </c>
      <c r="O263" t="s">
        <v>571</v>
      </c>
      <c r="P263" t="s">
        <v>571</v>
      </c>
      <c r="Q263">
        <v>1</v>
      </c>
      <c r="X263">
        <v>0.65</v>
      </c>
      <c r="Y263">
        <v>0</v>
      </c>
      <c r="Z263">
        <v>1213.3399999999999</v>
      </c>
      <c r="AA263">
        <v>461.6</v>
      </c>
      <c r="AB263">
        <v>0</v>
      </c>
      <c r="AC263">
        <v>0</v>
      </c>
      <c r="AD263">
        <v>1</v>
      </c>
      <c r="AE263">
        <v>0</v>
      </c>
      <c r="AF263" t="s">
        <v>3</v>
      </c>
      <c r="AG263">
        <v>0.65</v>
      </c>
      <c r="AH263">
        <v>3</v>
      </c>
      <c r="AI263">
        <v>-1</v>
      </c>
      <c r="AJ263" t="s">
        <v>3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f>ROW(Source!A163)</f>
        <v>163</v>
      </c>
      <c r="B264">
        <v>71211491</v>
      </c>
      <c r="C264">
        <v>71211483</v>
      </c>
      <c r="D264">
        <v>67893040</v>
      </c>
      <c r="E264">
        <v>1</v>
      </c>
      <c r="F264">
        <v>1</v>
      </c>
      <c r="G264">
        <v>27</v>
      </c>
      <c r="H264">
        <v>3</v>
      </c>
      <c r="I264" t="s">
        <v>844</v>
      </c>
      <c r="J264" t="s">
        <v>845</v>
      </c>
      <c r="K264" t="s">
        <v>846</v>
      </c>
      <c r="L264">
        <v>1339</v>
      </c>
      <c r="N264">
        <v>1007</v>
      </c>
      <c r="O264" t="s">
        <v>236</v>
      </c>
      <c r="P264" t="s">
        <v>236</v>
      </c>
      <c r="Q264">
        <v>1</v>
      </c>
      <c r="X264">
        <v>126</v>
      </c>
      <c r="Y264">
        <v>1763.75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 t="s">
        <v>3</v>
      </c>
      <c r="AG264">
        <v>126</v>
      </c>
      <c r="AH264">
        <v>3</v>
      </c>
      <c r="AI264">
        <v>-1</v>
      </c>
      <c r="AJ264" t="s">
        <v>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f>ROW(Source!A163)</f>
        <v>163</v>
      </c>
      <c r="B265">
        <v>71211492</v>
      </c>
      <c r="C265">
        <v>71211483</v>
      </c>
      <c r="D265">
        <v>67893760</v>
      </c>
      <c r="E265">
        <v>1</v>
      </c>
      <c r="F265">
        <v>1</v>
      </c>
      <c r="G265">
        <v>27</v>
      </c>
      <c r="H265">
        <v>3</v>
      </c>
      <c r="I265" t="s">
        <v>652</v>
      </c>
      <c r="J265" t="s">
        <v>653</v>
      </c>
      <c r="K265" t="s">
        <v>654</v>
      </c>
      <c r="L265">
        <v>1339</v>
      </c>
      <c r="N265">
        <v>1007</v>
      </c>
      <c r="O265" t="s">
        <v>236</v>
      </c>
      <c r="P265" t="s">
        <v>236</v>
      </c>
      <c r="Q265">
        <v>1</v>
      </c>
      <c r="X265">
        <v>7</v>
      </c>
      <c r="Y265">
        <v>35.25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 t="s">
        <v>3</v>
      </c>
      <c r="AG265">
        <v>7</v>
      </c>
      <c r="AH265">
        <v>3</v>
      </c>
      <c r="AI265">
        <v>-1</v>
      </c>
      <c r="AJ265" t="s">
        <v>3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f>ROW(Source!A164)</f>
        <v>164</v>
      </c>
      <c r="B266">
        <v>71211496</v>
      </c>
      <c r="C266">
        <v>71211493</v>
      </c>
      <c r="D266">
        <v>67878646</v>
      </c>
      <c r="E266">
        <v>27</v>
      </c>
      <c r="F266">
        <v>1</v>
      </c>
      <c r="G266">
        <v>27</v>
      </c>
      <c r="H266">
        <v>1</v>
      </c>
      <c r="I266" t="s">
        <v>565</v>
      </c>
      <c r="J266" t="s">
        <v>3</v>
      </c>
      <c r="K266" t="s">
        <v>566</v>
      </c>
      <c r="L266">
        <v>1191</v>
      </c>
      <c r="N266">
        <v>1013</v>
      </c>
      <c r="O266" t="s">
        <v>567</v>
      </c>
      <c r="P266" t="s">
        <v>567</v>
      </c>
      <c r="Q266">
        <v>1</v>
      </c>
      <c r="X266">
        <v>10.3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1</v>
      </c>
      <c r="AF266" t="s">
        <v>3</v>
      </c>
      <c r="AG266">
        <v>10.3</v>
      </c>
      <c r="AH266">
        <v>3</v>
      </c>
      <c r="AI266">
        <v>-1</v>
      </c>
      <c r="AJ266" t="s">
        <v>3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f>ROW(Source!A164)</f>
        <v>164</v>
      </c>
      <c r="B267">
        <v>71211497</v>
      </c>
      <c r="C267">
        <v>71211493</v>
      </c>
      <c r="D267">
        <v>67891047</v>
      </c>
      <c r="E267">
        <v>1</v>
      </c>
      <c r="F267">
        <v>1</v>
      </c>
      <c r="G267">
        <v>27</v>
      </c>
      <c r="H267">
        <v>2</v>
      </c>
      <c r="I267" t="s">
        <v>838</v>
      </c>
      <c r="J267" t="s">
        <v>839</v>
      </c>
      <c r="K267" t="s">
        <v>840</v>
      </c>
      <c r="L267">
        <v>1368</v>
      </c>
      <c r="N267">
        <v>1011</v>
      </c>
      <c r="O267" t="s">
        <v>571</v>
      </c>
      <c r="P267" t="s">
        <v>571</v>
      </c>
      <c r="Q267">
        <v>1</v>
      </c>
      <c r="X267">
        <v>0.89</v>
      </c>
      <c r="Y267">
        <v>0</v>
      </c>
      <c r="Z267">
        <v>1261.8699999999999</v>
      </c>
      <c r="AA267">
        <v>530.02</v>
      </c>
      <c r="AB267">
        <v>0</v>
      </c>
      <c r="AC267">
        <v>0</v>
      </c>
      <c r="AD267">
        <v>1</v>
      </c>
      <c r="AE267">
        <v>0</v>
      </c>
      <c r="AF267" t="s">
        <v>3</v>
      </c>
      <c r="AG267">
        <v>0.89</v>
      </c>
      <c r="AH267">
        <v>3</v>
      </c>
      <c r="AI267">
        <v>-1</v>
      </c>
      <c r="AJ267" t="s">
        <v>3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f>ROW(Source!A164)</f>
        <v>164</v>
      </c>
      <c r="B268">
        <v>71211498</v>
      </c>
      <c r="C268">
        <v>71211493</v>
      </c>
      <c r="D268">
        <v>67891853</v>
      </c>
      <c r="E268">
        <v>1</v>
      </c>
      <c r="F268">
        <v>1</v>
      </c>
      <c r="G268">
        <v>27</v>
      </c>
      <c r="H268">
        <v>3</v>
      </c>
      <c r="I268" t="s">
        <v>847</v>
      </c>
      <c r="J268" t="s">
        <v>848</v>
      </c>
      <c r="K268" t="s">
        <v>849</v>
      </c>
      <c r="L268">
        <v>1348</v>
      </c>
      <c r="N268">
        <v>1009</v>
      </c>
      <c r="O268" t="s">
        <v>35</v>
      </c>
      <c r="P268" t="s">
        <v>35</v>
      </c>
      <c r="Q268">
        <v>1000</v>
      </c>
      <c r="X268">
        <v>0.06</v>
      </c>
      <c r="Y268">
        <v>25888.1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 t="s">
        <v>3</v>
      </c>
      <c r="AG268">
        <v>0.06</v>
      </c>
      <c r="AH268">
        <v>3</v>
      </c>
      <c r="AI268">
        <v>-1</v>
      </c>
      <c r="AJ268" t="s">
        <v>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f>ROW(Source!A164)</f>
        <v>164</v>
      </c>
      <c r="B269">
        <v>71211499</v>
      </c>
      <c r="C269">
        <v>71211493</v>
      </c>
      <c r="D269">
        <v>67894958</v>
      </c>
      <c r="E269">
        <v>1</v>
      </c>
      <c r="F269">
        <v>1</v>
      </c>
      <c r="G269">
        <v>27</v>
      </c>
      <c r="H269">
        <v>3</v>
      </c>
      <c r="I269" t="s">
        <v>264</v>
      </c>
      <c r="J269" t="s">
        <v>266</v>
      </c>
      <c r="K269" t="s">
        <v>265</v>
      </c>
      <c r="L269">
        <v>1348</v>
      </c>
      <c r="N269">
        <v>1009</v>
      </c>
      <c r="O269" t="s">
        <v>35</v>
      </c>
      <c r="P269" t="s">
        <v>35</v>
      </c>
      <c r="Q269">
        <v>1000</v>
      </c>
      <c r="X269">
        <v>7.14</v>
      </c>
      <c r="Y269">
        <v>2652.04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 t="s">
        <v>3</v>
      </c>
      <c r="AG269">
        <v>7.14</v>
      </c>
      <c r="AH269">
        <v>2</v>
      </c>
      <c r="AI269">
        <v>71211494</v>
      </c>
      <c r="AJ269">
        <v>31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f>ROW(Source!A167)</f>
        <v>167</v>
      </c>
      <c r="B270">
        <v>71211504</v>
      </c>
      <c r="C270">
        <v>71211502</v>
      </c>
      <c r="D270">
        <v>67878646</v>
      </c>
      <c r="E270">
        <v>27</v>
      </c>
      <c r="F270">
        <v>1</v>
      </c>
      <c r="G270">
        <v>27</v>
      </c>
      <c r="H270">
        <v>1</v>
      </c>
      <c r="I270" t="s">
        <v>565</v>
      </c>
      <c r="J270" t="s">
        <v>3</v>
      </c>
      <c r="K270" t="s">
        <v>566</v>
      </c>
      <c r="L270">
        <v>1191</v>
      </c>
      <c r="N270">
        <v>1013</v>
      </c>
      <c r="O270" t="s">
        <v>567</v>
      </c>
      <c r="P270" t="s">
        <v>567</v>
      </c>
      <c r="Q270">
        <v>1</v>
      </c>
      <c r="X270">
        <v>18.440000000000001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1</v>
      </c>
      <c r="AF270" t="s">
        <v>3</v>
      </c>
      <c r="AG270">
        <v>18.440000000000001</v>
      </c>
      <c r="AH270">
        <v>3</v>
      </c>
      <c r="AI270">
        <v>-1</v>
      </c>
      <c r="AJ270" t="s">
        <v>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f>ROW(Source!A167)</f>
        <v>167</v>
      </c>
      <c r="B271">
        <v>71211505</v>
      </c>
      <c r="C271">
        <v>71211502</v>
      </c>
      <c r="D271">
        <v>67891548</v>
      </c>
      <c r="E271">
        <v>1</v>
      </c>
      <c r="F271">
        <v>1</v>
      </c>
      <c r="G271">
        <v>27</v>
      </c>
      <c r="H271">
        <v>2</v>
      </c>
      <c r="I271" t="s">
        <v>850</v>
      </c>
      <c r="J271" t="s">
        <v>851</v>
      </c>
      <c r="K271" t="s">
        <v>852</v>
      </c>
      <c r="L271">
        <v>1368</v>
      </c>
      <c r="N271">
        <v>1011</v>
      </c>
      <c r="O271" t="s">
        <v>571</v>
      </c>
      <c r="P271" t="s">
        <v>571</v>
      </c>
      <c r="Q271">
        <v>1</v>
      </c>
      <c r="X271">
        <v>2.64</v>
      </c>
      <c r="Y271">
        <v>0</v>
      </c>
      <c r="Z271">
        <v>531.41</v>
      </c>
      <c r="AA271">
        <v>373.56</v>
      </c>
      <c r="AB271">
        <v>0</v>
      </c>
      <c r="AC271">
        <v>0</v>
      </c>
      <c r="AD271">
        <v>1</v>
      </c>
      <c r="AE271">
        <v>0</v>
      </c>
      <c r="AF271" t="s">
        <v>3</v>
      </c>
      <c r="AG271">
        <v>2.64</v>
      </c>
      <c r="AH271">
        <v>3</v>
      </c>
      <c r="AI271">
        <v>-1</v>
      </c>
      <c r="AJ271" t="s">
        <v>3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f>ROW(Source!A167)</f>
        <v>167</v>
      </c>
      <c r="B272">
        <v>71211506</v>
      </c>
      <c r="C272">
        <v>71211502</v>
      </c>
      <c r="D272">
        <v>67891771</v>
      </c>
      <c r="E272">
        <v>1</v>
      </c>
      <c r="F272">
        <v>1</v>
      </c>
      <c r="G272">
        <v>27</v>
      </c>
      <c r="H272">
        <v>2</v>
      </c>
      <c r="I272" t="s">
        <v>589</v>
      </c>
      <c r="J272" t="s">
        <v>748</v>
      </c>
      <c r="K272" t="s">
        <v>591</v>
      </c>
      <c r="L272">
        <v>1368</v>
      </c>
      <c r="N272">
        <v>1011</v>
      </c>
      <c r="O272" t="s">
        <v>571</v>
      </c>
      <c r="P272" t="s">
        <v>571</v>
      </c>
      <c r="Q272">
        <v>1</v>
      </c>
      <c r="X272">
        <v>1.18</v>
      </c>
      <c r="Y272">
        <v>0</v>
      </c>
      <c r="Z272">
        <v>7.44</v>
      </c>
      <c r="AA272">
        <v>0.98</v>
      </c>
      <c r="AB272">
        <v>0</v>
      </c>
      <c r="AC272">
        <v>0</v>
      </c>
      <c r="AD272">
        <v>1</v>
      </c>
      <c r="AE272">
        <v>0</v>
      </c>
      <c r="AF272" t="s">
        <v>3</v>
      </c>
      <c r="AG272">
        <v>1.18</v>
      </c>
      <c r="AH272">
        <v>3</v>
      </c>
      <c r="AI272">
        <v>-1</v>
      </c>
      <c r="AJ272" t="s">
        <v>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f>ROW(Source!A167)</f>
        <v>167</v>
      </c>
      <c r="B273">
        <v>71211507</v>
      </c>
      <c r="C273">
        <v>71211502</v>
      </c>
      <c r="D273">
        <v>67890973</v>
      </c>
      <c r="E273">
        <v>1</v>
      </c>
      <c r="F273">
        <v>1</v>
      </c>
      <c r="G273">
        <v>27</v>
      </c>
      <c r="H273">
        <v>2</v>
      </c>
      <c r="I273" t="s">
        <v>853</v>
      </c>
      <c r="J273" t="s">
        <v>854</v>
      </c>
      <c r="K273" t="s">
        <v>855</v>
      </c>
      <c r="L273">
        <v>1368</v>
      </c>
      <c r="N273">
        <v>1011</v>
      </c>
      <c r="O273" t="s">
        <v>571</v>
      </c>
      <c r="P273" t="s">
        <v>571</v>
      </c>
      <c r="Q273">
        <v>1</v>
      </c>
      <c r="X273">
        <v>0.01</v>
      </c>
      <c r="Y273">
        <v>0</v>
      </c>
      <c r="Z273">
        <v>616.73</v>
      </c>
      <c r="AA273">
        <v>511.29</v>
      </c>
      <c r="AB273">
        <v>0</v>
      </c>
      <c r="AC273">
        <v>0</v>
      </c>
      <c r="AD273">
        <v>1</v>
      </c>
      <c r="AE273">
        <v>0</v>
      </c>
      <c r="AF273" t="s">
        <v>3</v>
      </c>
      <c r="AG273">
        <v>0.01</v>
      </c>
      <c r="AH273">
        <v>3</v>
      </c>
      <c r="AI273">
        <v>-1</v>
      </c>
      <c r="AJ273" t="s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f>ROW(Source!A167)</f>
        <v>167</v>
      </c>
      <c r="B274">
        <v>71211508</v>
      </c>
      <c r="C274">
        <v>71211502</v>
      </c>
      <c r="D274">
        <v>67891157</v>
      </c>
      <c r="E274">
        <v>1</v>
      </c>
      <c r="F274">
        <v>1</v>
      </c>
      <c r="G274">
        <v>27</v>
      </c>
      <c r="H274">
        <v>2</v>
      </c>
      <c r="I274" t="s">
        <v>856</v>
      </c>
      <c r="J274" t="s">
        <v>857</v>
      </c>
      <c r="K274" t="s">
        <v>858</v>
      </c>
      <c r="L274">
        <v>1368</v>
      </c>
      <c r="N274">
        <v>1011</v>
      </c>
      <c r="O274" t="s">
        <v>571</v>
      </c>
      <c r="P274" t="s">
        <v>571</v>
      </c>
      <c r="Q274">
        <v>1</v>
      </c>
      <c r="X274">
        <v>2.64</v>
      </c>
      <c r="Y274">
        <v>0</v>
      </c>
      <c r="Z274">
        <v>454.31</v>
      </c>
      <c r="AA274">
        <v>405.68</v>
      </c>
      <c r="AB274">
        <v>0</v>
      </c>
      <c r="AC274">
        <v>0</v>
      </c>
      <c r="AD274">
        <v>1</v>
      </c>
      <c r="AE274">
        <v>0</v>
      </c>
      <c r="AF274" t="s">
        <v>3</v>
      </c>
      <c r="AG274">
        <v>2.64</v>
      </c>
      <c r="AH274">
        <v>3</v>
      </c>
      <c r="AI274">
        <v>-1</v>
      </c>
      <c r="AJ274" t="s">
        <v>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f>ROW(Source!A167)</f>
        <v>167</v>
      </c>
      <c r="B275">
        <v>71211509</v>
      </c>
      <c r="C275">
        <v>71211502</v>
      </c>
      <c r="D275">
        <v>67893981</v>
      </c>
      <c r="E275">
        <v>1</v>
      </c>
      <c r="F275">
        <v>1</v>
      </c>
      <c r="G275">
        <v>27</v>
      </c>
      <c r="H275">
        <v>3</v>
      </c>
      <c r="I275" t="s">
        <v>859</v>
      </c>
      <c r="J275" t="s">
        <v>860</v>
      </c>
      <c r="K275" t="s">
        <v>861</v>
      </c>
      <c r="L275">
        <v>1327</v>
      </c>
      <c r="N275">
        <v>1005</v>
      </c>
      <c r="O275" t="s">
        <v>18</v>
      </c>
      <c r="P275" t="s">
        <v>18</v>
      </c>
      <c r="Q275">
        <v>1</v>
      </c>
      <c r="X275">
        <v>5.6</v>
      </c>
      <c r="Y275">
        <v>12.02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 t="s">
        <v>3</v>
      </c>
      <c r="AG275">
        <v>5.6</v>
      </c>
      <c r="AH275">
        <v>3</v>
      </c>
      <c r="AI275">
        <v>-1</v>
      </c>
      <c r="AJ275" t="s">
        <v>3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f>ROW(Source!A167)</f>
        <v>167</v>
      </c>
      <c r="B276">
        <v>71211510</v>
      </c>
      <c r="C276">
        <v>71211502</v>
      </c>
      <c r="D276">
        <v>67894068</v>
      </c>
      <c r="E276">
        <v>1</v>
      </c>
      <c r="F276">
        <v>1</v>
      </c>
      <c r="G276">
        <v>27</v>
      </c>
      <c r="H276">
        <v>3</v>
      </c>
      <c r="I276" t="s">
        <v>862</v>
      </c>
      <c r="J276" t="s">
        <v>863</v>
      </c>
      <c r="K276" t="s">
        <v>864</v>
      </c>
      <c r="L276">
        <v>1348</v>
      </c>
      <c r="N276">
        <v>1009</v>
      </c>
      <c r="O276" t="s">
        <v>35</v>
      </c>
      <c r="P276" t="s">
        <v>35</v>
      </c>
      <c r="Q276">
        <v>1000</v>
      </c>
      <c r="X276">
        <v>3.15E-3</v>
      </c>
      <c r="Y276">
        <v>343020.03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 t="s">
        <v>3</v>
      </c>
      <c r="AG276">
        <v>3.15E-3</v>
      </c>
      <c r="AH276">
        <v>3</v>
      </c>
      <c r="AI276">
        <v>-1</v>
      </c>
      <c r="AJ276" t="s">
        <v>3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f>ROW(Source!A167)</f>
        <v>167</v>
      </c>
      <c r="B277">
        <v>71211511</v>
      </c>
      <c r="C277">
        <v>71211502</v>
      </c>
      <c r="D277">
        <v>67894285</v>
      </c>
      <c r="E277">
        <v>1</v>
      </c>
      <c r="F277">
        <v>1</v>
      </c>
      <c r="G277">
        <v>27</v>
      </c>
      <c r="H277">
        <v>3</v>
      </c>
      <c r="I277" t="s">
        <v>286</v>
      </c>
      <c r="J277" t="s">
        <v>289</v>
      </c>
      <c r="K277" t="s">
        <v>287</v>
      </c>
      <c r="L277">
        <v>1346</v>
      </c>
      <c r="N277">
        <v>1009</v>
      </c>
      <c r="O277" t="s">
        <v>288</v>
      </c>
      <c r="P277" t="s">
        <v>288</v>
      </c>
      <c r="Q277">
        <v>1</v>
      </c>
      <c r="X277">
        <v>735</v>
      </c>
      <c r="Y277">
        <v>17.77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 t="s">
        <v>3</v>
      </c>
      <c r="AG277">
        <v>735</v>
      </c>
      <c r="AH277">
        <v>3</v>
      </c>
      <c r="AI277">
        <v>-1</v>
      </c>
      <c r="AJ277" t="s">
        <v>3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f>ROW(Source!A167)</f>
        <v>167</v>
      </c>
      <c r="B278">
        <v>71211512</v>
      </c>
      <c r="C278">
        <v>71211502</v>
      </c>
      <c r="D278">
        <v>67894292</v>
      </c>
      <c r="E278">
        <v>1</v>
      </c>
      <c r="F278">
        <v>1</v>
      </c>
      <c r="G278">
        <v>27</v>
      </c>
      <c r="H278">
        <v>3</v>
      </c>
      <c r="I278" t="s">
        <v>865</v>
      </c>
      <c r="J278" t="s">
        <v>866</v>
      </c>
      <c r="K278" t="s">
        <v>867</v>
      </c>
      <c r="L278">
        <v>1346</v>
      </c>
      <c r="N278">
        <v>1009</v>
      </c>
      <c r="O278" t="s">
        <v>288</v>
      </c>
      <c r="P278" t="s">
        <v>288</v>
      </c>
      <c r="Q278">
        <v>1</v>
      </c>
      <c r="X278">
        <v>241.5</v>
      </c>
      <c r="Y278">
        <v>202.34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 t="s">
        <v>3</v>
      </c>
      <c r="AG278">
        <v>241.5</v>
      </c>
      <c r="AH278">
        <v>3</v>
      </c>
      <c r="AI278">
        <v>-1</v>
      </c>
      <c r="AJ278" t="s">
        <v>3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f>ROW(Source!A167)</f>
        <v>167</v>
      </c>
      <c r="B279">
        <v>71211513</v>
      </c>
      <c r="C279">
        <v>71211502</v>
      </c>
      <c r="D279">
        <v>67892259</v>
      </c>
      <c r="E279">
        <v>1</v>
      </c>
      <c r="F279">
        <v>1</v>
      </c>
      <c r="G279">
        <v>27</v>
      </c>
      <c r="H279">
        <v>3</v>
      </c>
      <c r="I279" t="s">
        <v>274</v>
      </c>
      <c r="J279" t="s">
        <v>276</v>
      </c>
      <c r="K279" t="s">
        <v>275</v>
      </c>
      <c r="L279">
        <v>1348</v>
      </c>
      <c r="N279">
        <v>1009</v>
      </c>
      <c r="O279" t="s">
        <v>35</v>
      </c>
      <c r="P279" t="s">
        <v>35</v>
      </c>
      <c r="Q279">
        <v>1000</v>
      </c>
      <c r="X279">
        <v>5.2499999999999998E-2</v>
      </c>
      <c r="Y279">
        <v>748299.67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  <c r="AF279" t="s">
        <v>3</v>
      </c>
      <c r="AG279">
        <v>5.2499999999999998E-2</v>
      </c>
      <c r="AH279">
        <v>2</v>
      </c>
      <c r="AI279">
        <v>71211503</v>
      </c>
      <c r="AJ279">
        <v>33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f>ROW(Source!A169)</f>
        <v>169</v>
      </c>
      <c r="B280">
        <v>71211517</v>
      </c>
      <c r="C280">
        <v>71211515</v>
      </c>
      <c r="D280">
        <v>67878646</v>
      </c>
      <c r="E280">
        <v>27</v>
      </c>
      <c r="F280">
        <v>1</v>
      </c>
      <c r="G280">
        <v>27</v>
      </c>
      <c r="H280">
        <v>1</v>
      </c>
      <c r="I280" t="s">
        <v>565</v>
      </c>
      <c r="J280" t="s">
        <v>3</v>
      </c>
      <c r="K280" t="s">
        <v>566</v>
      </c>
      <c r="L280">
        <v>1191</v>
      </c>
      <c r="N280">
        <v>1013</v>
      </c>
      <c r="O280" t="s">
        <v>567</v>
      </c>
      <c r="P280" t="s">
        <v>567</v>
      </c>
      <c r="Q280">
        <v>1</v>
      </c>
      <c r="X280">
        <v>2.65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1</v>
      </c>
      <c r="AF280" t="s">
        <v>281</v>
      </c>
      <c r="AG280">
        <v>13.25</v>
      </c>
      <c r="AH280">
        <v>3</v>
      </c>
      <c r="AI280">
        <v>-1</v>
      </c>
      <c r="AJ280" t="s">
        <v>3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f>ROW(Source!A169)</f>
        <v>169</v>
      </c>
      <c r="B281">
        <v>71211518</v>
      </c>
      <c r="C281">
        <v>71211515</v>
      </c>
      <c r="D281">
        <v>67891548</v>
      </c>
      <c r="E281">
        <v>1</v>
      </c>
      <c r="F281">
        <v>1</v>
      </c>
      <c r="G281">
        <v>27</v>
      </c>
      <c r="H281">
        <v>2</v>
      </c>
      <c r="I281" t="s">
        <v>850</v>
      </c>
      <c r="J281" t="s">
        <v>851</v>
      </c>
      <c r="K281" t="s">
        <v>852</v>
      </c>
      <c r="L281">
        <v>1368</v>
      </c>
      <c r="N281">
        <v>1011</v>
      </c>
      <c r="O281" t="s">
        <v>571</v>
      </c>
      <c r="P281" t="s">
        <v>571</v>
      </c>
      <c r="Q281">
        <v>1</v>
      </c>
      <c r="X281">
        <v>0.5</v>
      </c>
      <c r="Y281">
        <v>0</v>
      </c>
      <c r="Z281">
        <v>531.41</v>
      </c>
      <c r="AA281">
        <v>373.56</v>
      </c>
      <c r="AB281">
        <v>0</v>
      </c>
      <c r="AC281">
        <v>0</v>
      </c>
      <c r="AD281">
        <v>1</v>
      </c>
      <c r="AE281">
        <v>0</v>
      </c>
      <c r="AF281" t="s">
        <v>281</v>
      </c>
      <c r="AG281">
        <v>2.5</v>
      </c>
      <c r="AH281">
        <v>3</v>
      </c>
      <c r="AI281">
        <v>-1</v>
      </c>
      <c r="AJ281" t="s">
        <v>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f>ROW(Source!A169)</f>
        <v>169</v>
      </c>
      <c r="B282">
        <v>71211519</v>
      </c>
      <c r="C282">
        <v>71211515</v>
      </c>
      <c r="D282">
        <v>67891157</v>
      </c>
      <c r="E282">
        <v>1</v>
      </c>
      <c r="F282">
        <v>1</v>
      </c>
      <c r="G282">
        <v>27</v>
      </c>
      <c r="H282">
        <v>2</v>
      </c>
      <c r="I282" t="s">
        <v>856</v>
      </c>
      <c r="J282" t="s">
        <v>857</v>
      </c>
      <c r="K282" t="s">
        <v>858</v>
      </c>
      <c r="L282">
        <v>1368</v>
      </c>
      <c r="N282">
        <v>1011</v>
      </c>
      <c r="O282" t="s">
        <v>571</v>
      </c>
      <c r="P282" t="s">
        <v>571</v>
      </c>
      <c r="Q282">
        <v>1</v>
      </c>
      <c r="X282">
        <v>0.5</v>
      </c>
      <c r="Y282">
        <v>0</v>
      </c>
      <c r="Z282">
        <v>454.31</v>
      </c>
      <c r="AA282">
        <v>405.68</v>
      </c>
      <c r="AB282">
        <v>0</v>
      </c>
      <c r="AC282">
        <v>0</v>
      </c>
      <c r="AD282">
        <v>1</v>
      </c>
      <c r="AE282">
        <v>0</v>
      </c>
      <c r="AF282" t="s">
        <v>281</v>
      </c>
      <c r="AG282">
        <v>2.5</v>
      </c>
      <c r="AH282">
        <v>3</v>
      </c>
      <c r="AI282">
        <v>-1</v>
      </c>
      <c r="AJ282" t="s">
        <v>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f>ROW(Source!A169)</f>
        <v>169</v>
      </c>
      <c r="B283">
        <v>71211520</v>
      </c>
      <c r="C283">
        <v>71211515</v>
      </c>
      <c r="D283">
        <v>67894285</v>
      </c>
      <c r="E283">
        <v>1</v>
      </c>
      <c r="F283">
        <v>1</v>
      </c>
      <c r="G283">
        <v>27</v>
      </c>
      <c r="H283">
        <v>3</v>
      </c>
      <c r="I283" t="s">
        <v>286</v>
      </c>
      <c r="J283" t="s">
        <v>289</v>
      </c>
      <c r="K283" t="s">
        <v>287</v>
      </c>
      <c r="L283">
        <v>1346</v>
      </c>
      <c r="N283">
        <v>1009</v>
      </c>
      <c r="O283" t="s">
        <v>288</v>
      </c>
      <c r="P283" t="s">
        <v>288</v>
      </c>
      <c r="Q283">
        <v>1</v>
      </c>
      <c r="X283">
        <v>147</v>
      </c>
      <c r="Y283">
        <v>17.77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 t="s">
        <v>281</v>
      </c>
      <c r="AG283">
        <v>735</v>
      </c>
      <c r="AH283">
        <v>3</v>
      </c>
      <c r="AI283">
        <v>-1</v>
      </c>
      <c r="AJ283" t="s">
        <v>3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f>ROW(Source!A169)</f>
        <v>169</v>
      </c>
      <c r="B284">
        <v>71211521</v>
      </c>
      <c r="C284">
        <v>71211515</v>
      </c>
      <c r="D284">
        <v>67894292</v>
      </c>
      <c r="E284">
        <v>1</v>
      </c>
      <c r="F284">
        <v>1</v>
      </c>
      <c r="G284">
        <v>27</v>
      </c>
      <c r="H284">
        <v>3</v>
      </c>
      <c r="I284" t="s">
        <v>865</v>
      </c>
      <c r="J284" t="s">
        <v>866</v>
      </c>
      <c r="K284" t="s">
        <v>867</v>
      </c>
      <c r="L284">
        <v>1346</v>
      </c>
      <c r="N284">
        <v>1009</v>
      </c>
      <c r="O284" t="s">
        <v>288</v>
      </c>
      <c r="P284" t="s">
        <v>288</v>
      </c>
      <c r="Q284">
        <v>1</v>
      </c>
      <c r="X284">
        <v>42</v>
      </c>
      <c r="Y284">
        <v>202.34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 t="s">
        <v>281</v>
      </c>
      <c r="AG284">
        <v>210</v>
      </c>
      <c r="AH284">
        <v>3</v>
      </c>
      <c r="AI284">
        <v>-1</v>
      </c>
      <c r="AJ284" t="s">
        <v>3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f>ROW(Source!A169)</f>
        <v>169</v>
      </c>
      <c r="B285">
        <v>71211522</v>
      </c>
      <c r="C285">
        <v>71211515</v>
      </c>
      <c r="D285">
        <v>67892259</v>
      </c>
      <c r="E285">
        <v>1</v>
      </c>
      <c r="F285">
        <v>1</v>
      </c>
      <c r="G285">
        <v>27</v>
      </c>
      <c r="H285">
        <v>3</v>
      </c>
      <c r="I285" t="s">
        <v>274</v>
      </c>
      <c r="J285" t="s">
        <v>276</v>
      </c>
      <c r="K285" t="s">
        <v>275</v>
      </c>
      <c r="L285">
        <v>1348</v>
      </c>
      <c r="N285">
        <v>1009</v>
      </c>
      <c r="O285" t="s">
        <v>35</v>
      </c>
      <c r="P285" t="s">
        <v>35</v>
      </c>
      <c r="Q285">
        <v>1000</v>
      </c>
      <c r="X285">
        <v>1.0500000000000001E-2</v>
      </c>
      <c r="Y285">
        <v>748299.67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 t="s">
        <v>281</v>
      </c>
      <c r="AG285">
        <v>5.2500000000000005E-2</v>
      </c>
      <c r="AH285">
        <v>2</v>
      </c>
      <c r="AI285">
        <v>71211516</v>
      </c>
      <c r="AJ285">
        <v>34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f>ROW(Source!A171)</f>
        <v>171</v>
      </c>
      <c r="B286">
        <v>71211527</v>
      </c>
      <c r="C286">
        <v>71211524</v>
      </c>
      <c r="D286">
        <v>67878646</v>
      </c>
      <c r="E286">
        <v>27</v>
      </c>
      <c r="F286">
        <v>1</v>
      </c>
      <c r="G286">
        <v>27</v>
      </c>
      <c r="H286">
        <v>1</v>
      </c>
      <c r="I286" t="s">
        <v>565</v>
      </c>
      <c r="J286" t="s">
        <v>3</v>
      </c>
      <c r="K286" t="s">
        <v>566</v>
      </c>
      <c r="L286">
        <v>1191</v>
      </c>
      <c r="N286">
        <v>1013</v>
      </c>
      <c r="O286" t="s">
        <v>567</v>
      </c>
      <c r="P286" t="s">
        <v>567</v>
      </c>
      <c r="Q286">
        <v>1</v>
      </c>
      <c r="X286">
        <v>2.65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1</v>
      </c>
      <c r="AF286" t="s">
        <v>281</v>
      </c>
      <c r="AG286">
        <v>13.25</v>
      </c>
      <c r="AH286">
        <v>3</v>
      </c>
      <c r="AI286">
        <v>-1</v>
      </c>
      <c r="AJ286" t="s">
        <v>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f>ROW(Source!A171)</f>
        <v>171</v>
      </c>
      <c r="B287">
        <v>71211528</v>
      </c>
      <c r="C287">
        <v>71211524</v>
      </c>
      <c r="D287">
        <v>67891548</v>
      </c>
      <c r="E287">
        <v>1</v>
      </c>
      <c r="F287">
        <v>1</v>
      </c>
      <c r="G287">
        <v>27</v>
      </c>
      <c r="H287">
        <v>2</v>
      </c>
      <c r="I287" t="s">
        <v>850</v>
      </c>
      <c r="J287" t="s">
        <v>851</v>
      </c>
      <c r="K287" t="s">
        <v>852</v>
      </c>
      <c r="L287">
        <v>1368</v>
      </c>
      <c r="N287">
        <v>1011</v>
      </c>
      <c r="O287" t="s">
        <v>571</v>
      </c>
      <c r="P287" t="s">
        <v>571</v>
      </c>
      <c r="Q287">
        <v>1</v>
      </c>
      <c r="X287">
        <v>0.5</v>
      </c>
      <c r="Y287">
        <v>0</v>
      </c>
      <c r="Z287">
        <v>531.41</v>
      </c>
      <c r="AA287">
        <v>373.56</v>
      </c>
      <c r="AB287">
        <v>0</v>
      </c>
      <c r="AC287">
        <v>0</v>
      </c>
      <c r="AD287">
        <v>1</v>
      </c>
      <c r="AE287">
        <v>0</v>
      </c>
      <c r="AF287" t="s">
        <v>281</v>
      </c>
      <c r="AG287">
        <v>2.5</v>
      </c>
      <c r="AH287">
        <v>3</v>
      </c>
      <c r="AI287">
        <v>-1</v>
      </c>
      <c r="AJ287" t="s">
        <v>3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f>ROW(Source!A171)</f>
        <v>171</v>
      </c>
      <c r="B288">
        <v>71211529</v>
      </c>
      <c r="C288">
        <v>71211524</v>
      </c>
      <c r="D288">
        <v>67891157</v>
      </c>
      <c r="E288">
        <v>1</v>
      </c>
      <c r="F288">
        <v>1</v>
      </c>
      <c r="G288">
        <v>27</v>
      </c>
      <c r="H288">
        <v>2</v>
      </c>
      <c r="I288" t="s">
        <v>856</v>
      </c>
      <c r="J288" t="s">
        <v>857</v>
      </c>
      <c r="K288" t="s">
        <v>858</v>
      </c>
      <c r="L288">
        <v>1368</v>
      </c>
      <c r="N288">
        <v>1011</v>
      </c>
      <c r="O288" t="s">
        <v>571</v>
      </c>
      <c r="P288" t="s">
        <v>571</v>
      </c>
      <c r="Q288">
        <v>1</v>
      </c>
      <c r="X288">
        <v>0.5</v>
      </c>
      <c r="Y288">
        <v>0</v>
      </c>
      <c r="Z288">
        <v>454.31</v>
      </c>
      <c r="AA288">
        <v>405.68</v>
      </c>
      <c r="AB288">
        <v>0</v>
      </c>
      <c r="AC288">
        <v>0</v>
      </c>
      <c r="AD288">
        <v>1</v>
      </c>
      <c r="AE288">
        <v>0</v>
      </c>
      <c r="AF288" t="s">
        <v>281</v>
      </c>
      <c r="AG288">
        <v>2.5</v>
      </c>
      <c r="AH288">
        <v>3</v>
      </c>
      <c r="AI288">
        <v>-1</v>
      </c>
      <c r="AJ288" t="s">
        <v>3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f>ROW(Source!A171)</f>
        <v>171</v>
      </c>
      <c r="B289">
        <v>71211530</v>
      </c>
      <c r="C289">
        <v>71211524</v>
      </c>
      <c r="D289">
        <v>67894285</v>
      </c>
      <c r="E289">
        <v>1</v>
      </c>
      <c r="F289">
        <v>1</v>
      </c>
      <c r="G289">
        <v>27</v>
      </c>
      <c r="H289">
        <v>3</v>
      </c>
      <c r="I289" t="s">
        <v>286</v>
      </c>
      <c r="J289" t="s">
        <v>289</v>
      </c>
      <c r="K289" t="s">
        <v>287</v>
      </c>
      <c r="L289">
        <v>1346</v>
      </c>
      <c r="N289">
        <v>1009</v>
      </c>
      <c r="O289" t="s">
        <v>288</v>
      </c>
      <c r="P289" t="s">
        <v>288</v>
      </c>
      <c r="Q289">
        <v>1</v>
      </c>
      <c r="X289">
        <v>147</v>
      </c>
      <c r="Y289">
        <v>17.77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 t="s">
        <v>281</v>
      </c>
      <c r="AG289">
        <v>735</v>
      </c>
      <c r="AH289">
        <v>2</v>
      </c>
      <c r="AI289">
        <v>71211525</v>
      </c>
      <c r="AJ289">
        <v>35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>
        <f>ROW(Source!A171)</f>
        <v>171</v>
      </c>
      <c r="B290">
        <v>71211531</v>
      </c>
      <c r="C290">
        <v>71211524</v>
      </c>
      <c r="D290">
        <v>67894292</v>
      </c>
      <c r="E290">
        <v>1</v>
      </c>
      <c r="F290">
        <v>1</v>
      </c>
      <c r="G290">
        <v>27</v>
      </c>
      <c r="H290">
        <v>3</v>
      </c>
      <c r="I290" t="s">
        <v>865</v>
      </c>
      <c r="J290" t="s">
        <v>866</v>
      </c>
      <c r="K290" t="s">
        <v>867</v>
      </c>
      <c r="L290">
        <v>1346</v>
      </c>
      <c r="N290">
        <v>1009</v>
      </c>
      <c r="O290" t="s">
        <v>288</v>
      </c>
      <c r="P290" t="s">
        <v>288</v>
      </c>
      <c r="Q290">
        <v>1</v>
      </c>
      <c r="X290">
        <v>42</v>
      </c>
      <c r="Y290">
        <v>202.34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 t="s">
        <v>281</v>
      </c>
      <c r="AG290">
        <v>210</v>
      </c>
      <c r="AH290">
        <v>3</v>
      </c>
      <c r="AI290">
        <v>-1</v>
      </c>
      <c r="AJ290" t="s">
        <v>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">
      <c r="A291">
        <f>ROW(Source!A171)</f>
        <v>171</v>
      </c>
      <c r="B291">
        <v>71211532</v>
      </c>
      <c r="C291">
        <v>71211524</v>
      </c>
      <c r="D291">
        <v>67892259</v>
      </c>
      <c r="E291">
        <v>1</v>
      </c>
      <c r="F291">
        <v>1</v>
      </c>
      <c r="G291">
        <v>27</v>
      </c>
      <c r="H291">
        <v>3</v>
      </c>
      <c r="I291" t="s">
        <v>274</v>
      </c>
      <c r="J291" t="s">
        <v>276</v>
      </c>
      <c r="K291" t="s">
        <v>275</v>
      </c>
      <c r="L291">
        <v>1348</v>
      </c>
      <c r="N291">
        <v>1009</v>
      </c>
      <c r="O291" t="s">
        <v>35</v>
      </c>
      <c r="P291" t="s">
        <v>35</v>
      </c>
      <c r="Q291">
        <v>1000</v>
      </c>
      <c r="X291">
        <v>1.0500000000000001E-2</v>
      </c>
      <c r="Y291">
        <v>748299.67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 t="s">
        <v>281</v>
      </c>
      <c r="AG291">
        <v>5.2500000000000005E-2</v>
      </c>
      <c r="AH291">
        <v>3</v>
      </c>
      <c r="AI291">
        <v>-1</v>
      </c>
      <c r="AJ291" t="s">
        <v>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">
      <c r="A292">
        <f>ROW(Source!A209)</f>
        <v>209</v>
      </c>
      <c r="B292">
        <v>71211536</v>
      </c>
      <c r="C292">
        <v>71211535</v>
      </c>
      <c r="D292">
        <v>67878646</v>
      </c>
      <c r="E292">
        <v>27</v>
      </c>
      <c r="F292">
        <v>1</v>
      </c>
      <c r="G292">
        <v>27</v>
      </c>
      <c r="H292">
        <v>1</v>
      </c>
      <c r="I292" t="s">
        <v>565</v>
      </c>
      <c r="J292" t="s">
        <v>3</v>
      </c>
      <c r="K292" t="s">
        <v>566</v>
      </c>
      <c r="L292">
        <v>1191</v>
      </c>
      <c r="N292">
        <v>1013</v>
      </c>
      <c r="O292" t="s">
        <v>567</v>
      </c>
      <c r="P292" t="s">
        <v>567</v>
      </c>
      <c r="Q292">
        <v>1</v>
      </c>
      <c r="X292">
        <v>16.559999999999999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1</v>
      </c>
      <c r="AF292" t="s">
        <v>3</v>
      </c>
      <c r="AG292">
        <v>16.559999999999999</v>
      </c>
      <c r="AH292">
        <v>3</v>
      </c>
      <c r="AI292">
        <v>-1</v>
      </c>
      <c r="AJ292" t="s">
        <v>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">
      <c r="A293">
        <f>ROW(Source!A209)</f>
        <v>209</v>
      </c>
      <c r="B293">
        <v>71211537</v>
      </c>
      <c r="C293">
        <v>71211535</v>
      </c>
      <c r="D293">
        <v>67890904</v>
      </c>
      <c r="E293">
        <v>1</v>
      </c>
      <c r="F293">
        <v>1</v>
      </c>
      <c r="G293">
        <v>27</v>
      </c>
      <c r="H293">
        <v>2</v>
      </c>
      <c r="I293" t="s">
        <v>685</v>
      </c>
      <c r="J293" t="s">
        <v>686</v>
      </c>
      <c r="K293" t="s">
        <v>687</v>
      </c>
      <c r="L293">
        <v>1368</v>
      </c>
      <c r="N293">
        <v>1011</v>
      </c>
      <c r="O293" t="s">
        <v>571</v>
      </c>
      <c r="P293" t="s">
        <v>571</v>
      </c>
      <c r="Q293">
        <v>1</v>
      </c>
      <c r="X293">
        <v>2.08</v>
      </c>
      <c r="Y293">
        <v>0</v>
      </c>
      <c r="Z293">
        <v>740.94</v>
      </c>
      <c r="AA293">
        <v>413.22</v>
      </c>
      <c r="AB293">
        <v>0</v>
      </c>
      <c r="AC293">
        <v>0</v>
      </c>
      <c r="AD293">
        <v>1</v>
      </c>
      <c r="AE293">
        <v>0</v>
      </c>
      <c r="AF293" t="s">
        <v>3</v>
      </c>
      <c r="AG293">
        <v>2.08</v>
      </c>
      <c r="AH293">
        <v>3</v>
      </c>
      <c r="AI293">
        <v>-1</v>
      </c>
      <c r="AJ293" t="s">
        <v>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">
      <c r="A294">
        <f>ROW(Source!A209)</f>
        <v>209</v>
      </c>
      <c r="B294">
        <v>71211538</v>
      </c>
      <c r="C294">
        <v>71211535</v>
      </c>
      <c r="D294">
        <v>67891059</v>
      </c>
      <c r="E294">
        <v>1</v>
      </c>
      <c r="F294">
        <v>1</v>
      </c>
      <c r="G294">
        <v>27</v>
      </c>
      <c r="H294">
        <v>2</v>
      </c>
      <c r="I294" t="s">
        <v>829</v>
      </c>
      <c r="J294" t="s">
        <v>830</v>
      </c>
      <c r="K294" t="s">
        <v>831</v>
      </c>
      <c r="L294">
        <v>1368</v>
      </c>
      <c r="N294">
        <v>1011</v>
      </c>
      <c r="O294" t="s">
        <v>571</v>
      </c>
      <c r="P294" t="s">
        <v>571</v>
      </c>
      <c r="Q294">
        <v>1</v>
      </c>
      <c r="X294">
        <v>2.08</v>
      </c>
      <c r="Y294">
        <v>0</v>
      </c>
      <c r="Z294">
        <v>430.32</v>
      </c>
      <c r="AA294">
        <v>215.31</v>
      </c>
      <c r="AB294">
        <v>0</v>
      </c>
      <c r="AC294">
        <v>0</v>
      </c>
      <c r="AD294">
        <v>1</v>
      </c>
      <c r="AE294">
        <v>0</v>
      </c>
      <c r="AF294" t="s">
        <v>3</v>
      </c>
      <c r="AG294">
        <v>2.08</v>
      </c>
      <c r="AH294">
        <v>3</v>
      </c>
      <c r="AI294">
        <v>-1</v>
      </c>
      <c r="AJ294" t="s">
        <v>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">
      <c r="A295">
        <f>ROW(Source!A209)</f>
        <v>209</v>
      </c>
      <c r="B295">
        <v>71211539</v>
      </c>
      <c r="C295">
        <v>71211535</v>
      </c>
      <c r="D295">
        <v>67891062</v>
      </c>
      <c r="E295">
        <v>1</v>
      </c>
      <c r="F295">
        <v>1</v>
      </c>
      <c r="G295">
        <v>27</v>
      </c>
      <c r="H295">
        <v>2</v>
      </c>
      <c r="I295" t="s">
        <v>649</v>
      </c>
      <c r="J295" t="s">
        <v>650</v>
      </c>
      <c r="K295" t="s">
        <v>651</v>
      </c>
      <c r="L295">
        <v>1368</v>
      </c>
      <c r="N295">
        <v>1011</v>
      </c>
      <c r="O295" t="s">
        <v>571</v>
      </c>
      <c r="P295" t="s">
        <v>571</v>
      </c>
      <c r="Q295">
        <v>1</v>
      </c>
      <c r="X295">
        <v>0.81</v>
      </c>
      <c r="Y295">
        <v>0</v>
      </c>
      <c r="Z295">
        <v>2020.59</v>
      </c>
      <c r="AA295">
        <v>458.56</v>
      </c>
      <c r="AB295">
        <v>0</v>
      </c>
      <c r="AC295">
        <v>0</v>
      </c>
      <c r="AD295">
        <v>1</v>
      </c>
      <c r="AE295">
        <v>0</v>
      </c>
      <c r="AF295" t="s">
        <v>3</v>
      </c>
      <c r="AG295">
        <v>0.81</v>
      </c>
      <c r="AH295">
        <v>3</v>
      </c>
      <c r="AI295">
        <v>-1</v>
      </c>
      <c r="AJ295" t="s">
        <v>3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">
      <c r="A296">
        <f>ROW(Source!A209)</f>
        <v>209</v>
      </c>
      <c r="B296">
        <v>71211540</v>
      </c>
      <c r="C296">
        <v>71211535</v>
      </c>
      <c r="D296">
        <v>67891086</v>
      </c>
      <c r="E296">
        <v>1</v>
      </c>
      <c r="F296">
        <v>1</v>
      </c>
      <c r="G296">
        <v>27</v>
      </c>
      <c r="H296">
        <v>2</v>
      </c>
      <c r="I296" t="s">
        <v>688</v>
      </c>
      <c r="J296" t="s">
        <v>689</v>
      </c>
      <c r="K296" t="s">
        <v>690</v>
      </c>
      <c r="L296">
        <v>1368</v>
      </c>
      <c r="N296">
        <v>1011</v>
      </c>
      <c r="O296" t="s">
        <v>571</v>
      </c>
      <c r="P296" t="s">
        <v>571</v>
      </c>
      <c r="Q296">
        <v>1</v>
      </c>
      <c r="X296">
        <v>1.94</v>
      </c>
      <c r="Y296">
        <v>0</v>
      </c>
      <c r="Z296">
        <v>1412.71</v>
      </c>
      <c r="AA296">
        <v>641.32000000000005</v>
      </c>
      <c r="AB296">
        <v>0</v>
      </c>
      <c r="AC296">
        <v>0</v>
      </c>
      <c r="AD296">
        <v>1</v>
      </c>
      <c r="AE296">
        <v>0</v>
      </c>
      <c r="AF296" t="s">
        <v>3</v>
      </c>
      <c r="AG296">
        <v>1.94</v>
      </c>
      <c r="AH296">
        <v>3</v>
      </c>
      <c r="AI296">
        <v>-1</v>
      </c>
      <c r="AJ296" t="s">
        <v>3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">
      <c r="A297">
        <f>ROW(Source!A209)</f>
        <v>209</v>
      </c>
      <c r="B297">
        <v>71211541</v>
      </c>
      <c r="C297">
        <v>71211535</v>
      </c>
      <c r="D297">
        <v>67891052</v>
      </c>
      <c r="E297">
        <v>1</v>
      </c>
      <c r="F297">
        <v>1</v>
      </c>
      <c r="G297">
        <v>27</v>
      </c>
      <c r="H297">
        <v>2</v>
      </c>
      <c r="I297" t="s">
        <v>832</v>
      </c>
      <c r="J297" t="s">
        <v>833</v>
      </c>
      <c r="K297" t="s">
        <v>834</v>
      </c>
      <c r="L297">
        <v>1368</v>
      </c>
      <c r="N297">
        <v>1011</v>
      </c>
      <c r="O297" t="s">
        <v>571</v>
      </c>
      <c r="P297" t="s">
        <v>571</v>
      </c>
      <c r="Q297">
        <v>1</v>
      </c>
      <c r="X297">
        <v>0.65</v>
      </c>
      <c r="Y297">
        <v>0</v>
      </c>
      <c r="Z297">
        <v>1213.3399999999999</v>
      </c>
      <c r="AA297">
        <v>461.6</v>
      </c>
      <c r="AB297">
        <v>0</v>
      </c>
      <c r="AC297">
        <v>0</v>
      </c>
      <c r="AD297">
        <v>1</v>
      </c>
      <c r="AE297">
        <v>0</v>
      </c>
      <c r="AF297" t="s">
        <v>3</v>
      </c>
      <c r="AG297">
        <v>0.65</v>
      </c>
      <c r="AH297">
        <v>3</v>
      </c>
      <c r="AI297">
        <v>-1</v>
      </c>
      <c r="AJ297" t="s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">
      <c r="A298">
        <f>ROW(Source!A209)</f>
        <v>209</v>
      </c>
      <c r="B298">
        <v>71211542</v>
      </c>
      <c r="C298">
        <v>71211535</v>
      </c>
      <c r="D298">
        <v>67893014</v>
      </c>
      <c r="E298">
        <v>1</v>
      </c>
      <c r="F298">
        <v>1</v>
      </c>
      <c r="G298">
        <v>27</v>
      </c>
      <c r="H298">
        <v>3</v>
      </c>
      <c r="I298" t="s">
        <v>835</v>
      </c>
      <c r="J298" t="s">
        <v>836</v>
      </c>
      <c r="K298" t="s">
        <v>837</v>
      </c>
      <c r="L298">
        <v>1339</v>
      </c>
      <c r="N298">
        <v>1007</v>
      </c>
      <c r="O298" t="s">
        <v>236</v>
      </c>
      <c r="P298" t="s">
        <v>236</v>
      </c>
      <c r="Q298">
        <v>1</v>
      </c>
      <c r="X298">
        <v>110</v>
      </c>
      <c r="Y298">
        <v>590.78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 t="s">
        <v>3</v>
      </c>
      <c r="AG298">
        <v>110</v>
      </c>
      <c r="AH298">
        <v>3</v>
      </c>
      <c r="AI298">
        <v>-1</v>
      </c>
      <c r="AJ298" t="s">
        <v>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">
      <c r="A299">
        <f>ROW(Source!A209)</f>
        <v>209</v>
      </c>
      <c r="B299">
        <v>71211543</v>
      </c>
      <c r="C299">
        <v>71211535</v>
      </c>
      <c r="D299">
        <v>67893760</v>
      </c>
      <c r="E299">
        <v>1</v>
      </c>
      <c r="F299">
        <v>1</v>
      </c>
      <c r="G299">
        <v>27</v>
      </c>
      <c r="H299">
        <v>3</v>
      </c>
      <c r="I299" t="s">
        <v>652</v>
      </c>
      <c r="J299" t="s">
        <v>653</v>
      </c>
      <c r="K299" t="s">
        <v>654</v>
      </c>
      <c r="L299">
        <v>1339</v>
      </c>
      <c r="N299">
        <v>1007</v>
      </c>
      <c r="O299" t="s">
        <v>236</v>
      </c>
      <c r="P299" t="s">
        <v>236</v>
      </c>
      <c r="Q299">
        <v>1</v>
      </c>
      <c r="X299">
        <v>5</v>
      </c>
      <c r="Y299">
        <v>35.25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 t="s">
        <v>3</v>
      </c>
      <c r="AG299">
        <v>5</v>
      </c>
      <c r="AH299">
        <v>3</v>
      </c>
      <c r="AI299">
        <v>-1</v>
      </c>
      <c r="AJ299" t="s">
        <v>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>
        <f>ROW(Source!A210)</f>
        <v>210</v>
      </c>
      <c r="B300">
        <v>71211545</v>
      </c>
      <c r="C300">
        <v>71211544</v>
      </c>
      <c r="D300">
        <v>67878646</v>
      </c>
      <c r="E300">
        <v>27</v>
      </c>
      <c r="F300">
        <v>1</v>
      </c>
      <c r="G300">
        <v>27</v>
      </c>
      <c r="H300">
        <v>1</v>
      </c>
      <c r="I300" t="s">
        <v>565</v>
      </c>
      <c r="J300" t="s">
        <v>3</v>
      </c>
      <c r="K300" t="s">
        <v>566</v>
      </c>
      <c r="L300">
        <v>1191</v>
      </c>
      <c r="N300">
        <v>1013</v>
      </c>
      <c r="O300" t="s">
        <v>567</v>
      </c>
      <c r="P300" t="s">
        <v>567</v>
      </c>
      <c r="Q300">
        <v>1</v>
      </c>
      <c r="X300">
        <v>24.84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1</v>
      </c>
      <c r="AF300" t="s">
        <v>3</v>
      </c>
      <c r="AG300">
        <v>24.84</v>
      </c>
      <c r="AH300">
        <v>3</v>
      </c>
      <c r="AI300">
        <v>-1</v>
      </c>
      <c r="AJ300" t="s">
        <v>3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>
        <f>ROW(Source!A210)</f>
        <v>210</v>
      </c>
      <c r="B301">
        <v>71211546</v>
      </c>
      <c r="C301">
        <v>71211544</v>
      </c>
      <c r="D301">
        <v>67890881</v>
      </c>
      <c r="E301">
        <v>1</v>
      </c>
      <c r="F301">
        <v>1</v>
      </c>
      <c r="G301">
        <v>27</v>
      </c>
      <c r="H301">
        <v>2</v>
      </c>
      <c r="I301" t="s">
        <v>776</v>
      </c>
      <c r="J301" t="s">
        <v>777</v>
      </c>
      <c r="K301" t="s">
        <v>778</v>
      </c>
      <c r="L301">
        <v>1368</v>
      </c>
      <c r="N301">
        <v>1011</v>
      </c>
      <c r="O301" t="s">
        <v>571</v>
      </c>
      <c r="P301" t="s">
        <v>571</v>
      </c>
      <c r="Q301">
        <v>1</v>
      </c>
      <c r="X301">
        <v>2.94</v>
      </c>
      <c r="Y301">
        <v>0</v>
      </c>
      <c r="Z301">
        <v>956.79</v>
      </c>
      <c r="AA301">
        <v>359.44</v>
      </c>
      <c r="AB301">
        <v>0</v>
      </c>
      <c r="AC301">
        <v>0</v>
      </c>
      <c r="AD301">
        <v>1</v>
      </c>
      <c r="AE301">
        <v>0</v>
      </c>
      <c r="AF301" t="s">
        <v>3</v>
      </c>
      <c r="AG301">
        <v>2.94</v>
      </c>
      <c r="AH301">
        <v>3</v>
      </c>
      <c r="AI301">
        <v>-1</v>
      </c>
      <c r="AJ301" t="s">
        <v>3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">
      <c r="A302">
        <f>ROW(Source!A210)</f>
        <v>210</v>
      </c>
      <c r="B302">
        <v>71211547</v>
      </c>
      <c r="C302">
        <v>71211544</v>
      </c>
      <c r="D302">
        <v>67891062</v>
      </c>
      <c r="E302">
        <v>1</v>
      </c>
      <c r="F302">
        <v>1</v>
      </c>
      <c r="G302">
        <v>27</v>
      </c>
      <c r="H302">
        <v>2</v>
      </c>
      <c r="I302" t="s">
        <v>649</v>
      </c>
      <c r="J302" t="s">
        <v>650</v>
      </c>
      <c r="K302" t="s">
        <v>651</v>
      </c>
      <c r="L302">
        <v>1368</v>
      </c>
      <c r="N302">
        <v>1011</v>
      </c>
      <c r="O302" t="s">
        <v>571</v>
      </c>
      <c r="P302" t="s">
        <v>571</v>
      </c>
      <c r="Q302">
        <v>1</v>
      </c>
      <c r="X302">
        <v>1.1399999999999999</v>
      </c>
      <c r="Y302">
        <v>0</v>
      </c>
      <c r="Z302">
        <v>2020.59</v>
      </c>
      <c r="AA302">
        <v>458.56</v>
      </c>
      <c r="AB302">
        <v>0</v>
      </c>
      <c r="AC302">
        <v>0</v>
      </c>
      <c r="AD302">
        <v>1</v>
      </c>
      <c r="AE302">
        <v>0</v>
      </c>
      <c r="AF302" t="s">
        <v>3</v>
      </c>
      <c r="AG302">
        <v>1.1399999999999999</v>
      </c>
      <c r="AH302">
        <v>3</v>
      </c>
      <c r="AI302">
        <v>-1</v>
      </c>
      <c r="AJ302" t="s">
        <v>3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">
      <c r="A303">
        <f>ROW(Source!A210)</f>
        <v>210</v>
      </c>
      <c r="B303">
        <v>71211548</v>
      </c>
      <c r="C303">
        <v>71211544</v>
      </c>
      <c r="D303">
        <v>67891047</v>
      </c>
      <c r="E303">
        <v>1</v>
      </c>
      <c r="F303">
        <v>1</v>
      </c>
      <c r="G303">
        <v>27</v>
      </c>
      <c r="H303">
        <v>2</v>
      </c>
      <c r="I303" t="s">
        <v>838</v>
      </c>
      <c r="J303" t="s">
        <v>839</v>
      </c>
      <c r="K303" t="s">
        <v>840</v>
      </c>
      <c r="L303">
        <v>1368</v>
      </c>
      <c r="N303">
        <v>1011</v>
      </c>
      <c r="O303" t="s">
        <v>571</v>
      </c>
      <c r="P303" t="s">
        <v>571</v>
      </c>
      <c r="Q303">
        <v>1</v>
      </c>
      <c r="X303">
        <v>8.9600000000000009</v>
      </c>
      <c r="Y303">
        <v>0</v>
      </c>
      <c r="Z303">
        <v>1261.8699999999999</v>
      </c>
      <c r="AA303">
        <v>530.02</v>
      </c>
      <c r="AB303">
        <v>0</v>
      </c>
      <c r="AC303">
        <v>0</v>
      </c>
      <c r="AD303">
        <v>1</v>
      </c>
      <c r="AE303">
        <v>0</v>
      </c>
      <c r="AF303" t="s">
        <v>3</v>
      </c>
      <c r="AG303">
        <v>8.9600000000000009</v>
      </c>
      <c r="AH303">
        <v>3</v>
      </c>
      <c r="AI303">
        <v>-1</v>
      </c>
      <c r="AJ303" t="s">
        <v>3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">
      <c r="A304">
        <f>ROW(Source!A210)</f>
        <v>210</v>
      </c>
      <c r="B304">
        <v>71211549</v>
      </c>
      <c r="C304">
        <v>71211544</v>
      </c>
      <c r="D304">
        <v>67891048</v>
      </c>
      <c r="E304">
        <v>1</v>
      </c>
      <c r="F304">
        <v>1</v>
      </c>
      <c r="G304">
        <v>27</v>
      </c>
      <c r="H304">
        <v>2</v>
      </c>
      <c r="I304" t="s">
        <v>841</v>
      </c>
      <c r="J304" t="s">
        <v>842</v>
      </c>
      <c r="K304" t="s">
        <v>843</v>
      </c>
      <c r="L304">
        <v>1368</v>
      </c>
      <c r="N304">
        <v>1011</v>
      </c>
      <c r="O304" t="s">
        <v>571</v>
      </c>
      <c r="P304" t="s">
        <v>571</v>
      </c>
      <c r="Q304">
        <v>1</v>
      </c>
      <c r="X304">
        <v>18.25</v>
      </c>
      <c r="Y304">
        <v>0</v>
      </c>
      <c r="Z304">
        <v>1827.95</v>
      </c>
      <c r="AA304">
        <v>720.55</v>
      </c>
      <c r="AB304">
        <v>0</v>
      </c>
      <c r="AC304">
        <v>0</v>
      </c>
      <c r="AD304">
        <v>1</v>
      </c>
      <c r="AE304">
        <v>0</v>
      </c>
      <c r="AF304" t="s">
        <v>3</v>
      </c>
      <c r="AG304">
        <v>18.25</v>
      </c>
      <c r="AH304">
        <v>3</v>
      </c>
      <c r="AI304">
        <v>-1</v>
      </c>
      <c r="AJ304" t="s">
        <v>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">
      <c r="A305">
        <f>ROW(Source!A210)</f>
        <v>210</v>
      </c>
      <c r="B305">
        <v>71211550</v>
      </c>
      <c r="C305">
        <v>71211544</v>
      </c>
      <c r="D305">
        <v>67891086</v>
      </c>
      <c r="E305">
        <v>1</v>
      </c>
      <c r="F305">
        <v>1</v>
      </c>
      <c r="G305">
        <v>27</v>
      </c>
      <c r="H305">
        <v>2</v>
      </c>
      <c r="I305" t="s">
        <v>688</v>
      </c>
      <c r="J305" t="s">
        <v>689</v>
      </c>
      <c r="K305" t="s">
        <v>690</v>
      </c>
      <c r="L305">
        <v>1368</v>
      </c>
      <c r="N305">
        <v>1011</v>
      </c>
      <c r="O305" t="s">
        <v>571</v>
      </c>
      <c r="P305" t="s">
        <v>571</v>
      </c>
      <c r="Q305">
        <v>1</v>
      </c>
      <c r="X305">
        <v>2.2400000000000002</v>
      </c>
      <c r="Y305">
        <v>0</v>
      </c>
      <c r="Z305">
        <v>1412.71</v>
      </c>
      <c r="AA305">
        <v>641.32000000000005</v>
      </c>
      <c r="AB305">
        <v>0</v>
      </c>
      <c r="AC305">
        <v>0</v>
      </c>
      <c r="AD305">
        <v>1</v>
      </c>
      <c r="AE305">
        <v>0</v>
      </c>
      <c r="AF305" t="s">
        <v>3</v>
      </c>
      <c r="AG305">
        <v>2.2400000000000002</v>
      </c>
      <c r="AH305">
        <v>3</v>
      </c>
      <c r="AI305">
        <v>-1</v>
      </c>
      <c r="AJ305" t="s">
        <v>3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">
      <c r="A306">
        <f>ROW(Source!A210)</f>
        <v>210</v>
      </c>
      <c r="B306">
        <v>71211551</v>
      </c>
      <c r="C306">
        <v>71211544</v>
      </c>
      <c r="D306">
        <v>67891052</v>
      </c>
      <c r="E306">
        <v>1</v>
      </c>
      <c r="F306">
        <v>1</v>
      </c>
      <c r="G306">
        <v>27</v>
      </c>
      <c r="H306">
        <v>2</v>
      </c>
      <c r="I306" t="s">
        <v>832</v>
      </c>
      <c r="J306" t="s">
        <v>833</v>
      </c>
      <c r="K306" t="s">
        <v>834</v>
      </c>
      <c r="L306">
        <v>1368</v>
      </c>
      <c r="N306">
        <v>1011</v>
      </c>
      <c r="O306" t="s">
        <v>571</v>
      </c>
      <c r="P306" t="s">
        <v>571</v>
      </c>
      <c r="Q306">
        <v>1</v>
      </c>
      <c r="X306">
        <v>0.65</v>
      </c>
      <c r="Y306">
        <v>0</v>
      </c>
      <c r="Z306">
        <v>1213.3399999999999</v>
      </c>
      <c r="AA306">
        <v>461.6</v>
      </c>
      <c r="AB306">
        <v>0</v>
      </c>
      <c r="AC306">
        <v>0</v>
      </c>
      <c r="AD306">
        <v>1</v>
      </c>
      <c r="AE306">
        <v>0</v>
      </c>
      <c r="AF306" t="s">
        <v>3</v>
      </c>
      <c r="AG306">
        <v>0.65</v>
      </c>
      <c r="AH306">
        <v>3</v>
      </c>
      <c r="AI306">
        <v>-1</v>
      </c>
      <c r="AJ306" t="s">
        <v>3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">
      <c r="A307">
        <f>ROW(Source!A210)</f>
        <v>210</v>
      </c>
      <c r="B307">
        <v>71211552</v>
      </c>
      <c r="C307">
        <v>71211544</v>
      </c>
      <c r="D307">
        <v>67893040</v>
      </c>
      <c r="E307">
        <v>1</v>
      </c>
      <c r="F307">
        <v>1</v>
      </c>
      <c r="G307">
        <v>27</v>
      </c>
      <c r="H307">
        <v>3</v>
      </c>
      <c r="I307" t="s">
        <v>844</v>
      </c>
      <c r="J307" t="s">
        <v>845</v>
      </c>
      <c r="K307" t="s">
        <v>846</v>
      </c>
      <c r="L307">
        <v>1339</v>
      </c>
      <c r="N307">
        <v>1007</v>
      </c>
      <c r="O307" t="s">
        <v>236</v>
      </c>
      <c r="P307" t="s">
        <v>236</v>
      </c>
      <c r="Q307">
        <v>1</v>
      </c>
      <c r="X307">
        <v>126</v>
      </c>
      <c r="Y307">
        <v>1763.75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 t="s">
        <v>3</v>
      </c>
      <c r="AG307">
        <v>126</v>
      </c>
      <c r="AH307">
        <v>3</v>
      </c>
      <c r="AI307">
        <v>-1</v>
      </c>
      <c r="AJ307" t="s">
        <v>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">
      <c r="A308">
        <f>ROW(Source!A210)</f>
        <v>210</v>
      </c>
      <c r="B308">
        <v>71211553</v>
      </c>
      <c r="C308">
        <v>71211544</v>
      </c>
      <c r="D308">
        <v>67893760</v>
      </c>
      <c r="E308">
        <v>1</v>
      </c>
      <c r="F308">
        <v>1</v>
      </c>
      <c r="G308">
        <v>27</v>
      </c>
      <c r="H308">
        <v>3</v>
      </c>
      <c r="I308" t="s">
        <v>652</v>
      </c>
      <c r="J308" t="s">
        <v>653</v>
      </c>
      <c r="K308" t="s">
        <v>654</v>
      </c>
      <c r="L308">
        <v>1339</v>
      </c>
      <c r="N308">
        <v>1007</v>
      </c>
      <c r="O308" t="s">
        <v>236</v>
      </c>
      <c r="P308" t="s">
        <v>236</v>
      </c>
      <c r="Q308">
        <v>1</v>
      </c>
      <c r="X308">
        <v>7</v>
      </c>
      <c r="Y308">
        <v>35.25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 t="s">
        <v>3</v>
      </c>
      <c r="AG308">
        <v>7</v>
      </c>
      <c r="AH308">
        <v>3</v>
      </c>
      <c r="AI308">
        <v>-1</v>
      </c>
      <c r="AJ308" t="s">
        <v>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">
      <c r="A309">
        <f>ROW(Source!A211)</f>
        <v>211</v>
      </c>
      <c r="B309">
        <v>71211562</v>
      </c>
      <c r="C309">
        <v>71211554</v>
      </c>
      <c r="D309">
        <v>67878646</v>
      </c>
      <c r="E309">
        <v>27</v>
      </c>
      <c r="F309">
        <v>1</v>
      </c>
      <c r="G309">
        <v>27</v>
      </c>
      <c r="H309">
        <v>1</v>
      </c>
      <c r="I309" t="s">
        <v>565</v>
      </c>
      <c r="J309" t="s">
        <v>3</v>
      </c>
      <c r="K309" t="s">
        <v>566</v>
      </c>
      <c r="L309">
        <v>1191</v>
      </c>
      <c r="N309">
        <v>1013</v>
      </c>
      <c r="O309" t="s">
        <v>567</v>
      </c>
      <c r="P309" t="s">
        <v>567</v>
      </c>
      <c r="Q309">
        <v>1</v>
      </c>
      <c r="X309">
        <v>134.08000000000001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1</v>
      </c>
      <c r="AF309" t="s">
        <v>3</v>
      </c>
      <c r="AG309">
        <v>134.08000000000001</v>
      </c>
      <c r="AH309">
        <v>2</v>
      </c>
      <c r="AI309">
        <v>71211555</v>
      </c>
      <c r="AJ309">
        <v>37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">
      <c r="A310">
        <f>ROW(Source!A211)</f>
        <v>211</v>
      </c>
      <c r="B310">
        <v>71211563</v>
      </c>
      <c r="C310">
        <v>71211554</v>
      </c>
      <c r="D310">
        <v>67891492</v>
      </c>
      <c r="E310">
        <v>1</v>
      </c>
      <c r="F310">
        <v>1</v>
      </c>
      <c r="G310">
        <v>27</v>
      </c>
      <c r="H310">
        <v>2</v>
      </c>
      <c r="I310" t="s">
        <v>598</v>
      </c>
      <c r="J310" t="s">
        <v>599</v>
      </c>
      <c r="K310" t="s">
        <v>600</v>
      </c>
      <c r="L310">
        <v>1368</v>
      </c>
      <c r="N310">
        <v>1011</v>
      </c>
      <c r="O310" t="s">
        <v>571</v>
      </c>
      <c r="P310" t="s">
        <v>571</v>
      </c>
      <c r="Q310">
        <v>1</v>
      </c>
      <c r="X310">
        <v>4.0999999999999996</v>
      </c>
      <c r="Y310">
        <v>0</v>
      </c>
      <c r="Z310">
        <v>94.06</v>
      </c>
      <c r="AA310">
        <v>4.3499999999999996</v>
      </c>
      <c r="AB310">
        <v>0</v>
      </c>
      <c r="AC310">
        <v>0</v>
      </c>
      <c r="AD310">
        <v>1</v>
      </c>
      <c r="AE310">
        <v>0</v>
      </c>
      <c r="AF310" t="s">
        <v>3</v>
      </c>
      <c r="AG310">
        <v>4.0999999999999996</v>
      </c>
      <c r="AH310">
        <v>2</v>
      </c>
      <c r="AI310">
        <v>71211556</v>
      </c>
      <c r="AJ310">
        <v>38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">
      <c r="A311">
        <f>ROW(Source!A211)</f>
        <v>211</v>
      </c>
      <c r="B311">
        <v>71211564</v>
      </c>
      <c r="C311">
        <v>71211554</v>
      </c>
      <c r="D311">
        <v>67891707</v>
      </c>
      <c r="E311">
        <v>1</v>
      </c>
      <c r="F311">
        <v>1</v>
      </c>
      <c r="G311">
        <v>27</v>
      </c>
      <c r="H311">
        <v>2</v>
      </c>
      <c r="I311" t="s">
        <v>601</v>
      </c>
      <c r="J311" t="s">
        <v>602</v>
      </c>
      <c r="K311" t="s">
        <v>603</v>
      </c>
      <c r="L311">
        <v>1368</v>
      </c>
      <c r="N311">
        <v>1011</v>
      </c>
      <c r="O311" t="s">
        <v>571</v>
      </c>
      <c r="P311" t="s">
        <v>571</v>
      </c>
      <c r="Q311">
        <v>1</v>
      </c>
      <c r="X311">
        <v>2.1800000000000002</v>
      </c>
      <c r="Y311">
        <v>0</v>
      </c>
      <c r="Z311">
        <v>4.16</v>
      </c>
      <c r="AA311">
        <v>0.01</v>
      </c>
      <c r="AB311">
        <v>0</v>
      </c>
      <c r="AC311">
        <v>0</v>
      </c>
      <c r="AD311">
        <v>1</v>
      </c>
      <c r="AE311">
        <v>0</v>
      </c>
      <c r="AF311" t="s">
        <v>3</v>
      </c>
      <c r="AG311">
        <v>2.1800000000000002</v>
      </c>
      <c r="AH311">
        <v>2</v>
      </c>
      <c r="AI311">
        <v>71211557</v>
      </c>
      <c r="AJ311">
        <v>39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">
      <c r="A312">
        <f>ROW(Source!A211)</f>
        <v>211</v>
      </c>
      <c r="B312">
        <v>71211565</v>
      </c>
      <c r="C312">
        <v>71211554</v>
      </c>
      <c r="D312">
        <v>67893015</v>
      </c>
      <c r="E312">
        <v>1</v>
      </c>
      <c r="F312">
        <v>1</v>
      </c>
      <c r="G312">
        <v>27</v>
      </c>
      <c r="H312">
        <v>3</v>
      </c>
      <c r="I312" t="s">
        <v>604</v>
      </c>
      <c r="J312" t="s">
        <v>605</v>
      </c>
      <c r="K312" t="s">
        <v>606</v>
      </c>
      <c r="L312">
        <v>1339</v>
      </c>
      <c r="N312">
        <v>1007</v>
      </c>
      <c r="O312" t="s">
        <v>236</v>
      </c>
      <c r="P312" t="s">
        <v>236</v>
      </c>
      <c r="Q312">
        <v>1</v>
      </c>
      <c r="X312">
        <v>0.21</v>
      </c>
      <c r="Y312">
        <v>590.78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 t="s">
        <v>3</v>
      </c>
      <c r="AG312">
        <v>0.21</v>
      </c>
      <c r="AH312">
        <v>2</v>
      </c>
      <c r="AI312">
        <v>71211558</v>
      </c>
      <c r="AJ312">
        <v>40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">
      <c r="A313">
        <f>ROW(Source!A211)</f>
        <v>211</v>
      </c>
      <c r="B313">
        <v>71211566</v>
      </c>
      <c r="C313">
        <v>71211554</v>
      </c>
      <c r="D313">
        <v>67894837</v>
      </c>
      <c r="E313">
        <v>1</v>
      </c>
      <c r="F313">
        <v>1</v>
      </c>
      <c r="G313">
        <v>27</v>
      </c>
      <c r="H313">
        <v>3</v>
      </c>
      <c r="I313" t="s">
        <v>607</v>
      </c>
      <c r="J313" t="s">
        <v>608</v>
      </c>
      <c r="K313" t="s">
        <v>609</v>
      </c>
      <c r="L313">
        <v>1348</v>
      </c>
      <c r="N313">
        <v>1009</v>
      </c>
      <c r="O313" t="s">
        <v>35</v>
      </c>
      <c r="P313" t="s">
        <v>35</v>
      </c>
      <c r="Q313">
        <v>1000</v>
      </c>
      <c r="X313">
        <v>8.5299999999999994</v>
      </c>
      <c r="Y313">
        <v>3886.85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 t="s">
        <v>3</v>
      </c>
      <c r="AG313">
        <v>8.5299999999999994</v>
      </c>
      <c r="AH313">
        <v>2</v>
      </c>
      <c r="AI313">
        <v>71211559</v>
      </c>
      <c r="AJ313">
        <v>41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">
      <c r="A314">
        <f>ROW(Source!A211)</f>
        <v>211</v>
      </c>
      <c r="B314">
        <v>71211567</v>
      </c>
      <c r="C314">
        <v>71211554</v>
      </c>
      <c r="D314">
        <v>67895993</v>
      </c>
      <c r="E314">
        <v>1</v>
      </c>
      <c r="F314">
        <v>1</v>
      </c>
      <c r="G314">
        <v>27</v>
      </c>
      <c r="H314">
        <v>3</v>
      </c>
      <c r="I314" t="s">
        <v>610</v>
      </c>
      <c r="J314" t="s">
        <v>611</v>
      </c>
      <c r="K314" t="s">
        <v>612</v>
      </c>
      <c r="L314">
        <v>1354</v>
      </c>
      <c r="N314">
        <v>1010</v>
      </c>
      <c r="O314" t="s">
        <v>232</v>
      </c>
      <c r="P314" t="s">
        <v>232</v>
      </c>
      <c r="Q314">
        <v>1</v>
      </c>
      <c r="X314">
        <v>1.5</v>
      </c>
      <c r="Y314">
        <v>5215.0200000000004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 t="s">
        <v>3</v>
      </c>
      <c r="AG314">
        <v>1.5</v>
      </c>
      <c r="AH314">
        <v>2</v>
      </c>
      <c r="AI314">
        <v>71211560</v>
      </c>
      <c r="AJ314">
        <v>43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">
      <c r="A315">
        <f>ROW(Source!A211)</f>
        <v>211</v>
      </c>
      <c r="B315">
        <v>71211568</v>
      </c>
      <c r="C315">
        <v>71211554</v>
      </c>
      <c r="D315">
        <v>67879346</v>
      </c>
      <c r="E315">
        <v>27</v>
      </c>
      <c r="F315">
        <v>1</v>
      </c>
      <c r="G315">
        <v>27</v>
      </c>
      <c r="H315">
        <v>3</v>
      </c>
      <c r="I315" t="s">
        <v>868</v>
      </c>
      <c r="J315" t="s">
        <v>3</v>
      </c>
      <c r="K315" t="s">
        <v>869</v>
      </c>
      <c r="L315">
        <v>1327</v>
      </c>
      <c r="N315">
        <v>1005</v>
      </c>
      <c r="O315" t="s">
        <v>18</v>
      </c>
      <c r="P315" t="s">
        <v>18</v>
      </c>
      <c r="Q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t="s">
        <v>3</v>
      </c>
      <c r="AG315">
        <v>0</v>
      </c>
      <c r="AH315">
        <v>3</v>
      </c>
      <c r="AI315">
        <v>-1</v>
      </c>
      <c r="AJ315" t="s">
        <v>3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">
      <c r="A316">
        <f>ROW(Source!A213)</f>
        <v>213</v>
      </c>
      <c r="B316">
        <v>71211572</v>
      </c>
      <c r="C316">
        <v>71211570</v>
      </c>
      <c r="D316">
        <v>67878646</v>
      </c>
      <c r="E316">
        <v>27</v>
      </c>
      <c r="F316">
        <v>1</v>
      </c>
      <c r="G316">
        <v>27</v>
      </c>
      <c r="H316">
        <v>1</v>
      </c>
      <c r="I316" t="s">
        <v>565</v>
      </c>
      <c r="J316" t="s">
        <v>3</v>
      </c>
      <c r="K316" t="s">
        <v>566</v>
      </c>
      <c r="L316">
        <v>1191</v>
      </c>
      <c r="N316">
        <v>1013</v>
      </c>
      <c r="O316" t="s">
        <v>567</v>
      </c>
      <c r="P316" t="s">
        <v>567</v>
      </c>
      <c r="Q316">
        <v>1</v>
      </c>
      <c r="X316">
        <v>52.67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1</v>
      </c>
      <c r="AF316" t="s">
        <v>3</v>
      </c>
      <c r="AG316">
        <v>52.67</v>
      </c>
      <c r="AH316">
        <v>3</v>
      </c>
      <c r="AI316">
        <v>-1</v>
      </c>
      <c r="AJ316" t="s">
        <v>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">
      <c r="A317">
        <f>ROW(Source!A213)</f>
        <v>213</v>
      </c>
      <c r="B317">
        <v>71211573</v>
      </c>
      <c r="C317">
        <v>71211570</v>
      </c>
      <c r="D317">
        <v>67891492</v>
      </c>
      <c r="E317">
        <v>1</v>
      </c>
      <c r="F317">
        <v>1</v>
      </c>
      <c r="G317">
        <v>27</v>
      </c>
      <c r="H317">
        <v>2</v>
      </c>
      <c r="I317" t="s">
        <v>598</v>
      </c>
      <c r="J317" t="s">
        <v>599</v>
      </c>
      <c r="K317" t="s">
        <v>600</v>
      </c>
      <c r="L317">
        <v>1368</v>
      </c>
      <c r="N317">
        <v>1011</v>
      </c>
      <c r="O317" t="s">
        <v>571</v>
      </c>
      <c r="P317" t="s">
        <v>571</v>
      </c>
      <c r="Q317">
        <v>1</v>
      </c>
      <c r="X317">
        <v>7.02</v>
      </c>
      <c r="Y317">
        <v>0</v>
      </c>
      <c r="Z317">
        <v>94.06</v>
      </c>
      <c r="AA317">
        <v>4.3499999999999996</v>
      </c>
      <c r="AB317">
        <v>0</v>
      </c>
      <c r="AC317">
        <v>0</v>
      </c>
      <c r="AD317">
        <v>1</v>
      </c>
      <c r="AE317">
        <v>0</v>
      </c>
      <c r="AF317" t="s">
        <v>3</v>
      </c>
      <c r="AG317">
        <v>7.02</v>
      </c>
      <c r="AH317">
        <v>3</v>
      </c>
      <c r="AI317">
        <v>-1</v>
      </c>
      <c r="AJ317" t="s">
        <v>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2">
      <c r="A318">
        <f>ROW(Source!A213)</f>
        <v>213</v>
      </c>
      <c r="B318">
        <v>71211574</v>
      </c>
      <c r="C318">
        <v>71211570</v>
      </c>
      <c r="D318">
        <v>67894801</v>
      </c>
      <c r="E318">
        <v>1</v>
      </c>
      <c r="F318">
        <v>1</v>
      </c>
      <c r="G318">
        <v>27</v>
      </c>
      <c r="H318">
        <v>3</v>
      </c>
      <c r="I318" t="s">
        <v>870</v>
      </c>
      <c r="J318" t="s">
        <v>871</v>
      </c>
      <c r="K318" t="s">
        <v>872</v>
      </c>
      <c r="L318">
        <v>1339</v>
      </c>
      <c r="N318">
        <v>1007</v>
      </c>
      <c r="O318" t="s">
        <v>236</v>
      </c>
      <c r="P318" t="s">
        <v>236</v>
      </c>
      <c r="Q318">
        <v>1</v>
      </c>
      <c r="X318">
        <v>0.05</v>
      </c>
      <c r="Y318">
        <v>3658.9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 t="s">
        <v>3</v>
      </c>
      <c r="AG318">
        <v>0.05</v>
      </c>
      <c r="AH318">
        <v>3</v>
      </c>
      <c r="AI318">
        <v>-1</v>
      </c>
      <c r="AJ318" t="s">
        <v>3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2">
      <c r="A319">
        <f>ROW(Source!A213)</f>
        <v>213</v>
      </c>
      <c r="B319">
        <v>71211575</v>
      </c>
      <c r="C319">
        <v>71211570</v>
      </c>
      <c r="D319">
        <v>67895604</v>
      </c>
      <c r="E319">
        <v>1</v>
      </c>
      <c r="F319">
        <v>1</v>
      </c>
      <c r="G319">
        <v>27</v>
      </c>
      <c r="H319">
        <v>3</v>
      </c>
      <c r="I319" t="s">
        <v>873</v>
      </c>
      <c r="J319" t="s">
        <v>874</v>
      </c>
      <c r="K319" t="s">
        <v>875</v>
      </c>
      <c r="L319">
        <v>1327</v>
      </c>
      <c r="N319">
        <v>1005</v>
      </c>
      <c r="O319" t="s">
        <v>18</v>
      </c>
      <c r="P319" t="s">
        <v>18</v>
      </c>
      <c r="Q319">
        <v>1</v>
      </c>
      <c r="X319">
        <v>100</v>
      </c>
      <c r="Y319">
        <v>911.93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 t="s">
        <v>3</v>
      </c>
      <c r="AG319">
        <v>100</v>
      </c>
      <c r="AH319">
        <v>3</v>
      </c>
      <c r="AI319">
        <v>-1</v>
      </c>
      <c r="AJ319" t="s">
        <v>3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">
      <c r="A320">
        <f>ROW(Source!A250)</f>
        <v>250</v>
      </c>
      <c r="B320">
        <v>71211578</v>
      </c>
      <c r="C320">
        <v>71211577</v>
      </c>
      <c r="D320">
        <v>67878646</v>
      </c>
      <c r="E320">
        <v>27</v>
      </c>
      <c r="F320">
        <v>1</v>
      </c>
      <c r="G320">
        <v>27</v>
      </c>
      <c r="H320">
        <v>1</v>
      </c>
      <c r="I320" t="s">
        <v>565</v>
      </c>
      <c r="J320" t="s">
        <v>3</v>
      </c>
      <c r="K320" t="s">
        <v>566</v>
      </c>
      <c r="L320">
        <v>1191</v>
      </c>
      <c r="N320">
        <v>1013</v>
      </c>
      <c r="O320" t="s">
        <v>567</v>
      </c>
      <c r="P320" t="s">
        <v>567</v>
      </c>
      <c r="Q320">
        <v>1</v>
      </c>
      <c r="X320">
        <v>16.559999999999999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1</v>
      </c>
      <c r="AF320" t="s">
        <v>3</v>
      </c>
      <c r="AG320">
        <v>16.559999999999999</v>
      </c>
      <c r="AH320">
        <v>3</v>
      </c>
      <c r="AI320">
        <v>-1</v>
      </c>
      <c r="AJ320" t="s">
        <v>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2">
      <c r="A321">
        <f>ROW(Source!A250)</f>
        <v>250</v>
      </c>
      <c r="B321">
        <v>71211579</v>
      </c>
      <c r="C321">
        <v>71211577</v>
      </c>
      <c r="D321">
        <v>67890904</v>
      </c>
      <c r="E321">
        <v>1</v>
      </c>
      <c r="F321">
        <v>1</v>
      </c>
      <c r="G321">
        <v>27</v>
      </c>
      <c r="H321">
        <v>2</v>
      </c>
      <c r="I321" t="s">
        <v>685</v>
      </c>
      <c r="J321" t="s">
        <v>686</v>
      </c>
      <c r="K321" t="s">
        <v>687</v>
      </c>
      <c r="L321">
        <v>1368</v>
      </c>
      <c r="N321">
        <v>1011</v>
      </c>
      <c r="O321" t="s">
        <v>571</v>
      </c>
      <c r="P321" t="s">
        <v>571</v>
      </c>
      <c r="Q321">
        <v>1</v>
      </c>
      <c r="X321">
        <v>2.08</v>
      </c>
      <c r="Y321">
        <v>0</v>
      </c>
      <c r="Z321">
        <v>740.94</v>
      </c>
      <c r="AA321">
        <v>413.22</v>
      </c>
      <c r="AB321">
        <v>0</v>
      </c>
      <c r="AC321">
        <v>0</v>
      </c>
      <c r="AD321">
        <v>1</v>
      </c>
      <c r="AE321">
        <v>0</v>
      </c>
      <c r="AF321" t="s">
        <v>3</v>
      </c>
      <c r="AG321">
        <v>2.08</v>
      </c>
      <c r="AH321">
        <v>3</v>
      </c>
      <c r="AI321">
        <v>-1</v>
      </c>
      <c r="AJ321" t="s">
        <v>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">
      <c r="A322">
        <f>ROW(Source!A250)</f>
        <v>250</v>
      </c>
      <c r="B322">
        <v>71211580</v>
      </c>
      <c r="C322">
        <v>71211577</v>
      </c>
      <c r="D322">
        <v>67891059</v>
      </c>
      <c r="E322">
        <v>1</v>
      </c>
      <c r="F322">
        <v>1</v>
      </c>
      <c r="G322">
        <v>27</v>
      </c>
      <c r="H322">
        <v>2</v>
      </c>
      <c r="I322" t="s">
        <v>829</v>
      </c>
      <c r="J322" t="s">
        <v>830</v>
      </c>
      <c r="K322" t="s">
        <v>831</v>
      </c>
      <c r="L322">
        <v>1368</v>
      </c>
      <c r="N322">
        <v>1011</v>
      </c>
      <c r="O322" t="s">
        <v>571</v>
      </c>
      <c r="P322" t="s">
        <v>571</v>
      </c>
      <c r="Q322">
        <v>1</v>
      </c>
      <c r="X322">
        <v>2.08</v>
      </c>
      <c r="Y322">
        <v>0</v>
      </c>
      <c r="Z322">
        <v>430.32</v>
      </c>
      <c r="AA322">
        <v>215.31</v>
      </c>
      <c r="AB322">
        <v>0</v>
      </c>
      <c r="AC322">
        <v>0</v>
      </c>
      <c r="AD322">
        <v>1</v>
      </c>
      <c r="AE322">
        <v>0</v>
      </c>
      <c r="AF322" t="s">
        <v>3</v>
      </c>
      <c r="AG322">
        <v>2.08</v>
      </c>
      <c r="AH322">
        <v>3</v>
      </c>
      <c r="AI322">
        <v>-1</v>
      </c>
      <c r="AJ322" t="s">
        <v>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2">
      <c r="A323">
        <f>ROW(Source!A250)</f>
        <v>250</v>
      </c>
      <c r="B323">
        <v>71211581</v>
      </c>
      <c r="C323">
        <v>71211577</v>
      </c>
      <c r="D323">
        <v>67891062</v>
      </c>
      <c r="E323">
        <v>1</v>
      </c>
      <c r="F323">
        <v>1</v>
      </c>
      <c r="G323">
        <v>27</v>
      </c>
      <c r="H323">
        <v>2</v>
      </c>
      <c r="I323" t="s">
        <v>649</v>
      </c>
      <c r="J323" t="s">
        <v>650</v>
      </c>
      <c r="K323" t="s">
        <v>651</v>
      </c>
      <c r="L323">
        <v>1368</v>
      </c>
      <c r="N323">
        <v>1011</v>
      </c>
      <c r="O323" t="s">
        <v>571</v>
      </c>
      <c r="P323" t="s">
        <v>571</v>
      </c>
      <c r="Q323">
        <v>1</v>
      </c>
      <c r="X323">
        <v>0.81</v>
      </c>
      <c r="Y323">
        <v>0</v>
      </c>
      <c r="Z323">
        <v>2020.59</v>
      </c>
      <c r="AA323">
        <v>458.56</v>
      </c>
      <c r="AB323">
        <v>0</v>
      </c>
      <c r="AC323">
        <v>0</v>
      </c>
      <c r="AD323">
        <v>1</v>
      </c>
      <c r="AE323">
        <v>0</v>
      </c>
      <c r="AF323" t="s">
        <v>3</v>
      </c>
      <c r="AG323">
        <v>0.81</v>
      </c>
      <c r="AH323">
        <v>3</v>
      </c>
      <c r="AI323">
        <v>-1</v>
      </c>
      <c r="AJ323" t="s">
        <v>3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">
      <c r="A324">
        <f>ROW(Source!A250)</f>
        <v>250</v>
      </c>
      <c r="B324">
        <v>71211582</v>
      </c>
      <c r="C324">
        <v>71211577</v>
      </c>
      <c r="D324">
        <v>67891086</v>
      </c>
      <c r="E324">
        <v>1</v>
      </c>
      <c r="F324">
        <v>1</v>
      </c>
      <c r="G324">
        <v>27</v>
      </c>
      <c r="H324">
        <v>2</v>
      </c>
      <c r="I324" t="s">
        <v>688</v>
      </c>
      <c r="J324" t="s">
        <v>689</v>
      </c>
      <c r="K324" t="s">
        <v>690</v>
      </c>
      <c r="L324">
        <v>1368</v>
      </c>
      <c r="N324">
        <v>1011</v>
      </c>
      <c r="O324" t="s">
        <v>571</v>
      </c>
      <c r="P324" t="s">
        <v>571</v>
      </c>
      <c r="Q324">
        <v>1</v>
      </c>
      <c r="X324">
        <v>1.94</v>
      </c>
      <c r="Y324">
        <v>0</v>
      </c>
      <c r="Z324">
        <v>1412.71</v>
      </c>
      <c r="AA324">
        <v>641.32000000000005</v>
      </c>
      <c r="AB324">
        <v>0</v>
      </c>
      <c r="AC324">
        <v>0</v>
      </c>
      <c r="AD324">
        <v>1</v>
      </c>
      <c r="AE324">
        <v>0</v>
      </c>
      <c r="AF324" t="s">
        <v>3</v>
      </c>
      <c r="AG324">
        <v>1.94</v>
      </c>
      <c r="AH324">
        <v>3</v>
      </c>
      <c r="AI324">
        <v>-1</v>
      </c>
      <c r="AJ324" t="s">
        <v>3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">
      <c r="A325">
        <f>ROW(Source!A250)</f>
        <v>250</v>
      </c>
      <c r="B325">
        <v>71211583</v>
      </c>
      <c r="C325">
        <v>71211577</v>
      </c>
      <c r="D325">
        <v>67891052</v>
      </c>
      <c r="E325">
        <v>1</v>
      </c>
      <c r="F325">
        <v>1</v>
      </c>
      <c r="G325">
        <v>27</v>
      </c>
      <c r="H325">
        <v>2</v>
      </c>
      <c r="I325" t="s">
        <v>832</v>
      </c>
      <c r="J325" t="s">
        <v>833</v>
      </c>
      <c r="K325" t="s">
        <v>834</v>
      </c>
      <c r="L325">
        <v>1368</v>
      </c>
      <c r="N325">
        <v>1011</v>
      </c>
      <c r="O325" t="s">
        <v>571</v>
      </c>
      <c r="P325" t="s">
        <v>571</v>
      </c>
      <c r="Q325">
        <v>1</v>
      </c>
      <c r="X325">
        <v>0.65</v>
      </c>
      <c r="Y325">
        <v>0</v>
      </c>
      <c r="Z325">
        <v>1213.3399999999999</v>
      </c>
      <c r="AA325">
        <v>461.6</v>
      </c>
      <c r="AB325">
        <v>0</v>
      </c>
      <c r="AC325">
        <v>0</v>
      </c>
      <c r="AD325">
        <v>1</v>
      </c>
      <c r="AE325">
        <v>0</v>
      </c>
      <c r="AF325" t="s">
        <v>3</v>
      </c>
      <c r="AG325">
        <v>0.65</v>
      </c>
      <c r="AH325">
        <v>3</v>
      </c>
      <c r="AI325">
        <v>-1</v>
      </c>
      <c r="AJ325" t="s">
        <v>3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">
      <c r="A326">
        <f>ROW(Source!A250)</f>
        <v>250</v>
      </c>
      <c r="B326">
        <v>71211584</v>
      </c>
      <c r="C326">
        <v>71211577</v>
      </c>
      <c r="D326">
        <v>67893014</v>
      </c>
      <c r="E326">
        <v>1</v>
      </c>
      <c r="F326">
        <v>1</v>
      </c>
      <c r="G326">
        <v>27</v>
      </c>
      <c r="H326">
        <v>3</v>
      </c>
      <c r="I326" t="s">
        <v>835</v>
      </c>
      <c r="J326" t="s">
        <v>836</v>
      </c>
      <c r="K326" t="s">
        <v>837</v>
      </c>
      <c r="L326">
        <v>1339</v>
      </c>
      <c r="N326">
        <v>1007</v>
      </c>
      <c r="O326" t="s">
        <v>236</v>
      </c>
      <c r="P326" t="s">
        <v>236</v>
      </c>
      <c r="Q326">
        <v>1</v>
      </c>
      <c r="X326">
        <v>110</v>
      </c>
      <c r="Y326">
        <v>590.78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 t="s">
        <v>3</v>
      </c>
      <c r="AG326">
        <v>110</v>
      </c>
      <c r="AH326">
        <v>3</v>
      </c>
      <c r="AI326">
        <v>-1</v>
      </c>
      <c r="AJ326" t="s">
        <v>3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">
      <c r="A327">
        <f>ROW(Source!A250)</f>
        <v>250</v>
      </c>
      <c r="B327">
        <v>71211585</v>
      </c>
      <c r="C327">
        <v>71211577</v>
      </c>
      <c r="D327">
        <v>67893760</v>
      </c>
      <c r="E327">
        <v>1</v>
      </c>
      <c r="F327">
        <v>1</v>
      </c>
      <c r="G327">
        <v>27</v>
      </c>
      <c r="H327">
        <v>3</v>
      </c>
      <c r="I327" t="s">
        <v>652</v>
      </c>
      <c r="J327" t="s">
        <v>653</v>
      </c>
      <c r="K327" t="s">
        <v>654</v>
      </c>
      <c r="L327">
        <v>1339</v>
      </c>
      <c r="N327">
        <v>1007</v>
      </c>
      <c r="O327" t="s">
        <v>236</v>
      </c>
      <c r="P327" t="s">
        <v>236</v>
      </c>
      <c r="Q327">
        <v>1</v>
      </c>
      <c r="X327">
        <v>5</v>
      </c>
      <c r="Y327">
        <v>35.25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 t="s">
        <v>3</v>
      </c>
      <c r="AG327">
        <v>5</v>
      </c>
      <c r="AH327">
        <v>3</v>
      </c>
      <c r="AI327">
        <v>-1</v>
      </c>
      <c r="AJ327" t="s">
        <v>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">
      <c r="A328">
        <f>ROW(Source!A251)</f>
        <v>251</v>
      </c>
      <c r="B328">
        <v>71211587</v>
      </c>
      <c r="C328">
        <v>71211586</v>
      </c>
      <c r="D328">
        <v>67878646</v>
      </c>
      <c r="E328">
        <v>27</v>
      </c>
      <c r="F328">
        <v>1</v>
      </c>
      <c r="G328">
        <v>27</v>
      </c>
      <c r="H328">
        <v>1</v>
      </c>
      <c r="I328" t="s">
        <v>565</v>
      </c>
      <c r="J328" t="s">
        <v>3</v>
      </c>
      <c r="K328" t="s">
        <v>566</v>
      </c>
      <c r="L328">
        <v>1191</v>
      </c>
      <c r="N328">
        <v>1013</v>
      </c>
      <c r="O328" t="s">
        <v>567</v>
      </c>
      <c r="P328" t="s">
        <v>567</v>
      </c>
      <c r="Q328">
        <v>1</v>
      </c>
      <c r="X328">
        <v>24.84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1</v>
      </c>
      <c r="AF328" t="s">
        <v>3</v>
      </c>
      <c r="AG328">
        <v>24.84</v>
      </c>
      <c r="AH328">
        <v>3</v>
      </c>
      <c r="AI328">
        <v>-1</v>
      </c>
      <c r="AJ328" t="s">
        <v>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">
      <c r="A329">
        <f>ROW(Source!A251)</f>
        <v>251</v>
      </c>
      <c r="B329">
        <v>71211588</v>
      </c>
      <c r="C329">
        <v>71211586</v>
      </c>
      <c r="D329">
        <v>67890881</v>
      </c>
      <c r="E329">
        <v>1</v>
      </c>
      <c r="F329">
        <v>1</v>
      </c>
      <c r="G329">
        <v>27</v>
      </c>
      <c r="H329">
        <v>2</v>
      </c>
      <c r="I329" t="s">
        <v>776</v>
      </c>
      <c r="J329" t="s">
        <v>777</v>
      </c>
      <c r="K329" t="s">
        <v>778</v>
      </c>
      <c r="L329">
        <v>1368</v>
      </c>
      <c r="N329">
        <v>1011</v>
      </c>
      <c r="O329" t="s">
        <v>571</v>
      </c>
      <c r="P329" t="s">
        <v>571</v>
      </c>
      <c r="Q329">
        <v>1</v>
      </c>
      <c r="X329">
        <v>2.94</v>
      </c>
      <c r="Y329">
        <v>0</v>
      </c>
      <c r="Z329">
        <v>956.79</v>
      </c>
      <c r="AA329">
        <v>359.44</v>
      </c>
      <c r="AB329">
        <v>0</v>
      </c>
      <c r="AC329">
        <v>0</v>
      </c>
      <c r="AD329">
        <v>1</v>
      </c>
      <c r="AE329">
        <v>0</v>
      </c>
      <c r="AF329" t="s">
        <v>3</v>
      </c>
      <c r="AG329">
        <v>2.94</v>
      </c>
      <c r="AH329">
        <v>3</v>
      </c>
      <c r="AI329">
        <v>-1</v>
      </c>
      <c r="AJ329" t="s">
        <v>3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">
      <c r="A330">
        <f>ROW(Source!A251)</f>
        <v>251</v>
      </c>
      <c r="B330">
        <v>71211589</v>
      </c>
      <c r="C330">
        <v>71211586</v>
      </c>
      <c r="D330">
        <v>67891062</v>
      </c>
      <c r="E330">
        <v>1</v>
      </c>
      <c r="F330">
        <v>1</v>
      </c>
      <c r="G330">
        <v>27</v>
      </c>
      <c r="H330">
        <v>2</v>
      </c>
      <c r="I330" t="s">
        <v>649</v>
      </c>
      <c r="J330" t="s">
        <v>650</v>
      </c>
      <c r="K330" t="s">
        <v>651</v>
      </c>
      <c r="L330">
        <v>1368</v>
      </c>
      <c r="N330">
        <v>1011</v>
      </c>
      <c r="O330" t="s">
        <v>571</v>
      </c>
      <c r="P330" t="s">
        <v>571</v>
      </c>
      <c r="Q330">
        <v>1</v>
      </c>
      <c r="X330">
        <v>1.1399999999999999</v>
      </c>
      <c r="Y330">
        <v>0</v>
      </c>
      <c r="Z330">
        <v>2020.59</v>
      </c>
      <c r="AA330">
        <v>458.56</v>
      </c>
      <c r="AB330">
        <v>0</v>
      </c>
      <c r="AC330">
        <v>0</v>
      </c>
      <c r="AD330">
        <v>1</v>
      </c>
      <c r="AE330">
        <v>0</v>
      </c>
      <c r="AF330" t="s">
        <v>3</v>
      </c>
      <c r="AG330">
        <v>1.1399999999999999</v>
      </c>
      <c r="AH330">
        <v>3</v>
      </c>
      <c r="AI330">
        <v>-1</v>
      </c>
      <c r="AJ330" t="s">
        <v>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2">
      <c r="A331">
        <f>ROW(Source!A251)</f>
        <v>251</v>
      </c>
      <c r="B331">
        <v>71211590</v>
      </c>
      <c r="C331">
        <v>71211586</v>
      </c>
      <c r="D331">
        <v>67891047</v>
      </c>
      <c r="E331">
        <v>1</v>
      </c>
      <c r="F331">
        <v>1</v>
      </c>
      <c r="G331">
        <v>27</v>
      </c>
      <c r="H331">
        <v>2</v>
      </c>
      <c r="I331" t="s">
        <v>838</v>
      </c>
      <c r="J331" t="s">
        <v>839</v>
      </c>
      <c r="K331" t="s">
        <v>840</v>
      </c>
      <c r="L331">
        <v>1368</v>
      </c>
      <c r="N331">
        <v>1011</v>
      </c>
      <c r="O331" t="s">
        <v>571</v>
      </c>
      <c r="P331" t="s">
        <v>571</v>
      </c>
      <c r="Q331">
        <v>1</v>
      </c>
      <c r="X331">
        <v>8.9600000000000009</v>
      </c>
      <c r="Y331">
        <v>0</v>
      </c>
      <c r="Z331">
        <v>1261.8699999999999</v>
      </c>
      <c r="AA331">
        <v>530.02</v>
      </c>
      <c r="AB331">
        <v>0</v>
      </c>
      <c r="AC331">
        <v>0</v>
      </c>
      <c r="AD331">
        <v>1</v>
      </c>
      <c r="AE331">
        <v>0</v>
      </c>
      <c r="AF331" t="s">
        <v>3</v>
      </c>
      <c r="AG331">
        <v>8.9600000000000009</v>
      </c>
      <c r="AH331">
        <v>3</v>
      </c>
      <c r="AI331">
        <v>-1</v>
      </c>
      <c r="AJ331" t="s">
        <v>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2">
      <c r="A332">
        <f>ROW(Source!A251)</f>
        <v>251</v>
      </c>
      <c r="B332">
        <v>71211591</v>
      </c>
      <c r="C332">
        <v>71211586</v>
      </c>
      <c r="D332">
        <v>67891048</v>
      </c>
      <c r="E332">
        <v>1</v>
      </c>
      <c r="F332">
        <v>1</v>
      </c>
      <c r="G332">
        <v>27</v>
      </c>
      <c r="H332">
        <v>2</v>
      </c>
      <c r="I332" t="s">
        <v>841</v>
      </c>
      <c r="J332" t="s">
        <v>842</v>
      </c>
      <c r="K332" t="s">
        <v>843</v>
      </c>
      <c r="L332">
        <v>1368</v>
      </c>
      <c r="N332">
        <v>1011</v>
      </c>
      <c r="O332" t="s">
        <v>571</v>
      </c>
      <c r="P332" t="s">
        <v>571</v>
      </c>
      <c r="Q332">
        <v>1</v>
      </c>
      <c r="X332">
        <v>18.25</v>
      </c>
      <c r="Y332">
        <v>0</v>
      </c>
      <c r="Z332">
        <v>1827.95</v>
      </c>
      <c r="AA332">
        <v>720.55</v>
      </c>
      <c r="AB332">
        <v>0</v>
      </c>
      <c r="AC332">
        <v>0</v>
      </c>
      <c r="AD332">
        <v>1</v>
      </c>
      <c r="AE332">
        <v>0</v>
      </c>
      <c r="AF332" t="s">
        <v>3</v>
      </c>
      <c r="AG332">
        <v>18.25</v>
      </c>
      <c r="AH332">
        <v>3</v>
      </c>
      <c r="AI332">
        <v>-1</v>
      </c>
      <c r="AJ332" t="s">
        <v>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2">
      <c r="A333">
        <f>ROW(Source!A251)</f>
        <v>251</v>
      </c>
      <c r="B333">
        <v>71211592</v>
      </c>
      <c r="C333">
        <v>71211586</v>
      </c>
      <c r="D333">
        <v>67891086</v>
      </c>
      <c r="E333">
        <v>1</v>
      </c>
      <c r="F333">
        <v>1</v>
      </c>
      <c r="G333">
        <v>27</v>
      </c>
      <c r="H333">
        <v>2</v>
      </c>
      <c r="I333" t="s">
        <v>688</v>
      </c>
      <c r="J333" t="s">
        <v>689</v>
      </c>
      <c r="K333" t="s">
        <v>690</v>
      </c>
      <c r="L333">
        <v>1368</v>
      </c>
      <c r="N333">
        <v>1011</v>
      </c>
      <c r="O333" t="s">
        <v>571</v>
      </c>
      <c r="P333" t="s">
        <v>571</v>
      </c>
      <c r="Q333">
        <v>1</v>
      </c>
      <c r="X333">
        <v>2.2400000000000002</v>
      </c>
      <c r="Y333">
        <v>0</v>
      </c>
      <c r="Z333">
        <v>1412.71</v>
      </c>
      <c r="AA333">
        <v>641.32000000000005</v>
      </c>
      <c r="AB333">
        <v>0</v>
      </c>
      <c r="AC333">
        <v>0</v>
      </c>
      <c r="AD333">
        <v>1</v>
      </c>
      <c r="AE333">
        <v>0</v>
      </c>
      <c r="AF333" t="s">
        <v>3</v>
      </c>
      <c r="AG333">
        <v>2.2400000000000002</v>
      </c>
      <c r="AH333">
        <v>3</v>
      </c>
      <c r="AI333">
        <v>-1</v>
      </c>
      <c r="AJ333" t="s">
        <v>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2">
      <c r="A334">
        <f>ROW(Source!A251)</f>
        <v>251</v>
      </c>
      <c r="B334">
        <v>71211593</v>
      </c>
      <c r="C334">
        <v>71211586</v>
      </c>
      <c r="D334">
        <v>67891052</v>
      </c>
      <c r="E334">
        <v>1</v>
      </c>
      <c r="F334">
        <v>1</v>
      </c>
      <c r="G334">
        <v>27</v>
      </c>
      <c r="H334">
        <v>2</v>
      </c>
      <c r="I334" t="s">
        <v>832</v>
      </c>
      <c r="J334" t="s">
        <v>833</v>
      </c>
      <c r="K334" t="s">
        <v>834</v>
      </c>
      <c r="L334">
        <v>1368</v>
      </c>
      <c r="N334">
        <v>1011</v>
      </c>
      <c r="O334" t="s">
        <v>571</v>
      </c>
      <c r="P334" t="s">
        <v>571</v>
      </c>
      <c r="Q334">
        <v>1</v>
      </c>
      <c r="X334">
        <v>0.65</v>
      </c>
      <c r="Y334">
        <v>0</v>
      </c>
      <c r="Z334">
        <v>1213.3399999999999</v>
      </c>
      <c r="AA334">
        <v>461.6</v>
      </c>
      <c r="AB334">
        <v>0</v>
      </c>
      <c r="AC334">
        <v>0</v>
      </c>
      <c r="AD334">
        <v>1</v>
      </c>
      <c r="AE334">
        <v>0</v>
      </c>
      <c r="AF334" t="s">
        <v>3</v>
      </c>
      <c r="AG334">
        <v>0.65</v>
      </c>
      <c r="AH334">
        <v>3</v>
      </c>
      <c r="AI334">
        <v>-1</v>
      </c>
      <c r="AJ334" t="s">
        <v>3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2">
      <c r="A335">
        <f>ROW(Source!A251)</f>
        <v>251</v>
      </c>
      <c r="B335">
        <v>71211594</v>
      </c>
      <c r="C335">
        <v>71211586</v>
      </c>
      <c r="D335">
        <v>67893040</v>
      </c>
      <c r="E335">
        <v>1</v>
      </c>
      <c r="F335">
        <v>1</v>
      </c>
      <c r="G335">
        <v>27</v>
      </c>
      <c r="H335">
        <v>3</v>
      </c>
      <c r="I335" t="s">
        <v>844</v>
      </c>
      <c r="J335" t="s">
        <v>845</v>
      </c>
      <c r="K335" t="s">
        <v>846</v>
      </c>
      <c r="L335">
        <v>1339</v>
      </c>
      <c r="N335">
        <v>1007</v>
      </c>
      <c r="O335" t="s">
        <v>236</v>
      </c>
      <c r="P335" t="s">
        <v>236</v>
      </c>
      <c r="Q335">
        <v>1</v>
      </c>
      <c r="X335">
        <v>126</v>
      </c>
      <c r="Y335">
        <v>1763.75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 t="s">
        <v>3</v>
      </c>
      <c r="AG335">
        <v>126</v>
      </c>
      <c r="AH335">
        <v>3</v>
      </c>
      <c r="AI335">
        <v>-1</v>
      </c>
      <c r="AJ335" t="s">
        <v>3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2">
      <c r="A336">
        <f>ROW(Source!A251)</f>
        <v>251</v>
      </c>
      <c r="B336">
        <v>71211595</v>
      </c>
      <c r="C336">
        <v>71211586</v>
      </c>
      <c r="D336">
        <v>67893760</v>
      </c>
      <c r="E336">
        <v>1</v>
      </c>
      <c r="F336">
        <v>1</v>
      </c>
      <c r="G336">
        <v>27</v>
      </c>
      <c r="H336">
        <v>3</v>
      </c>
      <c r="I336" t="s">
        <v>652</v>
      </c>
      <c r="J336" t="s">
        <v>653</v>
      </c>
      <c r="K336" t="s">
        <v>654</v>
      </c>
      <c r="L336">
        <v>1339</v>
      </c>
      <c r="N336">
        <v>1007</v>
      </c>
      <c r="O336" t="s">
        <v>236</v>
      </c>
      <c r="P336" t="s">
        <v>236</v>
      </c>
      <c r="Q336">
        <v>1</v>
      </c>
      <c r="X336">
        <v>7</v>
      </c>
      <c r="Y336">
        <v>35.25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 t="s">
        <v>3</v>
      </c>
      <c r="AG336">
        <v>7</v>
      </c>
      <c r="AH336">
        <v>3</v>
      </c>
      <c r="AI336">
        <v>-1</v>
      </c>
      <c r="AJ336" t="s">
        <v>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2">
      <c r="A337">
        <f>ROW(Source!A252)</f>
        <v>252</v>
      </c>
      <c r="B337">
        <v>71211604</v>
      </c>
      <c r="C337">
        <v>71211596</v>
      </c>
      <c r="D337">
        <v>67878646</v>
      </c>
      <c r="E337">
        <v>27</v>
      </c>
      <c r="F337">
        <v>1</v>
      </c>
      <c r="G337">
        <v>27</v>
      </c>
      <c r="H337">
        <v>1</v>
      </c>
      <c r="I337" t="s">
        <v>565</v>
      </c>
      <c r="J337" t="s">
        <v>3</v>
      </c>
      <c r="K337" t="s">
        <v>566</v>
      </c>
      <c r="L337">
        <v>1191</v>
      </c>
      <c r="N337">
        <v>1013</v>
      </c>
      <c r="O337" t="s">
        <v>567</v>
      </c>
      <c r="P337" t="s">
        <v>567</v>
      </c>
      <c r="Q337">
        <v>1</v>
      </c>
      <c r="X337">
        <v>134.08000000000001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1</v>
      </c>
      <c r="AF337" t="s">
        <v>3</v>
      </c>
      <c r="AG337">
        <v>134.08000000000001</v>
      </c>
      <c r="AH337">
        <v>2</v>
      </c>
      <c r="AI337">
        <v>71211597</v>
      </c>
      <c r="AJ337">
        <v>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2">
      <c r="A338">
        <f>ROW(Source!A252)</f>
        <v>252</v>
      </c>
      <c r="B338">
        <v>71211605</v>
      </c>
      <c r="C338">
        <v>71211596</v>
      </c>
      <c r="D338">
        <v>67891492</v>
      </c>
      <c r="E338">
        <v>1</v>
      </c>
      <c r="F338">
        <v>1</v>
      </c>
      <c r="G338">
        <v>27</v>
      </c>
      <c r="H338">
        <v>2</v>
      </c>
      <c r="I338" t="s">
        <v>598</v>
      </c>
      <c r="J338" t="s">
        <v>599</v>
      </c>
      <c r="K338" t="s">
        <v>600</v>
      </c>
      <c r="L338">
        <v>1368</v>
      </c>
      <c r="N338">
        <v>1011</v>
      </c>
      <c r="O338" t="s">
        <v>571</v>
      </c>
      <c r="P338" t="s">
        <v>571</v>
      </c>
      <c r="Q338">
        <v>1</v>
      </c>
      <c r="X338">
        <v>4.0999999999999996</v>
      </c>
      <c r="Y338">
        <v>0</v>
      </c>
      <c r="Z338">
        <v>94.06</v>
      </c>
      <c r="AA338">
        <v>4.3499999999999996</v>
      </c>
      <c r="AB338">
        <v>0</v>
      </c>
      <c r="AC338">
        <v>0</v>
      </c>
      <c r="AD338">
        <v>1</v>
      </c>
      <c r="AE338">
        <v>0</v>
      </c>
      <c r="AF338" t="s">
        <v>3</v>
      </c>
      <c r="AG338">
        <v>4.0999999999999996</v>
      </c>
      <c r="AH338">
        <v>2</v>
      </c>
      <c r="AI338">
        <v>71211598</v>
      </c>
      <c r="AJ338">
        <v>46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2">
      <c r="A339">
        <f>ROW(Source!A252)</f>
        <v>252</v>
      </c>
      <c r="B339">
        <v>71211606</v>
      </c>
      <c r="C339">
        <v>71211596</v>
      </c>
      <c r="D339">
        <v>67891707</v>
      </c>
      <c r="E339">
        <v>1</v>
      </c>
      <c r="F339">
        <v>1</v>
      </c>
      <c r="G339">
        <v>27</v>
      </c>
      <c r="H339">
        <v>2</v>
      </c>
      <c r="I339" t="s">
        <v>601</v>
      </c>
      <c r="J339" t="s">
        <v>602</v>
      </c>
      <c r="K339" t="s">
        <v>603</v>
      </c>
      <c r="L339">
        <v>1368</v>
      </c>
      <c r="N339">
        <v>1011</v>
      </c>
      <c r="O339" t="s">
        <v>571</v>
      </c>
      <c r="P339" t="s">
        <v>571</v>
      </c>
      <c r="Q339">
        <v>1</v>
      </c>
      <c r="X339">
        <v>2.1800000000000002</v>
      </c>
      <c r="Y339">
        <v>0</v>
      </c>
      <c r="Z339">
        <v>4.16</v>
      </c>
      <c r="AA339">
        <v>0.01</v>
      </c>
      <c r="AB339">
        <v>0</v>
      </c>
      <c r="AC339">
        <v>0</v>
      </c>
      <c r="AD339">
        <v>1</v>
      </c>
      <c r="AE339">
        <v>0</v>
      </c>
      <c r="AF339" t="s">
        <v>3</v>
      </c>
      <c r="AG339">
        <v>2.1800000000000002</v>
      </c>
      <c r="AH339">
        <v>2</v>
      </c>
      <c r="AI339">
        <v>71211599</v>
      </c>
      <c r="AJ339">
        <v>47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2">
      <c r="A340">
        <f>ROW(Source!A252)</f>
        <v>252</v>
      </c>
      <c r="B340">
        <v>71211607</v>
      </c>
      <c r="C340">
        <v>71211596</v>
      </c>
      <c r="D340">
        <v>67893015</v>
      </c>
      <c r="E340">
        <v>1</v>
      </c>
      <c r="F340">
        <v>1</v>
      </c>
      <c r="G340">
        <v>27</v>
      </c>
      <c r="H340">
        <v>3</v>
      </c>
      <c r="I340" t="s">
        <v>604</v>
      </c>
      <c r="J340" t="s">
        <v>605</v>
      </c>
      <c r="K340" t="s">
        <v>606</v>
      </c>
      <c r="L340">
        <v>1339</v>
      </c>
      <c r="N340">
        <v>1007</v>
      </c>
      <c r="O340" t="s">
        <v>236</v>
      </c>
      <c r="P340" t="s">
        <v>236</v>
      </c>
      <c r="Q340">
        <v>1</v>
      </c>
      <c r="X340">
        <v>0.21</v>
      </c>
      <c r="Y340">
        <v>590.78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 t="s">
        <v>3</v>
      </c>
      <c r="AG340">
        <v>0.21</v>
      </c>
      <c r="AH340">
        <v>2</v>
      </c>
      <c r="AI340">
        <v>71211600</v>
      </c>
      <c r="AJ340">
        <v>48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2">
      <c r="A341">
        <f>ROW(Source!A252)</f>
        <v>252</v>
      </c>
      <c r="B341">
        <v>71211608</v>
      </c>
      <c r="C341">
        <v>71211596</v>
      </c>
      <c r="D341">
        <v>67894837</v>
      </c>
      <c r="E341">
        <v>1</v>
      </c>
      <c r="F341">
        <v>1</v>
      </c>
      <c r="G341">
        <v>27</v>
      </c>
      <c r="H341">
        <v>3</v>
      </c>
      <c r="I341" t="s">
        <v>607</v>
      </c>
      <c r="J341" t="s">
        <v>608</v>
      </c>
      <c r="K341" t="s">
        <v>609</v>
      </c>
      <c r="L341">
        <v>1348</v>
      </c>
      <c r="N341">
        <v>1009</v>
      </c>
      <c r="O341" t="s">
        <v>35</v>
      </c>
      <c r="P341" t="s">
        <v>35</v>
      </c>
      <c r="Q341">
        <v>1000</v>
      </c>
      <c r="X341">
        <v>8.5299999999999994</v>
      </c>
      <c r="Y341">
        <v>3886.85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 t="s">
        <v>3</v>
      </c>
      <c r="AG341">
        <v>8.5299999999999994</v>
      </c>
      <c r="AH341">
        <v>2</v>
      </c>
      <c r="AI341">
        <v>71211601</v>
      </c>
      <c r="AJ341">
        <v>49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2">
      <c r="A342">
        <f>ROW(Source!A252)</f>
        <v>252</v>
      </c>
      <c r="B342">
        <v>71211609</v>
      </c>
      <c r="C342">
        <v>71211596</v>
      </c>
      <c r="D342">
        <v>67895993</v>
      </c>
      <c r="E342">
        <v>1</v>
      </c>
      <c r="F342">
        <v>1</v>
      </c>
      <c r="G342">
        <v>27</v>
      </c>
      <c r="H342">
        <v>3</v>
      </c>
      <c r="I342" t="s">
        <v>610</v>
      </c>
      <c r="J342" t="s">
        <v>611</v>
      </c>
      <c r="K342" t="s">
        <v>612</v>
      </c>
      <c r="L342">
        <v>1354</v>
      </c>
      <c r="N342">
        <v>1010</v>
      </c>
      <c r="O342" t="s">
        <v>232</v>
      </c>
      <c r="P342" t="s">
        <v>232</v>
      </c>
      <c r="Q342">
        <v>1</v>
      </c>
      <c r="X342">
        <v>1.5</v>
      </c>
      <c r="Y342">
        <v>5215.0200000000004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 t="s">
        <v>3</v>
      </c>
      <c r="AG342">
        <v>1.5</v>
      </c>
      <c r="AH342">
        <v>2</v>
      </c>
      <c r="AI342">
        <v>71211603</v>
      </c>
      <c r="AJ342">
        <v>51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2">
      <c r="A343">
        <f>ROW(Source!A252)</f>
        <v>252</v>
      </c>
      <c r="B343">
        <v>71211610</v>
      </c>
      <c r="C343">
        <v>71211596</v>
      </c>
      <c r="D343">
        <v>67879346</v>
      </c>
      <c r="E343">
        <v>27</v>
      </c>
      <c r="F343">
        <v>1</v>
      </c>
      <c r="G343">
        <v>27</v>
      </c>
      <c r="H343">
        <v>3</v>
      </c>
      <c r="I343" t="s">
        <v>868</v>
      </c>
      <c r="J343" t="s">
        <v>3</v>
      </c>
      <c r="K343" t="s">
        <v>869</v>
      </c>
      <c r="L343">
        <v>1327</v>
      </c>
      <c r="N343">
        <v>1005</v>
      </c>
      <c r="O343" t="s">
        <v>18</v>
      </c>
      <c r="P343" t="s">
        <v>18</v>
      </c>
      <c r="Q343">
        <v>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t="s">
        <v>3</v>
      </c>
      <c r="AG343">
        <v>0</v>
      </c>
      <c r="AH343">
        <v>3</v>
      </c>
      <c r="AI343">
        <v>-1</v>
      </c>
      <c r="AJ343" t="s">
        <v>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2">
      <c r="A344">
        <f>ROW(Source!A289)</f>
        <v>289</v>
      </c>
      <c r="B344">
        <v>71211613</v>
      </c>
      <c r="C344">
        <v>71211612</v>
      </c>
      <c r="D344">
        <v>67878646</v>
      </c>
      <c r="E344">
        <v>27</v>
      </c>
      <c r="F344">
        <v>1</v>
      </c>
      <c r="G344">
        <v>27</v>
      </c>
      <c r="H344">
        <v>1</v>
      </c>
      <c r="I344" t="s">
        <v>565</v>
      </c>
      <c r="J344" t="s">
        <v>3</v>
      </c>
      <c r="K344" t="s">
        <v>566</v>
      </c>
      <c r="L344">
        <v>1191</v>
      </c>
      <c r="N344">
        <v>1013</v>
      </c>
      <c r="O344" t="s">
        <v>567</v>
      </c>
      <c r="P344" t="s">
        <v>567</v>
      </c>
      <c r="Q344">
        <v>1</v>
      </c>
      <c r="X344">
        <v>16.559999999999999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1</v>
      </c>
      <c r="AF344" t="s">
        <v>3</v>
      </c>
      <c r="AG344">
        <v>16.559999999999999</v>
      </c>
      <c r="AH344">
        <v>3</v>
      </c>
      <c r="AI344">
        <v>-1</v>
      </c>
      <c r="AJ344" t="s">
        <v>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2">
      <c r="A345">
        <f>ROW(Source!A289)</f>
        <v>289</v>
      </c>
      <c r="B345">
        <v>71211614</v>
      </c>
      <c r="C345">
        <v>71211612</v>
      </c>
      <c r="D345">
        <v>67890904</v>
      </c>
      <c r="E345">
        <v>1</v>
      </c>
      <c r="F345">
        <v>1</v>
      </c>
      <c r="G345">
        <v>27</v>
      </c>
      <c r="H345">
        <v>2</v>
      </c>
      <c r="I345" t="s">
        <v>685</v>
      </c>
      <c r="J345" t="s">
        <v>686</v>
      </c>
      <c r="K345" t="s">
        <v>687</v>
      </c>
      <c r="L345">
        <v>1368</v>
      </c>
      <c r="N345">
        <v>1011</v>
      </c>
      <c r="O345" t="s">
        <v>571</v>
      </c>
      <c r="P345" t="s">
        <v>571</v>
      </c>
      <c r="Q345">
        <v>1</v>
      </c>
      <c r="X345">
        <v>2.08</v>
      </c>
      <c r="Y345">
        <v>0</v>
      </c>
      <c r="Z345">
        <v>740.94</v>
      </c>
      <c r="AA345">
        <v>413.22</v>
      </c>
      <c r="AB345">
        <v>0</v>
      </c>
      <c r="AC345">
        <v>0</v>
      </c>
      <c r="AD345">
        <v>1</v>
      </c>
      <c r="AE345">
        <v>0</v>
      </c>
      <c r="AF345" t="s">
        <v>3</v>
      </c>
      <c r="AG345">
        <v>2.08</v>
      </c>
      <c r="AH345">
        <v>3</v>
      </c>
      <c r="AI345">
        <v>-1</v>
      </c>
      <c r="AJ345" t="s">
        <v>3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2">
      <c r="A346">
        <f>ROW(Source!A289)</f>
        <v>289</v>
      </c>
      <c r="B346">
        <v>71211615</v>
      </c>
      <c r="C346">
        <v>71211612</v>
      </c>
      <c r="D346">
        <v>67891059</v>
      </c>
      <c r="E346">
        <v>1</v>
      </c>
      <c r="F346">
        <v>1</v>
      </c>
      <c r="G346">
        <v>27</v>
      </c>
      <c r="H346">
        <v>2</v>
      </c>
      <c r="I346" t="s">
        <v>829</v>
      </c>
      <c r="J346" t="s">
        <v>830</v>
      </c>
      <c r="K346" t="s">
        <v>831</v>
      </c>
      <c r="L346">
        <v>1368</v>
      </c>
      <c r="N346">
        <v>1011</v>
      </c>
      <c r="O346" t="s">
        <v>571</v>
      </c>
      <c r="P346" t="s">
        <v>571</v>
      </c>
      <c r="Q346">
        <v>1</v>
      </c>
      <c r="X346">
        <v>2.08</v>
      </c>
      <c r="Y346">
        <v>0</v>
      </c>
      <c r="Z346">
        <v>430.32</v>
      </c>
      <c r="AA346">
        <v>215.31</v>
      </c>
      <c r="AB346">
        <v>0</v>
      </c>
      <c r="AC346">
        <v>0</v>
      </c>
      <c r="AD346">
        <v>1</v>
      </c>
      <c r="AE346">
        <v>0</v>
      </c>
      <c r="AF346" t="s">
        <v>3</v>
      </c>
      <c r="AG346">
        <v>2.08</v>
      </c>
      <c r="AH346">
        <v>3</v>
      </c>
      <c r="AI346">
        <v>-1</v>
      </c>
      <c r="AJ346" t="s">
        <v>3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">
      <c r="A347">
        <f>ROW(Source!A289)</f>
        <v>289</v>
      </c>
      <c r="B347">
        <v>71211616</v>
      </c>
      <c r="C347">
        <v>71211612</v>
      </c>
      <c r="D347">
        <v>67891062</v>
      </c>
      <c r="E347">
        <v>1</v>
      </c>
      <c r="F347">
        <v>1</v>
      </c>
      <c r="G347">
        <v>27</v>
      </c>
      <c r="H347">
        <v>2</v>
      </c>
      <c r="I347" t="s">
        <v>649</v>
      </c>
      <c r="J347" t="s">
        <v>650</v>
      </c>
      <c r="K347" t="s">
        <v>651</v>
      </c>
      <c r="L347">
        <v>1368</v>
      </c>
      <c r="N347">
        <v>1011</v>
      </c>
      <c r="O347" t="s">
        <v>571</v>
      </c>
      <c r="P347" t="s">
        <v>571</v>
      </c>
      <c r="Q347">
        <v>1</v>
      </c>
      <c r="X347">
        <v>0.81</v>
      </c>
      <c r="Y347">
        <v>0</v>
      </c>
      <c r="Z347">
        <v>2020.59</v>
      </c>
      <c r="AA347">
        <v>458.56</v>
      </c>
      <c r="AB347">
        <v>0</v>
      </c>
      <c r="AC347">
        <v>0</v>
      </c>
      <c r="AD347">
        <v>1</v>
      </c>
      <c r="AE347">
        <v>0</v>
      </c>
      <c r="AF347" t="s">
        <v>3</v>
      </c>
      <c r="AG347">
        <v>0.81</v>
      </c>
      <c r="AH347">
        <v>3</v>
      </c>
      <c r="AI347">
        <v>-1</v>
      </c>
      <c r="AJ347" t="s">
        <v>3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">
      <c r="A348">
        <f>ROW(Source!A289)</f>
        <v>289</v>
      </c>
      <c r="B348">
        <v>71211617</v>
      </c>
      <c r="C348">
        <v>71211612</v>
      </c>
      <c r="D348">
        <v>67891086</v>
      </c>
      <c r="E348">
        <v>1</v>
      </c>
      <c r="F348">
        <v>1</v>
      </c>
      <c r="G348">
        <v>27</v>
      </c>
      <c r="H348">
        <v>2</v>
      </c>
      <c r="I348" t="s">
        <v>688</v>
      </c>
      <c r="J348" t="s">
        <v>689</v>
      </c>
      <c r="K348" t="s">
        <v>690</v>
      </c>
      <c r="L348">
        <v>1368</v>
      </c>
      <c r="N348">
        <v>1011</v>
      </c>
      <c r="O348" t="s">
        <v>571</v>
      </c>
      <c r="P348" t="s">
        <v>571</v>
      </c>
      <c r="Q348">
        <v>1</v>
      </c>
      <c r="X348">
        <v>1.94</v>
      </c>
      <c r="Y348">
        <v>0</v>
      </c>
      <c r="Z348">
        <v>1412.71</v>
      </c>
      <c r="AA348">
        <v>641.32000000000005</v>
      </c>
      <c r="AB348">
        <v>0</v>
      </c>
      <c r="AC348">
        <v>0</v>
      </c>
      <c r="AD348">
        <v>1</v>
      </c>
      <c r="AE348">
        <v>0</v>
      </c>
      <c r="AF348" t="s">
        <v>3</v>
      </c>
      <c r="AG348">
        <v>1.94</v>
      </c>
      <c r="AH348">
        <v>3</v>
      </c>
      <c r="AI348">
        <v>-1</v>
      </c>
      <c r="AJ348" t="s">
        <v>3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2">
      <c r="A349">
        <f>ROW(Source!A289)</f>
        <v>289</v>
      </c>
      <c r="B349">
        <v>71211618</v>
      </c>
      <c r="C349">
        <v>71211612</v>
      </c>
      <c r="D349">
        <v>67891052</v>
      </c>
      <c r="E349">
        <v>1</v>
      </c>
      <c r="F349">
        <v>1</v>
      </c>
      <c r="G349">
        <v>27</v>
      </c>
      <c r="H349">
        <v>2</v>
      </c>
      <c r="I349" t="s">
        <v>832</v>
      </c>
      <c r="J349" t="s">
        <v>833</v>
      </c>
      <c r="K349" t="s">
        <v>834</v>
      </c>
      <c r="L349">
        <v>1368</v>
      </c>
      <c r="N349">
        <v>1011</v>
      </c>
      <c r="O349" t="s">
        <v>571</v>
      </c>
      <c r="P349" t="s">
        <v>571</v>
      </c>
      <c r="Q349">
        <v>1</v>
      </c>
      <c r="X349">
        <v>0.65</v>
      </c>
      <c r="Y349">
        <v>0</v>
      </c>
      <c r="Z349">
        <v>1213.3399999999999</v>
      </c>
      <c r="AA349">
        <v>461.6</v>
      </c>
      <c r="AB349">
        <v>0</v>
      </c>
      <c r="AC349">
        <v>0</v>
      </c>
      <c r="AD349">
        <v>1</v>
      </c>
      <c r="AE349">
        <v>0</v>
      </c>
      <c r="AF349" t="s">
        <v>3</v>
      </c>
      <c r="AG349">
        <v>0.65</v>
      </c>
      <c r="AH349">
        <v>3</v>
      </c>
      <c r="AI349">
        <v>-1</v>
      </c>
      <c r="AJ349" t="s">
        <v>3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2">
      <c r="A350">
        <f>ROW(Source!A289)</f>
        <v>289</v>
      </c>
      <c r="B350">
        <v>71211619</v>
      </c>
      <c r="C350">
        <v>71211612</v>
      </c>
      <c r="D350">
        <v>67893014</v>
      </c>
      <c r="E350">
        <v>1</v>
      </c>
      <c r="F350">
        <v>1</v>
      </c>
      <c r="G350">
        <v>27</v>
      </c>
      <c r="H350">
        <v>3</v>
      </c>
      <c r="I350" t="s">
        <v>835</v>
      </c>
      <c r="J350" t="s">
        <v>836</v>
      </c>
      <c r="K350" t="s">
        <v>837</v>
      </c>
      <c r="L350">
        <v>1339</v>
      </c>
      <c r="N350">
        <v>1007</v>
      </c>
      <c r="O350" t="s">
        <v>236</v>
      </c>
      <c r="P350" t="s">
        <v>236</v>
      </c>
      <c r="Q350">
        <v>1</v>
      </c>
      <c r="X350">
        <v>110</v>
      </c>
      <c r="Y350">
        <v>590.78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 t="s">
        <v>3</v>
      </c>
      <c r="AG350">
        <v>110</v>
      </c>
      <c r="AH350">
        <v>3</v>
      </c>
      <c r="AI350">
        <v>-1</v>
      </c>
      <c r="AJ350" t="s">
        <v>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2">
      <c r="A351">
        <f>ROW(Source!A289)</f>
        <v>289</v>
      </c>
      <c r="B351">
        <v>71211620</v>
      </c>
      <c r="C351">
        <v>71211612</v>
      </c>
      <c r="D351">
        <v>67893760</v>
      </c>
      <c r="E351">
        <v>1</v>
      </c>
      <c r="F351">
        <v>1</v>
      </c>
      <c r="G351">
        <v>27</v>
      </c>
      <c r="H351">
        <v>3</v>
      </c>
      <c r="I351" t="s">
        <v>652</v>
      </c>
      <c r="J351" t="s">
        <v>653</v>
      </c>
      <c r="K351" t="s">
        <v>654</v>
      </c>
      <c r="L351">
        <v>1339</v>
      </c>
      <c r="N351">
        <v>1007</v>
      </c>
      <c r="O351" t="s">
        <v>236</v>
      </c>
      <c r="P351" t="s">
        <v>236</v>
      </c>
      <c r="Q351">
        <v>1</v>
      </c>
      <c r="X351">
        <v>5</v>
      </c>
      <c r="Y351">
        <v>35.25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 t="s">
        <v>3</v>
      </c>
      <c r="AG351">
        <v>5</v>
      </c>
      <c r="AH351">
        <v>3</v>
      </c>
      <c r="AI351">
        <v>-1</v>
      </c>
      <c r="AJ351" t="s">
        <v>3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">
      <c r="A352">
        <f>ROW(Source!A290)</f>
        <v>290</v>
      </c>
      <c r="B352">
        <v>71211622</v>
      </c>
      <c r="C352">
        <v>71211621</v>
      </c>
      <c r="D352">
        <v>67878646</v>
      </c>
      <c r="E352">
        <v>27</v>
      </c>
      <c r="F352">
        <v>1</v>
      </c>
      <c r="G352">
        <v>27</v>
      </c>
      <c r="H352">
        <v>1</v>
      </c>
      <c r="I352" t="s">
        <v>565</v>
      </c>
      <c r="J352" t="s">
        <v>3</v>
      </c>
      <c r="K352" t="s">
        <v>566</v>
      </c>
      <c r="L352">
        <v>1191</v>
      </c>
      <c r="N352">
        <v>1013</v>
      </c>
      <c r="O352" t="s">
        <v>567</v>
      </c>
      <c r="P352" t="s">
        <v>567</v>
      </c>
      <c r="Q352">
        <v>1</v>
      </c>
      <c r="X352">
        <v>24.84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1</v>
      </c>
      <c r="AF352" t="s">
        <v>3</v>
      </c>
      <c r="AG352">
        <v>24.84</v>
      </c>
      <c r="AH352">
        <v>3</v>
      </c>
      <c r="AI352">
        <v>-1</v>
      </c>
      <c r="AJ352" t="s">
        <v>3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2">
      <c r="A353">
        <f>ROW(Source!A290)</f>
        <v>290</v>
      </c>
      <c r="B353">
        <v>71211623</v>
      </c>
      <c r="C353">
        <v>71211621</v>
      </c>
      <c r="D353">
        <v>67890881</v>
      </c>
      <c r="E353">
        <v>1</v>
      </c>
      <c r="F353">
        <v>1</v>
      </c>
      <c r="G353">
        <v>27</v>
      </c>
      <c r="H353">
        <v>2</v>
      </c>
      <c r="I353" t="s">
        <v>776</v>
      </c>
      <c r="J353" t="s">
        <v>777</v>
      </c>
      <c r="K353" t="s">
        <v>778</v>
      </c>
      <c r="L353">
        <v>1368</v>
      </c>
      <c r="N353">
        <v>1011</v>
      </c>
      <c r="O353" t="s">
        <v>571</v>
      </c>
      <c r="P353" t="s">
        <v>571</v>
      </c>
      <c r="Q353">
        <v>1</v>
      </c>
      <c r="X353">
        <v>2.94</v>
      </c>
      <c r="Y353">
        <v>0</v>
      </c>
      <c r="Z353">
        <v>956.79</v>
      </c>
      <c r="AA353">
        <v>359.44</v>
      </c>
      <c r="AB353">
        <v>0</v>
      </c>
      <c r="AC353">
        <v>0</v>
      </c>
      <c r="AD353">
        <v>1</v>
      </c>
      <c r="AE353">
        <v>0</v>
      </c>
      <c r="AF353" t="s">
        <v>3</v>
      </c>
      <c r="AG353">
        <v>2.94</v>
      </c>
      <c r="AH353">
        <v>3</v>
      </c>
      <c r="AI353">
        <v>-1</v>
      </c>
      <c r="AJ353" t="s">
        <v>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2">
      <c r="A354">
        <f>ROW(Source!A290)</f>
        <v>290</v>
      </c>
      <c r="B354">
        <v>71211624</v>
      </c>
      <c r="C354">
        <v>71211621</v>
      </c>
      <c r="D354">
        <v>67891062</v>
      </c>
      <c r="E354">
        <v>1</v>
      </c>
      <c r="F354">
        <v>1</v>
      </c>
      <c r="G354">
        <v>27</v>
      </c>
      <c r="H354">
        <v>2</v>
      </c>
      <c r="I354" t="s">
        <v>649</v>
      </c>
      <c r="J354" t="s">
        <v>650</v>
      </c>
      <c r="K354" t="s">
        <v>651</v>
      </c>
      <c r="L354">
        <v>1368</v>
      </c>
      <c r="N354">
        <v>1011</v>
      </c>
      <c r="O354" t="s">
        <v>571</v>
      </c>
      <c r="P354" t="s">
        <v>571</v>
      </c>
      <c r="Q354">
        <v>1</v>
      </c>
      <c r="X354">
        <v>1.1399999999999999</v>
      </c>
      <c r="Y354">
        <v>0</v>
      </c>
      <c r="Z354">
        <v>2020.59</v>
      </c>
      <c r="AA354">
        <v>458.56</v>
      </c>
      <c r="AB354">
        <v>0</v>
      </c>
      <c r="AC354">
        <v>0</v>
      </c>
      <c r="AD354">
        <v>1</v>
      </c>
      <c r="AE354">
        <v>0</v>
      </c>
      <c r="AF354" t="s">
        <v>3</v>
      </c>
      <c r="AG354">
        <v>1.1399999999999999</v>
      </c>
      <c r="AH354">
        <v>3</v>
      </c>
      <c r="AI354">
        <v>-1</v>
      </c>
      <c r="AJ354" t="s">
        <v>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2">
      <c r="A355">
        <f>ROW(Source!A290)</f>
        <v>290</v>
      </c>
      <c r="B355">
        <v>71211625</v>
      </c>
      <c r="C355">
        <v>71211621</v>
      </c>
      <c r="D355">
        <v>67891047</v>
      </c>
      <c r="E355">
        <v>1</v>
      </c>
      <c r="F355">
        <v>1</v>
      </c>
      <c r="G355">
        <v>27</v>
      </c>
      <c r="H355">
        <v>2</v>
      </c>
      <c r="I355" t="s">
        <v>838</v>
      </c>
      <c r="J355" t="s">
        <v>839</v>
      </c>
      <c r="K355" t="s">
        <v>840</v>
      </c>
      <c r="L355">
        <v>1368</v>
      </c>
      <c r="N355">
        <v>1011</v>
      </c>
      <c r="O355" t="s">
        <v>571</v>
      </c>
      <c r="P355" t="s">
        <v>571</v>
      </c>
      <c r="Q355">
        <v>1</v>
      </c>
      <c r="X355">
        <v>8.9600000000000009</v>
      </c>
      <c r="Y355">
        <v>0</v>
      </c>
      <c r="Z355">
        <v>1261.8699999999999</v>
      </c>
      <c r="AA355">
        <v>530.02</v>
      </c>
      <c r="AB355">
        <v>0</v>
      </c>
      <c r="AC355">
        <v>0</v>
      </c>
      <c r="AD355">
        <v>1</v>
      </c>
      <c r="AE355">
        <v>0</v>
      </c>
      <c r="AF355" t="s">
        <v>3</v>
      </c>
      <c r="AG355">
        <v>8.9600000000000009</v>
      </c>
      <c r="AH355">
        <v>3</v>
      </c>
      <c r="AI355">
        <v>-1</v>
      </c>
      <c r="AJ355" t="s">
        <v>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2">
      <c r="A356">
        <f>ROW(Source!A290)</f>
        <v>290</v>
      </c>
      <c r="B356">
        <v>71211626</v>
      </c>
      <c r="C356">
        <v>71211621</v>
      </c>
      <c r="D356">
        <v>67891048</v>
      </c>
      <c r="E356">
        <v>1</v>
      </c>
      <c r="F356">
        <v>1</v>
      </c>
      <c r="G356">
        <v>27</v>
      </c>
      <c r="H356">
        <v>2</v>
      </c>
      <c r="I356" t="s">
        <v>841</v>
      </c>
      <c r="J356" t="s">
        <v>842</v>
      </c>
      <c r="K356" t="s">
        <v>843</v>
      </c>
      <c r="L356">
        <v>1368</v>
      </c>
      <c r="N356">
        <v>1011</v>
      </c>
      <c r="O356" t="s">
        <v>571</v>
      </c>
      <c r="P356" t="s">
        <v>571</v>
      </c>
      <c r="Q356">
        <v>1</v>
      </c>
      <c r="X356">
        <v>18.25</v>
      </c>
      <c r="Y356">
        <v>0</v>
      </c>
      <c r="Z356">
        <v>1827.95</v>
      </c>
      <c r="AA356">
        <v>720.55</v>
      </c>
      <c r="AB356">
        <v>0</v>
      </c>
      <c r="AC356">
        <v>0</v>
      </c>
      <c r="AD356">
        <v>1</v>
      </c>
      <c r="AE356">
        <v>0</v>
      </c>
      <c r="AF356" t="s">
        <v>3</v>
      </c>
      <c r="AG356">
        <v>18.25</v>
      </c>
      <c r="AH356">
        <v>3</v>
      </c>
      <c r="AI356">
        <v>-1</v>
      </c>
      <c r="AJ356" t="s">
        <v>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2">
      <c r="A357">
        <f>ROW(Source!A290)</f>
        <v>290</v>
      </c>
      <c r="B357">
        <v>71211627</v>
      </c>
      <c r="C357">
        <v>71211621</v>
      </c>
      <c r="D357">
        <v>67891086</v>
      </c>
      <c r="E357">
        <v>1</v>
      </c>
      <c r="F357">
        <v>1</v>
      </c>
      <c r="G357">
        <v>27</v>
      </c>
      <c r="H357">
        <v>2</v>
      </c>
      <c r="I357" t="s">
        <v>688</v>
      </c>
      <c r="J357" t="s">
        <v>689</v>
      </c>
      <c r="K357" t="s">
        <v>690</v>
      </c>
      <c r="L357">
        <v>1368</v>
      </c>
      <c r="N357">
        <v>1011</v>
      </c>
      <c r="O357" t="s">
        <v>571</v>
      </c>
      <c r="P357" t="s">
        <v>571</v>
      </c>
      <c r="Q357">
        <v>1</v>
      </c>
      <c r="X357">
        <v>2.2400000000000002</v>
      </c>
      <c r="Y357">
        <v>0</v>
      </c>
      <c r="Z357">
        <v>1412.71</v>
      </c>
      <c r="AA357">
        <v>641.32000000000005</v>
      </c>
      <c r="AB357">
        <v>0</v>
      </c>
      <c r="AC357">
        <v>0</v>
      </c>
      <c r="AD357">
        <v>1</v>
      </c>
      <c r="AE357">
        <v>0</v>
      </c>
      <c r="AF357" t="s">
        <v>3</v>
      </c>
      <c r="AG357">
        <v>2.2400000000000002</v>
      </c>
      <c r="AH357">
        <v>3</v>
      </c>
      <c r="AI357">
        <v>-1</v>
      </c>
      <c r="AJ357" t="s">
        <v>3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2">
      <c r="A358">
        <f>ROW(Source!A290)</f>
        <v>290</v>
      </c>
      <c r="B358">
        <v>71211628</v>
      </c>
      <c r="C358">
        <v>71211621</v>
      </c>
      <c r="D358">
        <v>67891052</v>
      </c>
      <c r="E358">
        <v>1</v>
      </c>
      <c r="F358">
        <v>1</v>
      </c>
      <c r="G358">
        <v>27</v>
      </c>
      <c r="H358">
        <v>2</v>
      </c>
      <c r="I358" t="s">
        <v>832</v>
      </c>
      <c r="J358" t="s">
        <v>833</v>
      </c>
      <c r="K358" t="s">
        <v>834</v>
      </c>
      <c r="L358">
        <v>1368</v>
      </c>
      <c r="N358">
        <v>1011</v>
      </c>
      <c r="O358" t="s">
        <v>571</v>
      </c>
      <c r="P358" t="s">
        <v>571</v>
      </c>
      <c r="Q358">
        <v>1</v>
      </c>
      <c r="X358">
        <v>0.65</v>
      </c>
      <c r="Y358">
        <v>0</v>
      </c>
      <c r="Z358">
        <v>1213.3399999999999</v>
      </c>
      <c r="AA358">
        <v>461.6</v>
      </c>
      <c r="AB358">
        <v>0</v>
      </c>
      <c r="AC358">
        <v>0</v>
      </c>
      <c r="AD358">
        <v>1</v>
      </c>
      <c r="AE358">
        <v>0</v>
      </c>
      <c r="AF358" t="s">
        <v>3</v>
      </c>
      <c r="AG358">
        <v>0.65</v>
      </c>
      <c r="AH358">
        <v>3</v>
      </c>
      <c r="AI358">
        <v>-1</v>
      </c>
      <c r="AJ358" t="s">
        <v>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">
      <c r="A359">
        <f>ROW(Source!A290)</f>
        <v>290</v>
      </c>
      <c r="B359">
        <v>71211629</v>
      </c>
      <c r="C359">
        <v>71211621</v>
      </c>
      <c r="D359">
        <v>67893040</v>
      </c>
      <c r="E359">
        <v>1</v>
      </c>
      <c r="F359">
        <v>1</v>
      </c>
      <c r="G359">
        <v>27</v>
      </c>
      <c r="H359">
        <v>3</v>
      </c>
      <c r="I359" t="s">
        <v>844</v>
      </c>
      <c r="J359" t="s">
        <v>845</v>
      </c>
      <c r="K359" t="s">
        <v>846</v>
      </c>
      <c r="L359">
        <v>1339</v>
      </c>
      <c r="N359">
        <v>1007</v>
      </c>
      <c r="O359" t="s">
        <v>236</v>
      </c>
      <c r="P359" t="s">
        <v>236</v>
      </c>
      <c r="Q359">
        <v>1</v>
      </c>
      <c r="X359">
        <v>126</v>
      </c>
      <c r="Y359">
        <v>1763.75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 t="s">
        <v>3</v>
      </c>
      <c r="AG359">
        <v>126</v>
      </c>
      <c r="AH359">
        <v>3</v>
      </c>
      <c r="AI359">
        <v>-1</v>
      </c>
      <c r="AJ359" t="s">
        <v>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2">
      <c r="A360">
        <f>ROW(Source!A290)</f>
        <v>290</v>
      </c>
      <c r="B360">
        <v>71211630</v>
      </c>
      <c r="C360">
        <v>71211621</v>
      </c>
      <c r="D360">
        <v>67893760</v>
      </c>
      <c r="E360">
        <v>1</v>
      </c>
      <c r="F360">
        <v>1</v>
      </c>
      <c r="G360">
        <v>27</v>
      </c>
      <c r="H360">
        <v>3</v>
      </c>
      <c r="I360" t="s">
        <v>652</v>
      </c>
      <c r="J360" t="s">
        <v>653</v>
      </c>
      <c r="K360" t="s">
        <v>654</v>
      </c>
      <c r="L360">
        <v>1339</v>
      </c>
      <c r="N360">
        <v>1007</v>
      </c>
      <c r="O360" t="s">
        <v>236</v>
      </c>
      <c r="P360" t="s">
        <v>236</v>
      </c>
      <c r="Q360">
        <v>1</v>
      </c>
      <c r="X360">
        <v>7</v>
      </c>
      <c r="Y360">
        <v>35.25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 t="s">
        <v>3</v>
      </c>
      <c r="AG360">
        <v>7</v>
      </c>
      <c r="AH360">
        <v>3</v>
      </c>
      <c r="AI360">
        <v>-1</v>
      </c>
      <c r="AJ360" t="s">
        <v>3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2">
      <c r="A361">
        <f>ROW(Source!A291)</f>
        <v>291</v>
      </c>
      <c r="B361">
        <v>71211639</v>
      </c>
      <c r="C361">
        <v>71211631</v>
      </c>
      <c r="D361">
        <v>67878646</v>
      </c>
      <c r="E361">
        <v>27</v>
      </c>
      <c r="F361">
        <v>1</v>
      </c>
      <c r="G361">
        <v>27</v>
      </c>
      <c r="H361">
        <v>1</v>
      </c>
      <c r="I361" t="s">
        <v>565</v>
      </c>
      <c r="J361" t="s">
        <v>3</v>
      </c>
      <c r="K361" t="s">
        <v>566</v>
      </c>
      <c r="L361">
        <v>1191</v>
      </c>
      <c r="N361">
        <v>1013</v>
      </c>
      <c r="O361" t="s">
        <v>567</v>
      </c>
      <c r="P361" t="s">
        <v>567</v>
      </c>
      <c r="Q361">
        <v>1</v>
      </c>
      <c r="X361">
        <v>134.08000000000001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1</v>
      </c>
      <c r="AF361" t="s">
        <v>3</v>
      </c>
      <c r="AG361">
        <v>134.08000000000001</v>
      </c>
      <c r="AH361">
        <v>2</v>
      </c>
      <c r="AI361">
        <v>71211632</v>
      </c>
      <c r="AJ361">
        <v>52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2">
      <c r="A362">
        <f>ROW(Source!A291)</f>
        <v>291</v>
      </c>
      <c r="B362">
        <v>71211640</v>
      </c>
      <c r="C362">
        <v>71211631</v>
      </c>
      <c r="D362">
        <v>67891492</v>
      </c>
      <c r="E362">
        <v>1</v>
      </c>
      <c r="F362">
        <v>1</v>
      </c>
      <c r="G362">
        <v>27</v>
      </c>
      <c r="H362">
        <v>2</v>
      </c>
      <c r="I362" t="s">
        <v>598</v>
      </c>
      <c r="J362" t="s">
        <v>599</v>
      </c>
      <c r="K362" t="s">
        <v>600</v>
      </c>
      <c r="L362">
        <v>1368</v>
      </c>
      <c r="N362">
        <v>1011</v>
      </c>
      <c r="O362" t="s">
        <v>571</v>
      </c>
      <c r="P362" t="s">
        <v>571</v>
      </c>
      <c r="Q362">
        <v>1</v>
      </c>
      <c r="X362">
        <v>4.0999999999999996</v>
      </c>
      <c r="Y362">
        <v>0</v>
      </c>
      <c r="Z362">
        <v>94.06</v>
      </c>
      <c r="AA362">
        <v>4.3499999999999996</v>
      </c>
      <c r="AB362">
        <v>0</v>
      </c>
      <c r="AC362">
        <v>0</v>
      </c>
      <c r="AD362">
        <v>1</v>
      </c>
      <c r="AE362">
        <v>0</v>
      </c>
      <c r="AF362" t="s">
        <v>3</v>
      </c>
      <c r="AG362">
        <v>4.0999999999999996</v>
      </c>
      <c r="AH362">
        <v>2</v>
      </c>
      <c r="AI362">
        <v>71211633</v>
      </c>
      <c r="AJ362">
        <v>53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2">
      <c r="A363">
        <f>ROW(Source!A291)</f>
        <v>291</v>
      </c>
      <c r="B363">
        <v>71211641</v>
      </c>
      <c r="C363">
        <v>71211631</v>
      </c>
      <c r="D363">
        <v>67891707</v>
      </c>
      <c r="E363">
        <v>1</v>
      </c>
      <c r="F363">
        <v>1</v>
      </c>
      <c r="G363">
        <v>27</v>
      </c>
      <c r="H363">
        <v>2</v>
      </c>
      <c r="I363" t="s">
        <v>601</v>
      </c>
      <c r="J363" t="s">
        <v>602</v>
      </c>
      <c r="K363" t="s">
        <v>603</v>
      </c>
      <c r="L363">
        <v>1368</v>
      </c>
      <c r="N363">
        <v>1011</v>
      </c>
      <c r="O363" t="s">
        <v>571</v>
      </c>
      <c r="P363" t="s">
        <v>571</v>
      </c>
      <c r="Q363">
        <v>1</v>
      </c>
      <c r="X363">
        <v>2.1800000000000002</v>
      </c>
      <c r="Y363">
        <v>0</v>
      </c>
      <c r="Z363">
        <v>4.16</v>
      </c>
      <c r="AA363">
        <v>0.01</v>
      </c>
      <c r="AB363">
        <v>0</v>
      </c>
      <c r="AC363">
        <v>0</v>
      </c>
      <c r="AD363">
        <v>1</v>
      </c>
      <c r="AE363">
        <v>0</v>
      </c>
      <c r="AF363" t="s">
        <v>3</v>
      </c>
      <c r="AG363">
        <v>2.1800000000000002</v>
      </c>
      <c r="AH363">
        <v>2</v>
      </c>
      <c r="AI363">
        <v>71211634</v>
      </c>
      <c r="AJ363">
        <v>54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2">
      <c r="A364">
        <f>ROW(Source!A291)</f>
        <v>291</v>
      </c>
      <c r="B364">
        <v>71211642</v>
      </c>
      <c r="C364">
        <v>71211631</v>
      </c>
      <c r="D364">
        <v>67893015</v>
      </c>
      <c r="E364">
        <v>1</v>
      </c>
      <c r="F364">
        <v>1</v>
      </c>
      <c r="G364">
        <v>27</v>
      </c>
      <c r="H364">
        <v>3</v>
      </c>
      <c r="I364" t="s">
        <v>604</v>
      </c>
      <c r="J364" t="s">
        <v>605</v>
      </c>
      <c r="K364" t="s">
        <v>606</v>
      </c>
      <c r="L364">
        <v>1339</v>
      </c>
      <c r="N364">
        <v>1007</v>
      </c>
      <c r="O364" t="s">
        <v>236</v>
      </c>
      <c r="P364" t="s">
        <v>236</v>
      </c>
      <c r="Q364">
        <v>1</v>
      </c>
      <c r="X364">
        <v>0.21</v>
      </c>
      <c r="Y364">
        <v>590.78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 t="s">
        <v>3</v>
      </c>
      <c r="AG364">
        <v>0.21</v>
      </c>
      <c r="AH364">
        <v>2</v>
      </c>
      <c r="AI364">
        <v>71211635</v>
      </c>
      <c r="AJ364">
        <v>55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</row>
    <row r="365" spans="1:44" x14ac:dyDescent="0.2">
      <c r="A365">
        <f>ROW(Source!A291)</f>
        <v>291</v>
      </c>
      <c r="B365">
        <v>71211643</v>
      </c>
      <c r="C365">
        <v>71211631</v>
      </c>
      <c r="D365">
        <v>67894837</v>
      </c>
      <c r="E365">
        <v>1</v>
      </c>
      <c r="F365">
        <v>1</v>
      </c>
      <c r="G365">
        <v>27</v>
      </c>
      <c r="H365">
        <v>3</v>
      </c>
      <c r="I365" t="s">
        <v>607</v>
      </c>
      <c r="J365" t="s">
        <v>608</v>
      </c>
      <c r="K365" t="s">
        <v>609</v>
      </c>
      <c r="L365">
        <v>1348</v>
      </c>
      <c r="N365">
        <v>1009</v>
      </c>
      <c r="O365" t="s">
        <v>35</v>
      </c>
      <c r="P365" t="s">
        <v>35</v>
      </c>
      <c r="Q365">
        <v>1000</v>
      </c>
      <c r="X365">
        <v>8.5299999999999994</v>
      </c>
      <c r="Y365">
        <v>3886.85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 t="s">
        <v>3</v>
      </c>
      <c r="AG365">
        <v>8.5299999999999994</v>
      </c>
      <c r="AH365">
        <v>2</v>
      </c>
      <c r="AI365">
        <v>71211636</v>
      </c>
      <c r="AJ365">
        <v>56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2">
      <c r="A366">
        <f>ROW(Source!A291)</f>
        <v>291</v>
      </c>
      <c r="B366">
        <v>71211644</v>
      </c>
      <c r="C366">
        <v>71211631</v>
      </c>
      <c r="D366">
        <v>67895993</v>
      </c>
      <c r="E366">
        <v>1</v>
      </c>
      <c r="F366">
        <v>1</v>
      </c>
      <c r="G366">
        <v>27</v>
      </c>
      <c r="H366">
        <v>3</v>
      </c>
      <c r="I366" t="s">
        <v>610</v>
      </c>
      <c r="J366" t="s">
        <v>611</v>
      </c>
      <c r="K366" t="s">
        <v>612</v>
      </c>
      <c r="L366">
        <v>1354</v>
      </c>
      <c r="N366">
        <v>1010</v>
      </c>
      <c r="O366" t="s">
        <v>232</v>
      </c>
      <c r="P366" t="s">
        <v>232</v>
      </c>
      <c r="Q366">
        <v>1</v>
      </c>
      <c r="X366">
        <v>1.5</v>
      </c>
      <c r="Y366">
        <v>5215.0200000000004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 t="s">
        <v>3</v>
      </c>
      <c r="AG366">
        <v>1.5</v>
      </c>
      <c r="AH366">
        <v>2</v>
      </c>
      <c r="AI366">
        <v>71211638</v>
      </c>
      <c r="AJ366">
        <v>58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2">
      <c r="A367">
        <f>ROW(Source!A291)</f>
        <v>291</v>
      </c>
      <c r="B367">
        <v>71211645</v>
      </c>
      <c r="C367">
        <v>71211631</v>
      </c>
      <c r="D367">
        <v>67879346</v>
      </c>
      <c r="E367">
        <v>27</v>
      </c>
      <c r="F367">
        <v>1</v>
      </c>
      <c r="G367">
        <v>27</v>
      </c>
      <c r="H367">
        <v>3</v>
      </c>
      <c r="I367" t="s">
        <v>868</v>
      </c>
      <c r="J367" t="s">
        <v>3</v>
      </c>
      <c r="K367" t="s">
        <v>869</v>
      </c>
      <c r="L367">
        <v>1327</v>
      </c>
      <c r="N367">
        <v>1005</v>
      </c>
      <c r="O367" t="s">
        <v>18</v>
      </c>
      <c r="P367" t="s">
        <v>18</v>
      </c>
      <c r="Q367">
        <v>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t="s">
        <v>3</v>
      </c>
      <c r="AG367">
        <v>0</v>
      </c>
      <c r="AH367">
        <v>3</v>
      </c>
      <c r="AI367">
        <v>-1</v>
      </c>
      <c r="AJ367" t="s">
        <v>3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2">
      <c r="A368">
        <f>ROW(Source!A293)</f>
        <v>293</v>
      </c>
      <c r="B368">
        <v>71211649</v>
      </c>
      <c r="C368">
        <v>71211647</v>
      </c>
      <c r="D368">
        <v>67878646</v>
      </c>
      <c r="E368">
        <v>27</v>
      </c>
      <c r="F368">
        <v>1</v>
      </c>
      <c r="G368">
        <v>27</v>
      </c>
      <c r="H368">
        <v>1</v>
      </c>
      <c r="I368" t="s">
        <v>565</v>
      </c>
      <c r="J368" t="s">
        <v>3</v>
      </c>
      <c r="K368" t="s">
        <v>566</v>
      </c>
      <c r="L368">
        <v>1191</v>
      </c>
      <c r="N368">
        <v>1013</v>
      </c>
      <c r="O368" t="s">
        <v>567</v>
      </c>
      <c r="P368" t="s">
        <v>567</v>
      </c>
      <c r="Q368">
        <v>1</v>
      </c>
      <c r="X368">
        <v>52.67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 t="s">
        <v>3</v>
      </c>
      <c r="AG368">
        <v>52.67</v>
      </c>
      <c r="AH368">
        <v>3</v>
      </c>
      <c r="AI368">
        <v>-1</v>
      </c>
      <c r="AJ368" t="s">
        <v>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2">
      <c r="A369">
        <f>ROW(Source!A293)</f>
        <v>293</v>
      </c>
      <c r="B369">
        <v>71211650</v>
      </c>
      <c r="C369">
        <v>71211647</v>
      </c>
      <c r="D369">
        <v>67891492</v>
      </c>
      <c r="E369">
        <v>1</v>
      </c>
      <c r="F369">
        <v>1</v>
      </c>
      <c r="G369">
        <v>27</v>
      </c>
      <c r="H369">
        <v>2</v>
      </c>
      <c r="I369" t="s">
        <v>598</v>
      </c>
      <c r="J369" t="s">
        <v>599</v>
      </c>
      <c r="K369" t="s">
        <v>600</v>
      </c>
      <c r="L369">
        <v>1368</v>
      </c>
      <c r="N369">
        <v>1011</v>
      </c>
      <c r="O369" t="s">
        <v>571</v>
      </c>
      <c r="P369" t="s">
        <v>571</v>
      </c>
      <c r="Q369">
        <v>1</v>
      </c>
      <c r="X369">
        <v>7.02</v>
      </c>
      <c r="Y369">
        <v>0</v>
      </c>
      <c r="Z369">
        <v>94.06</v>
      </c>
      <c r="AA369">
        <v>4.3499999999999996</v>
      </c>
      <c r="AB369">
        <v>0</v>
      </c>
      <c r="AC369">
        <v>0</v>
      </c>
      <c r="AD369">
        <v>1</v>
      </c>
      <c r="AE369">
        <v>0</v>
      </c>
      <c r="AF369" t="s">
        <v>3</v>
      </c>
      <c r="AG369">
        <v>7.02</v>
      </c>
      <c r="AH369">
        <v>3</v>
      </c>
      <c r="AI369">
        <v>-1</v>
      </c>
      <c r="AJ369" t="s">
        <v>3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2">
      <c r="A370">
        <f>ROW(Source!A293)</f>
        <v>293</v>
      </c>
      <c r="B370">
        <v>71211651</v>
      </c>
      <c r="C370">
        <v>71211647</v>
      </c>
      <c r="D370">
        <v>67894801</v>
      </c>
      <c r="E370">
        <v>1</v>
      </c>
      <c r="F370">
        <v>1</v>
      </c>
      <c r="G370">
        <v>27</v>
      </c>
      <c r="H370">
        <v>3</v>
      </c>
      <c r="I370" t="s">
        <v>870</v>
      </c>
      <c r="J370" t="s">
        <v>871</v>
      </c>
      <c r="K370" t="s">
        <v>872</v>
      </c>
      <c r="L370">
        <v>1339</v>
      </c>
      <c r="N370">
        <v>1007</v>
      </c>
      <c r="O370" t="s">
        <v>236</v>
      </c>
      <c r="P370" t="s">
        <v>236</v>
      </c>
      <c r="Q370">
        <v>1</v>
      </c>
      <c r="X370">
        <v>0.05</v>
      </c>
      <c r="Y370">
        <v>3658.9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 t="s">
        <v>3</v>
      </c>
      <c r="AG370">
        <v>0.05</v>
      </c>
      <c r="AH370">
        <v>3</v>
      </c>
      <c r="AI370">
        <v>-1</v>
      </c>
      <c r="AJ370" t="s">
        <v>3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2">
      <c r="A371">
        <f>ROW(Source!A293)</f>
        <v>293</v>
      </c>
      <c r="B371">
        <v>71211652</v>
      </c>
      <c r="C371">
        <v>71211647</v>
      </c>
      <c r="D371">
        <v>67895604</v>
      </c>
      <c r="E371">
        <v>1</v>
      </c>
      <c r="F371">
        <v>1</v>
      </c>
      <c r="G371">
        <v>27</v>
      </c>
      <c r="H371">
        <v>3</v>
      </c>
      <c r="I371" t="s">
        <v>873</v>
      </c>
      <c r="J371" t="s">
        <v>874</v>
      </c>
      <c r="K371" t="s">
        <v>875</v>
      </c>
      <c r="L371">
        <v>1327</v>
      </c>
      <c r="N371">
        <v>1005</v>
      </c>
      <c r="O371" t="s">
        <v>18</v>
      </c>
      <c r="P371" t="s">
        <v>18</v>
      </c>
      <c r="Q371">
        <v>1</v>
      </c>
      <c r="X371">
        <v>100</v>
      </c>
      <c r="Y371">
        <v>911.93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  <c r="AF371" t="s">
        <v>3</v>
      </c>
      <c r="AG371">
        <v>100</v>
      </c>
      <c r="AH371">
        <v>3</v>
      </c>
      <c r="AI371">
        <v>-1</v>
      </c>
      <c r="AJ371" t="s">
        <v>3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2">
      <c r="A372">
        <f>ROW(Source!A295)</f>
        <v>295</v>
      </c>
      <c r="B372">
        <v>71211659</v>
      </c>
      <c r="C372">
        <v>71211654</v>
      </c>
      <c r="D372">
        <v>67878646</v>
      </c>
      <c r="E372">
        <v>27</v>
      </c>
      <c r="F372">
        <v>1</v>
      </c>
      <c r="G372">
        <v>27</v>
      </c>
      <c r="H372">
        <v>1</v>
      </c>
      <c r="I372" t="s">
        <v>565</v>
      </c>
      <c r="J372" t="s">
        <v>3</v>
      </c>
      <c r="K372" t="s">
        <v>566</v>
      </c>
      <c r="L372">
        <v>1191</v>
      </c>
      <c r="N372">
        <v>1013</v>
      </c>
      <c r="O372" t="s">
        <v>567</v>
      </c>
      <c r="P372" t="s">
        <v>567</v>
      </c>
      <c r="Q372">
        <v>1</v>
      </c>
      <c r="X372">
        <v>80.27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1</v>
      </c>
      <c r="AF372" t="s">
        <v>3</v>
      </c>
      <c r="AG372">
        <v>80.27</v>
      </c>
      <c r="AH372">
        <v>2</v>
      </c>
      <c r="AI372">
        <v>71211655</v>
      </c>
      <c r="AJ372">
        <v>60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</row>
    <row r="373" spans="1:44" x14ac:dyDescent="0.2">
      <c r="A373">
        <f>ROW(Source!A295)</f>
        <v>295</v>
      </c>
      <c r="B373">
        <v>71211660</v>
      </c>
      <c r="C373">
        <v>71211654</v>
      </c>
      <c r="D373">
        <v>67894729</v>
      </c>
      <c r="E373">
        <v>1</v>
      </c>
      <c r="F373">
        <v>1</v>
      </c>
      <c r="G373">
        <v>27</v>
      </c>
      <c r="H373">
        <v>3</v>
      </c>
      <c r="I373" t="s">
        <v>613</v>
      </c>
      <c r="J373" t="s">
        <v>614</v>
      </c>
      <c r="K373" t="s">
        <v>615</v>
      </c>
      <c r="L373">
        <v>1339</v>
      </c>
      <c r="N373">
        <v>1007</v>
      </c>
      <c r="O373" t="s">
        <v>236</v>
      </c>
      <c r="P373" t="s">
        <v>236</v>
      </c>
      <c r="Q373">
        <v>1</v>
      </c>
      <c r="X373">
        <v>5.9</v>
      </c>
      <c r="Y373">
        <v>3714.73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 t="s">
        <v>3</v>
      </c>
      <c r="AG373">
        <v>5.9</v>
      </c>
      <c r="AH373">
        <v>2</v>
      </c>
      <c r="AI373">
        <v>71211656</v>
      </c>
      <c r="AJ373">
        <v>61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2">
      <c r="A374">
        <f>ROW(Source!A295)</f>
        <v>295</v>
      </c>
      <c r="B374">
        <v>71211661</v>
      </c>
      <c r="C374">
        <v>71211654</v>
      </c>
      <c r="D374">
        <v>67894805</v>
      </c>
      <c r="E374">
        <v>1</v>
      </c>
      <c r="F374">
        <v>1</v>
      </c>
      <c r="G374">
        <v>27</v>
      </c>
      <c r="H374">
        <v>3</v>
      </c>
      <c r="I374" t="s">
        <v>616</v>
      </c>
      <c r="J374" t="s">
        <v>617</v>
      </c>
      <c r="K374" t="s">
        <v>618</v>
      </c>
      <c r="L374">
        <v>1339</v>
      </c>
      <c r="N374">
        <v>1007</v>
      </c>
      <c r="O374" t="s">
        <v>236</v>
      </c>
      <c r="P374" t="s">
        <v>236</v>
      </c>
      <c r="Q374">
        <v>1</v>
      </c>
      <c r="X374">
        <v>0.06</v>
      </c>
      <c r="Y374">
        <v>3392.59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 t="s">
        <v>3</v>
      </c>
      <c r="AG374">
        <v>0.06</v>
      </c>
      <c r="AH374">
        <v>2</v>
      </c>
      <c r="AI374">
        <v>71211657</v>
      </c>
      <c r="AJ374">
        <v>62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2">
      <c r="A375">
        <f>ROW(Source!A295)</f>
        <v>295</v>
      </c>
      <c r="B375">
        <v>71211662</v>
      </c>
      <c r="C375">
        <v>71211654</v>
      </c>
      <c r="D375">
        <v>67895543</v>
      </c>
      <c r="E375">
        <v>1</v>
      </c>
      <c r="F375">
        <v>1</v>
      </c>
      <c r="G375">
        <v>27</v>
      </c>
      <c r="H375">
        <v>3</v>
      </c>
      <c r="I375" t="s">
        <v>339</v>
      </c>
      <c r="J375" t="s">
        <v>341</v>
      </c>
      <c r="K375" t="s">
        <v>340</v>
      </c>
      <c r="L375">
        <v>1339</v>
      </c>
      <c r="N375">
        <v>1007</v>
      </c>
      <c r="O375" t="s">
        <v>236</v>
      </c>
      <c r="P375" t="s">
        <v>236</v>
      </c>
      <c r="Q375">
        <v>1</v>
      </c>
      <c r="X375">
        <v>4.3</v>
      </c>
      <c r="Y375">
        <v>7833.01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 t="s">
        <v>3</v>
      </c>
      <c r="AG375">
        <v>4.3</v>
      </c>
      <c r="AH375">
        <v>2</v>
      </c>
      <c r="AI375">
        <v>71211658</v>
      </c>
      <c r="AJ375">
        <v>63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</row>
    <row r="376" spans="1:44" x14ac:dyDescent="0.2">
      <c r="A376">
        <f>ROW(Source!A296)</f>
        <v>296</v>
      </c>
      <c r="B376">
        <v>71211664</v>
      </c>
      <c r="C376">
        <v>71211663</v>
      </c>
      <c r="D376">
        <v>67878646</v>
      </c>
      <c r="E376">
        <v>27</v>
      </c>
      <c r="F376">
        <v>1</v>
      </c>
      <c r="G376">
        <v>27</v>
      </c>
      <c r="H376">
        <v>1</v>
      </c>
      <c r="I376" t="s">
        <v>565</v>
      </c>
      <c r="J376" t="s">
        <v>3</v>
      </c>
      <c r="K376" t="s">
        <v>566</v>
      </c>
      <c r="L376">
        <v>1191</v>
      </c>
      <c r="N376">
        <v>1013</v>
      </c>
      <c r="O376" t="s">
        <v>567</v>
      </c>
      <c r="P376" t="s">
        <v>567</v>
      </c>
      <c r="Q376">
        <v>1</v>
      </c>
      <c r="X376">
        <v>72.959999999999994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1</v>
      </c>
      <c r="AF376" t="s">
        <v>3</v>
      </c>
      <c r="AG376">
        <v>72.959999999999994</v>
      </c>
      <c r="AH376">
        <v>3</v>
      </c>
      <c r="AI376">
        <v>-1</v>
      </c>
      <c r="AJ376" t="s">
        <v>3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2">
      <c r="A377">
        <f>ROW(Source!A296)</f>
        <v>296</v>
      </c>
      <c r="B377">
        <v>71211665</v>
      </c>
      <c r="C377">
        <v>71211663</v>
      </c>
      <c r="D377">
        <v>67890976</v>
      </c>
      <c r="E377">
        <v>1</v>
      </c>
      <c r="F377">
        <v>1</v>
      </c>
      <c r="G377">
        <v>27</v>
      </c>
      <c r="H377">
        <v>2</v>
      </c>
      <c r="I377" t="s">
        <v>697</v>
      </c>
      <c r="J377" t="s">
        <v>698</v>
      </c>
      <c r="K377" t="s">
        <v>699</v>
      </c>
      <c r="L377">
        <v>1368</v>
      </c>
      <c r="N377">
        <v>1011</v>
      </c>
      <c r="O377" t="s">
        <v>571</v>
      </c>
      <c r="P377" t="s">
        <v>571</v>
      </c>
      <c r="Q377">
        <v>1</v>
      </c>
      <c r="X377">
        <v>0.28000000000000003</v>
      </c>
      <c r="Y377">
        <v>0</v>
      </c>
      <c r="Z377">
        <v>683.9</v>
      </c>
      <c r="AA377">
        <v>371.27</v>
      </c>
      <c r="AB377">
        <v>0</v>
      </c>
      <c r="AC377">
        <v>0</v>
      </c>
      <c r="AD377">
        <v>1</v>
      </c>
      <c r="AE377">
        <v>0</v>
      </c>
      <c r="AF377" t="s">
        <v>3</v>
      </c>
      <c r="AG377">
        <v>0.28000000000000003</v>
      </c>
      <c r="AH377">
        <v>3</v>
      </c>
      <c r="AI377">
        <v>-1</v>
      </c>
      <c r="AJ377" t="s">
        <v>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2">
      <c r="A378">
        <f>ROW(Source!A296)</f>
        <v>296</v>
      </c>
      <c r="B378">
        <v>71211666</v>
      </c>
      <c r="C378">
        <v>71211663</v>
      </c>
      <c r="D378">
        <v>67894729</v>
      </c>
      <c r="E378">
        <v>1</v>
      </c>
      <c r="F378">
        <v>1</v>
      </c>
      <c r="G378">
        <v>27</v>
      </c>
      <c r="H378">
        <v>3</v>
      </c>
      <c r="I378" t="s">
        <v>613</v>
      </c>
      <c r="J378" t="s">
        <v>614</v>
      </c>
      <c r="K378" t="s">
        <v>615</v>
      </c>
      <c r="L378">
        <v>1339</v>
      </c>
      <c r="N378">
        <v>1007</v>
      </c>
      <c r="O378" t="s">
        <v>236</v>
      </c>
      <c r="P378" t="s">
        <v>236</v>
      </c>
      <c r="Q378">
        <v>1</v>
      </c>
      <c r="X378">
        <v>4.8</v>
      </c>
      <c r="Y378">
        <v>3714.73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 t="s">
        <v>3</v>
      </c>
      <c r="AG378">
        <v>4.8</v>
      </c>
      <c r="AH378">
        <v>3</v>
      </c>
      <c r="AI378">
        <v>-1</v>
      </c>
      <c r="AJ378" t="s">
        <v>3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</row>
    <row r="379" spans="1:44" x14ac:dyDescent="0.2">
      <c r="A379">
        <f>ROW(Source!A296)</f>
        <v>296</v>
      </c>
      <c r="B379">
        <v>71211667</v>
      </c>
      <c r="C379">
        <v>71211663</v>
      </c>
      <c r="D379">
        <v>67894805</v>
      </c>
      <c r="E379">
        <v>1</v>
      </c>
      <c r="F379">
        <v>1</v>
      </c>
      <c r="G379">
        <v>27</v>
      </c>
      <c r="H379">
        <v>3</v>
      </c>
      <c r="I379" t="s">
        <v>616</v>
      </c>
      <c r="J379" t="s">
        <v>617</v>
      </c>
      <c r="K379" t="s">
        <v>618</v>
      </c>
      <c r="L379">
        <v>1339</v>
      </c>
      <c r="N379">
        <v>1007</v>
      </c>
      <c r="O379" t="s">
        <v>236</v>
      </c>
      <c r="P379" t="s">
        <v>236</v>
      </c>
      <c r="Q379">
        <v>1</v>
      </c>
      <c r="X379">
        <v>0.02</v>
      </c>
      <c r="Y379">
        <v>3392.59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 t="s">
        <v>3</v>
      </c>
      <c r="AG379">
        <v>0.02</v>
      </c>
      <c r="AH379">
        <v>3</v>
      </c>
      <c r="AI379">
        <v>-1</v>
      </c>
      <c r="AJ379" t="s">
        <v>3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2">
      <c r="A380">
        <f>ROW(Source!A296)</f>
        <v>296</v>
      </c>
      <c r="B380">
        <v>71211668</v>
      </c>
      <c r="C380">
        <v>71211663</v>
      </c>
      <c r="D380">
        <v>67895542</v>
      </c>
      <c r="E380">
        <v>1</v>
      </c>
      <c r="F380">
        <v>1</v>
      </c>
      <c r="G380">
        <v>27</v>
      </c>
      <c r="H380">
        <v>3</v>
      </c>
      <c r="I380" t="s">
        <v>876</v>
      </c>
      <c r="J380" t="s">
        <v>877</v>
      </c>
      <c r="K380" t="s">
        <v>878</v>
      </c>
      <c r="L380">
        <v>1339</v>
      </c>
      <c r="N380">
        <v>1007</v>
      </c>
      <c r="O380" t="s">
        <v>236</v>
      </c>
      <c r="P380" t="s">
        <v>236</v>
      </c>
      <c r="Q380">
        <v>1</v>
      </c>
      <c r="X380">
        <v>1.6</v>
      </c>
      <c r="Y380">
        <v>9014.9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 t="s">
        <v>3</v>
      </c>
      <c r="AG380">
        <v>1.6</v>
      </c>
      <c r="AH380">
        <v>3</v>
      </c>
      <c r="AI380">
        <v>-1</v>
      </c>
      <c r="AJ380" t="s">
        <v>3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2">
      <c r="A381">
        <f>ROW(Source!A332)</f>
        <v>332</v>
      </c>
      <c r="B381">
        <v>71211710</v>
      </c>
      <c r="C381">
        <v>71211669</v>
      </c>
      <c r="D381">
        <v>67878646</v>
      </c>
      <c r="E381">
        <v>27</v>
      </c>
      <c r="F381">
        <v>1</v>
      </c>
      <c r="G381">
        <v>27</v>
      </c>
      <c r="H381">
        <v>1</v>
      </c>
      <c r="I381" t="s">
        <v>565</v>
      </c>
      <c r="J381" t="s">
        <v>3</v>
      </c>
      <c r="K381" t="s">
        <v>566</v>
      </c>
      <c r="L381">
        <v>1191</v>
      </c>
      <c r="N381">
        <v>1013</v>
      </c>
      <c r="O381" t="s">
        <v>567</v>
      </c>
      <c r="P381" t="s">
        <v>567</v>
      </c>
      <c r="Q381">
        <v>1</v>
      </c>
      <c r="X381">
        <v>16.559999999999999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1</v>
      </c>
      <c r="AF381" t="s">
        <v>3</v>
      </c>
      <c r="AG381">
        <v>16.559999999999999</v>
      </c>
      <c r="AH381">
        <v>3</v>
      </c>
      <c r="AI381">
        <v>-1</v>
      </c>
      <c r="AJ381" t="s">
        <v>3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</row>
    <row r="382" spans="1:44" x14ac:dyDescent="0.2">
      <c r="A382">
        <f>ROW(Source!A332)</f>
        <v>332</v>
      </c>
      <c r="B382">
        <v>71211711</v>
      </c>
      <c r="C382">
        <v>71211669</v>
      </c>
      <c r="D382">
        <v>67890904</v>
      </c>
      <c r="E382">
        <v>1</v>
      </c>
      <c r="F382">
        <v>1</v>
      </c>
      <c r="G382">
        <v>27</v>
      </c>
      <c r="H382">
        <v>2</v>
      </c>
      <c r="I382" t="s">
        <v>685</v>
      </c>
      <c r="J382" t="s">
        <v>686</v>
      </c>
      <c r="K382" t="s">
        <v>687</v>
      </c>
      <c r="L382">
        <v>1368</v>
      </c>
      <c r="N382">
        <v>1011</v>
      </c>
      <c r="O382" t="s">
        <v>571</v>
      </c>
      <c r="P382" t="s">
        <v>571</v>
      </c>
      <c r="Q382">
        <v>1</v>
      </c>
      <c r="X382">
        <v>2.08</v>
      </c>
      <c r="Y382">
        <v>0</v>
      </c>
      <c r="Z382">
        <v>740.94</v>
      </c>
      <c r="AA382">
        <v>413.22</v>
      </c>
      <c r="AB382">
        <v>0</v>
      </c>
      <c r="AC382">
        <v>0</v>
      </c>
      <c r="AD382">
        <v>1</v>
      </c>
      <c r="AE382">
        <v>0</v>
      </c>
      <c r="AF382" t="s">
        <v>3</v>
      </c>
      <c r="AG382">
        <v>2.08</v>
      </c>
      <c r="AH382">
        <v>3</v>
      </c>
      <c r="AI382">
        <v>-1</v>
      </c>
      <c r="AJ382" t="s">
        <v>3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2">
      <c r="A383">
        <f>ROW(Source!A332)</f>
        <v>332</v>
      </c>
      <c r="B383">
        <v>71211712</v>
      </c>
      <c r="C383">
        <v>71211669</v>
      </c>
      <c r="D383">
        <v>67891059</v>
      </c>
      <c r="E383">
        <v>1</v>
      </c>
      <c r="F383">
        <v>1</v>
      </c>
      <c r="G383">
        <v>27</v>
      </c>
      <c r="H383">
        <v>2</v>
      </c>
      <c r="I383" t="s">
        <v>829</v>
      </c>
      <c r="J383" t="s">
        <v>830</v>
      </c>
      <c r="K383" t="s">
        <v>831</v>
      </c>
      <c r="L383">
        <v>1368</v>
      </c>
      <c r="N383">
        <v>1011</v>
      </c>
      <c r="O383" t="s">
        <v>571</v>
      </c>
      <c r="P383" t="s">
        <v>571</v>
      </c>
      <c r="Q383">
        <v>1</v>
      </c>
      <c r="X383">
        <v>2.08</v>
      </c>
      <c r="Y383">
        <v>0</v>
      </c>
      <c r="Z383">
        <v>430.32</v>
      </c>
      <c r="AA383">
        <v>215.31</v>
      </c>
      <c r="AB383">
        <v>0</v>
      </c>
      <c r="AC383">
        <v>0</v>
      </c>
      <c r="AD383">
        <v>1</v>
      </c>
      <c r="AE383">
        <v>0</v>
      </c>
      <c r="AF383" t="s">
        <v>3</v>
      </c>
      <c r="AG383">
        <v>2.08</v>
      </c>
      <c r="AH383">
        <v>3</v>
      </c>
      <c r="AI383">
        <v>-1</v>
      </c>
      <c r="AJ383" t="s">
        <v>3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2">
      <c r="A384">
        <f>ROW(Source!A332)</f>
        <v>332</v>
      </c>
      <c r="B384">
        <v>71211713</v>
      </c>
      <c r="C384">
        <v>71211669</v>
      </c>
      <c r="D384">
        <v>67891062</v>
      </c>
      <c r="E384">
        <v>1</v>
      </c>
      <c r="F384">
        <v>1</v>
      </c>
      <c r="G384">
        <v>27</v>
      </c>
      <c r="H384">
        <v>2</v>
      </c>
      <c r="I384" t="s">
        <v>649</v>
      </c>
      <c r="J384" t="s">
        <v>650</v>
      </c>
      <c r="K384" t="s">
        <v>651</v>
      </c>
      <c r="L384">
        <v>1368</v>
      </c>
      <c r="N384">
        <v>1011</v>
      </c>
      <c r="O384" t="s">
        <v>571</v>
      </c>
      <c r="P384" t="s">
        <v>571</v>
      </c>
      <c r="Q384">
        <v>1</v>
      </c>
      <c r="X384">
        <v>0.81</v>
      </c>
      <c r="Y384">
        <v>0</v>
      </c>
      <c r="Z384">
        <v>2020.59</v>
      </c>
      <c r="AA384">
        <v>458.56</v>
      </c>
      <c r="AB384">
        <v>0</v>
      </c>
      <c r="AC384">
        <v>0</v>
      </c>
      <c r="AD384">
        <v>1</v>
      </c>
      <c r="AE384">
        <v>0</v>
      </c>
      <c r="AF384" t="s">
        <v>3</v>
      </c>
      <c r="AG384">
        <v>0.81</v>
      </c>
      <c r="AH384">
        <v>3</v>
      </c>
      <c r="AI384">
        <v>-1</v>
      </c>
      <c r="AJ384" t="s">
        <v>3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2">
      <c r="A385">
        <f>ROW(Source!A332)</f>
        <v>332</v>
      </c>
      <c r="B385">
        <v>71211714</v>
      </c>
      <c r="C385">
        <v>71211669</v>
      </c>
      <c r="D385">
        <v>67891086</v>
      </c>
      <c r="E385">
        <v>1</v>
      </c>
      <c r="F385">
        <v>1</v>
      </c>
      <c r="G385">
        <v>27</v>
      </c>
      <c r="H385">
        <v>2</v>
      </c>
      <c r="I385" t="s">
        <v>688</v>
      </c>
      <c r="J385" t="s">
        <v>689</v>
      </c>
      <c r="K385" t="s">
        <v>690</v>
      </c>
      <c r="L385">
        <v>1368</v>
      </c>
      <c r="N385">
        <v>1011</v>
      </c>
      <c r="O385" t="s">
        <v>571</v>
      </c>
      <c r="P385" t="s">
        <v>571</v>
      </c>
      <c r="Q385">
        <v>1</v>
      </c>
      <c r="X385">
        <v>1.94</v>
      </c>
      <c r="Y385">
        <v>0</v>
      </c>
      <c r="Z385">
        <v>1412.71</v>
      </c>
      <c r="AA385">
        <v>641.32000000000005</v>
      </c>
      <c r="AB385">
        <v>0</v>
      </c>
      <c r="AC385">
        <v>0</v>
      </c>
      <c r="AD385">
        <v>1</v>
      </c>
      <c r="AE385">
        <v>0</v>
      </c>
      <c r="AF385" t="s">
        <v>3</v>
      </c>
      <c r="AG385">
        <v>1.94</v>
      </c>
      <c r="AH385">
        <v>3</v>
      </c>
      <c r="AI385">
        <v>-1</v>
      </c>
      <c r="AJ385" t="s">
        <v>3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</row>
    <row r="386" spans="1:44" x14ac:dyDescent="0.2">
      <c r="A386">
        <f>ROW(Source!A332)</f>
        <v>332</v>
      </c>
      <c r="B386">
        <v>71211715</v>
      </c>
      <c r="C386">
        <v>71211669</v>
      </c>
      <c r="D386">
        <v>67891052</v>
      </c>
      <c r="E386">
        <v>1</v>
      </c>
      <c r="F386">
        <v>1</v>
      </c>
      <c r="G386">
        <v>27</v>
      </c>
      <c r="H386">
        <v>2</v>
      </c>
      <c r="I386" t="s">
        <v>832</v>
      </c>
      <c r="J386" t="s">
        <v>833</v>
      </c>
      <c r="K386" t="s">
        <v>834</v>
      </c>
      <c r="L386">
        <v>1368</v>
      </c>
      <c r="N386">
        <v>1011</v>
      </c>
      <c r="O386" t="s">
        <v>571</v>
      </c>
      <c r="P386" t="s">
        <v>571</v>
      </c>
      <c r="Q386">
        <v>1</v>
      </c>
      <c r="X386">
        <v>0.65</v>
      </c>
      <c r="Y386">
        <v>0</v>
      </c>
      <c r="Z386">
        <v>1213.3399999999999</v>
      </c>
      <c r="AA386">
        <v>461.6</v>
      </c>
      <c r="AB386">
        <v>0</v>
      </c>
      <c r="AC386">
        <v>0</v>
      </c>
      <c r="AD386">
        <v>1</v>
      </c>
      <c r="AE386">
        <v>0</v>
      </c>
      <c r="AF386" t="s">
        <v>3</v>
      </c>
      <c r="AG386">
        <v>0.65</v>
      </c>
      <c r="AH386">
        <v>3</v>
      </c>
      <c r="AI386">
        <v>-1</v>
      </c>
      <c r="AJ386" t="s">
        <v>3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2">
      <c r="A387">
        <f>ROW(Source!A332)</f>
        <v>332</v>
      </c>
      <c r="B387">
        <v>71211716</v>
      </c>
      <c r="C387">
        <v>71211669</v>
      </c>
      <c r="D387">
        <v>67893014</v>
      </c>
      <c r="E387">
        <v>1</v>
      </c>
      <c r="F387">
        <v>1</v>
      </c>
      <c r="G387">
        <v>27</v>
      </c>
      <c r="H387">
        <v>3</v>
      </c>
      <c r="I387" t="s">
        <v>835</v>
      </c>
      <c r="J387" t="s">
        <v>836</v>
      </c>
      <c r="K387" t="s">
        <v>837</v>
      </c>
      <c r="L387">
        <v>1339</v>
      </c>
      <c r="N387">
        <v>1007</v>
      </c>
      <c r="O387" t="s">
        <v>236</v>
      </c>
      <c r="P387" t="s">
        <v>236</v>
      </c>
      <c r="Q387">
        <v>1</v>
      </c>
      <c r="X387">
        <v>110</v>
      </c>
      <c r="Y387">
        <v>590.78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 t="s">
        <v>3</v>
      </c>
      <c r="AG387">
        <v>110</v>
      </c>
      <c r="AH387">
        <v>3</v>
      </c>
      <c r="AI387">
        <v>-1</v>
      </c>
      <c r="AJ387" t="s">
        <v>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2">
      <c r="A388">
        <f>ROW(Source!A332)</f>
        <v>332</v>
      </c>
      <c r="B388">
        <v>71211717</v>
      </c>
      <c r="C388">
        <v>71211669</v>
      </c>
      <c r="D388">
        <v>67893760</v>
      </c>
      <c r="E388">
        <v>1</v>
      </c>
      <c r="F388">
        <v>1</v>
      </c>
      <c r="G388">
        <v>27</v>
      </c>
      <c r="H388">
        <v>3</v>
      </c>
      <c r="I388" t="s">
        <v>652</v>
      </c>
      <c r="J388" t="s">
        <v>653</v>
      </c>
      <c r="K388" t="s">
        <v>654</v>
      </c>
      <c r="L388">
        <v>1339</v>
      </c>
      <c r="N388">
        <v>1007</v>
      </c>
      <c r="O388" t="s">
        <v>236</v>
      </c>
      <c r="P388" t="s">
        <v>236</v>
      </c>
      <c r="Q388">
        <v>1</v>
      </c>
      <c r="X388">
        <v>5</v>
      </c>
      <c r="Y388">
        <v>35.25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 t="s">
        <v>3</v>
      </c>
      <c r="AG388">
        <v>5</v>
      </c>
      <c r="AH388">
        <v>3</v>
      </c>
      <c r="AI388">
        <v>-1</v>
      </c>
      <c r="AJ388" t="s">
        <v>3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2">
      <c r="A389">
        <f>ROW(Source!A333)</f>
        <v>333</v>
      </c>
      <c r="B389">
        <v>71211739</v>
      </c>
      <c r="C389">
        <v>71211718</v>
      </c>
      <c r="D389">
        <v>67878646</v>
      </c>
      <c r="E389">
        <v>27</v>
      </c>
      <c r="F389">
        <v>1</v>
      </c>
      <c r="G389">
        <v>27</v>
      </c>
      <c r="H389">
        <v>1</v>
      </c>
      <c r="I389" t="s">
        <v>565</v>
      </c>
      <c r="J389" t="s">
        <v>3</v>
      </c>
      <c r="K389" t="s">
        <v>566</v>
      </c>
      <c r="L389">
        <v>1191</v>
      </c>
      <c r="N389">
        <v>1013</v>
      </c>
      <c r="O389" t="s">
        <v>567</v>
      </c>
      <c r="P389" t="s">
        <v>567</v>
      </c>
      <c r="Q389">
        <v>1</v>
      </c>
      <c r="X389">
        <v>72.95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1</v>
      </c>
      <c r="AF389" t="s">
        <v>3</v>
      </c>
      <c r="AG389">
        <v>72.95</v>
      </c>
      <c r="AH389">
        <v>3</v>
      </c>
      <c r="AI389">
        <v>-1</v>
      </c>
      <c r="AJ389" t="s">
        <v>3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2">
      <c r="A390">
        <f>ROW(Source!A333)</f>
        <v>333</v>
      </c>
      <c r="B390">
        <v>71211740</v>
      </c>
      <c r="C390">
        <v>71211718</v>
      </c>
      <c r="D390">
        <v>67890976</v>
      </c>
      <c r="E390">
        <v>1</v>
      </c>
      <c r="F390">
        <v>1</v>
      </c>
      <c r="G390">
        <v>27</v>
      </c>
      <c r="H390">
        <v>2</v>
      </c>
      <c r="I390" t="s">
        <v>697</v>
      </c>
      <c r="J390" t="s">
        <v>698</v>
      </c>
      <c r="K390" t="s">
        <v>699</v>
      </c>
      <c r="L390">
        <v>1368</v>
      </c>
      <c r="N390">
        <v>1011</v>
      </c>
      <c r="O390" t="s">
        <v>571</v>
      </c>
      <c r="P390" t="s">
        <v>571</v>
      </c>
      <c r="Q390">
        <v>1</v>
      </c>
      <c r="X390">
        <v>0.26</v>
      </c>
      <c r="Y390">
        <v>0</v>
      </c>
      <c r="Z390">
        <v>683.9</v>
      </c>
      <c r="AA390">
        <v>371.27</v>
      </c>
      <c r="AB390">
        <v>0</v>
      </c>
      <c r="AC390">
        <v>0</v>
      </c>
      <c r="AD390">
        <v>1</v>
      </c>
      <c r="AE390">
        <v>0</v>
      </c>
      <c r="AF390" t="s">
        <v>3</v>
      </c>
      <c r="AG390">
        <v>0.26</v>
      </c>
      <c r="AH390">
        <v>3</v>
      </c>
      <c r="AI390">
        <v>-1</v>
      </c>
      <c r="AJ390" t="s">
        <v>3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2">
      <c r="A391">
        <f>ROW(Source!A333)</f>
        <v>333</v>
      </c>
      <c r="B391">
        <v>71211741</v>
      </c>
      <c r="C391">
        <v>71211718</v>
      </c>
      <c r="D391">
        <v>67894729</v>
      </c>
      <c r="E391">
        <v>1</v>
      </c>
      <c r="F391">
        <v>1</v>
      </c>
      <c r="G391">
        <v>27</v>
      </c>
      <c r="H391">
        <v>3</v>
      </c>
      <c r="I391" t="s">
        <v>613</v>
      </c>
      <c r="J391" t="s">
        <v>614</v>
      </c>
      <c r="K391" t="s">
        <v>615</v>
      </c>
      <c r="L391">
        <v>1339</v>
      </c>
      <c r="N391">
        <v>1007</v>
      </c>
      <c r="O391" t="s">
        <v>236</v>
      </c>
      <c r="P391" t="s">
        <v>236</v>
      </c>
      <c r="Q391">
        <v>1</v>
      </c>
      <c r="X391">
        <v>4.3</v>
      </c>
      <c r="Y391">
        <v>3714.73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 t="s">
        <v>3</v>
      </c>
      <c r="AG391">
        <v>4.3</v>
      </c>
      <c r="AH391">
        <v>3</v>
      </c>
      <c r="AI391">
        <v>-1</v>
      </c>
      <c r="AJ391" t="s">
        <v>3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2">
      <c r="A392">
        <f>ROW(Source!A333)</f>
        <v>333</v>
      </c>
      <c r="B392">
        <v>71211742</v>
      </c>
      <c r="C392">
        <v>71211718</v>
      </c>
      <c r="D392">
        <v>67894805</v>
      </c>
      <c r="E392">
        <v>1</v>
      </c>
      <c r="F392">
        <v>1</v>
      </c>
      <c r="G392">
        <v>27</v>
      </c>
      <c r="H392">
        <v>3</v>
      </c>
      <c r="I392" t="s">
        <v>616</v>
      </c>
      <c r="J392" t="s">
        <v>617</v>
      </c>
      <c r="K392" t="s">
        <v>618</v>
      </c>
      <c r="L392">
        <v>1339</v>
      </c>
      <c r="N392">
        <v>1007</v>
      </c>
      <c r="O392" t="s">
        <v>236</v>
      </c>
      <c r="P392" t="s">
        <v>236</v>
      </c>
      <c r="Q392">
        <v>1</v>
      </c>
      <c r="X392">
        <v>0.02</v>
      </c>
      <c r="Y392">
        <v>3392.59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 t="s">
        <v>3</v>
      </c>
      <c r="AG392">
        <v>0.02</v>
      </c>
      <c r="AH392">
        <v>3</v>
      </c>
      <c r="AI392">
        <v>-1</v>
      </c>
      <c r="AJ392" t="s">
        <v>3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</row>
    <row r="393" spans="1:44" x14ac:dyDescent="0.2">
      <c r="A393">
        <f>ROW(Source!A333)</f>
        <v>333</v>
      </c>
      <c r="B393">
        <v>71211743</v>
      </c>
      <c r="C393">
        <v>71211718</v>
      </c>
      <c r="D393">
        <v>67895542</v>
      </c>
      <c r="E393">
        <v>1</v>
      </c>
      <c r="F393">
        <v>1</v>
      </c>
      <c r="G393">
        <v>27</v>
      </c>
      <c r="H393">
        <v>3</v>
      </c>
      <c r="I393" t="s">
        <v>876</v>
      </c>
      <c r="J393" t="s">
        <v>877</v>
      </c>
      <c r="K393" t="s">
        <v>878</v>
      </c>
      <c r="L393">
        <v>1339</v>
      </c>
      <c r="N393">
        <v>1007</v>
      </c>
      <c r="O393" t="s">
        <v>236</v>
      </c>
      <c r="P393" t="s">
        <v>236</v>
      </c>
      <c r="Q393">
        <v>1</v>
      </c>
      <c r="X393">
        <v>1.6</v>
      </c>
      <c r="Y393">
        <v>9014.9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 t="s">
        <v>3</v>
      </c>
      <c r="AG393">
        <v>1.6</v>
      </c>
      <c r="AH393">
        <v>3</v>
      </c>
      <c r="AI393">
        <v>-1</v>
      </c>
      <c r="AJ393" t="s">
        <v>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2">
      <c r="A394">
        <f>ROW(Source!A334)</f>
        <v>334</v>
      </c>
      <c r="B394">
        <v>71211770</v>
      </c>
      <c r="C394">
        <v>71211744</v>
      </c>
      <c r="D394">
        <v>67878646</v>
      </c>
      <c r="E394">
        <v>27</v>
      </c>
      <c r="F394">
        <v>1</v>
      </c>
      <c r="G394">
        <v>27</v>
      </c>
      <c r="H394">
        <v>1</v>
      </c>
      <c r="I394" t="s">
        <v>565</v>
      </c>
      <c r="J394" t="s">
        <v>3</v>
      </c>
      <c r="K394" t="s">
        <v>566</v>
      </c>
      <c r="L394">
        <v>1191</v>
      </c>
      <c r="N394">
        <v>1013</v>
      </c>
      <c r="O394" t="s">
        <v>567</v>
      </c>
      <c r="P394" t="s">
        <v>567</v>
      </c>
      <c r="Q394">
        <v>1</v>
      </c>
      <c r="X394">
        <v>72.959999999999994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1</v>
      </c>
      <c r="AF394" t="s">
        <v>3</v>
      </c>
      <c r="AG394">
        <v>72.959999999999994</v>
      </c>
      <c r="AH394">
        <v>3</v>
      </c>
      <c r="AI394">
        <v>-1</v>
      </c>
      <c r="AJ394" t="s">
        <v>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2">
      <c r="A395">
        <f>ROW(Source!A334)</f>
        <v>334</v>
      </c>
      <c r="B395">
        <v>71211771</v>
      </c>
      <c r="C395">
        <v>71211744</v>
      </c>
      <c r="D395">
        <v>67890976</v>
      </c>
      <c r="E395">
        <v>1</v>
      </c>
      <c r="F395">
        <v>1</v>
      </c>
      <c r="G395">
        <v>27</v>
      </c>
      <c r="H395">
        <v>2</v>
      </c>
      <c r="I395" t="s">
        <v>697</v>
      </c>
      <c r="J395" t="s">
        <v>698</v>
      </c>
      <c r="K395" t="s">
        <v>699</v>
      </c>
      <c r="L395">
        <v>1368</v>
      </c>
      <c r="N395">
        <v>1011</v>
      </c>
      <c r="O395" t="s">
        <v>571</v>
      </c>
      <c r="P395" t="s">
        <v>571</v>
      </c>
      <c r="Q395">
        <v>1</v>
      </c>
      <c r="X395">
        <v>0.28000000000000003</v>
      </c>
      <c r="Y395">
        <v>0</v>
      </c>
      <c r="Z395">
        <v>683.9</v>
      </c>
      <c r="AA395">
        <v>371.27</v>
      </c>
      <c r="AB395">
        <v>0</v>
      </c>
      <c r="AC395">
        <v>0</v>
      </c>
      <c r="AD395">
        <v>1</v>
      </c>
      <c r="AE395">
        <v>0</v>
      </c>
      <c r="AF395" t="s">
        <v>3</v>
      </c>
      <c r="AG395">
        <v>0.28000000000000003</v>
      </c>
      <c r="AH395">
        <v>3</v>
      </c>
      <c r="AI395">
        <v>-1</v>
      </c>
      <c r="AJ395" t="s">
        <v>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2">
      <c r="A396">
        <f>ROW(Source!A334)</f>
        <v>334</v>
      </c>
      <c r="B396">
        <v>71211772</v>
      </c>
      <c r="C396">
        <v>71211744</v>
      </c>
      <c r="D396">
        <v>67894729</v>
      </c>
      <c r="E396">
        <v>1</v>
      </c>
      <c r="F396">
        <v>1</v>
      </c>
      <c r="G396">
        <v>27</v>
      </c>
      <c r="H396">
        <v>3</v>
      </c>
      <c r="I396" t="s">
        <v>613</v>
      </c>
      <c r="J396" t="s">
        <v>614</v>
      </c>
      <c r="K396" t="s">
        <v>615</v>
      </c>
      <c r="L396">
        <v>1339</v>
      </c>
      <c r="N396">
        <v>1007</v>
      </c>
      <c r="O396" t="s">
        <v>236</v>
      </c>
      <c r="P396" t="s">
        <v>236</v>
      </c>
      <c r="Q396">
        <v>1</v>
      </c>
      <c r="X396">
        <v>4.8</v>
      </c>
      <c r="Y396">
        <v>3714.73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 t="s">
        <v>3</v>
      </c>
      <c r="AG396">
        <v>4.8</v>
      </c>
      <c r="AH396">
        <v>3</v>
      </c>
      <c r="AI396">
        <v>-1</v>
      </c>
      <c r="AJ396" t="s">
        <v>3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2">
      <c r="A397">
        <f>ROW(Source!A334)</f>
        <v>334</v>
      </c>
      <c r="B397">
        <v>71211773</v>
      </c>
      <c r="C397">
        <v>71211744</v>
      </c>
      <c r="D397">
        <v>67894805</v>
      </c>
      <c r="E397">
        <v>1</v>
      </c>
      <c r="F397">
        <v>1</v>
      </c>
      <c r="G397">
        <v>27</v>
      </c>
      <c r="H397">
        <v>3</v>
      </c>
      <c r="I397" t="s">
        <v>616</v>
      </c>
      <c r="J397" t="s">
        <v>617</v>
      </c>
      <c r="K397" t="s">
        <v>618</v>
      </c>
      <c r="L397">
        <v>1339</v>
      </c>
      <c r="N397">
        <v>1007</v>
      </c>
      <c r="O397" t="s">
        <v>236</v>
      </c>
      <c r="P397" t="s">
        <v>236</v>
      </c>
      <c r="Q397">
        <v>1</v>
      </c>
      <c r="X397">
        <v>0.02</v>
      </c>
      <c r="Y397">
        <v>3392.59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 t="s">
        <v>3</v>
      </c>
      <c r="AG397">
        <v>0.02</v>
      </c>
      <c r="AH397">
        <v>3</v>
      </c>
      <c r="AI397">
        <v>-1</v>
      </c>
      <c r="AJ397" t="s">
        <v>3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2">
      <c r="A398">
        <f>ROW(Source!A334)</f>
        <v>334</v>
      </c>
      <c r="B398">
        <v>71211774</v>
      </c>
      <c r="C398">
        <v>71211744</v>
      </c>
      <c r="D398">
        <v>67895542</v>
      </c>
      <c r="E398">
        <v>1</v>
      </c>
      <c r="F398">
        <v>1</v>
      </c>
      <c r="G398">
        <v>27</v>
      </c>
      <c r="H398">
        <v>3</v>
      </c>
      <c r="I398" t="s">
        <v>876</v>
      </c>
      <c r="J398" t="s">
        <v>877</v>
      </c>
      <c r="K398" t="s">
        <v>878</v>
      </c>
      <c r="L398">
        <v>1339</v>
      </c>
      <c r="N398">
        <v>1007</v>
      </c>
      <c r="O398" t="s">
        <v>236</v>
      </c>
      <c r="P398" t="s">
        <v>236</v>
      </c>
      <c r="Q398">
        <v>1</v>
      </c>
      <c r="X398">
        <v>1.6</v>
      </c>
      <c r="Y398">
        <v>9014.9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 t="s">
        <v>3</v>
      </c>
      <c r="AG398">
        <v>1.6</v>
      </c>
      <c r="AH398">
        <v>3</v>
      </c>
      <c r="AI398">
        <v>-1</v>
      </c>
      <c r="AJ398" t="s">
        <v>3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2">
      <c r="A399">
        <f>ROW(Source!A370)</f>
        <v>370</v>
      </c>
      <c r="B399">
        <v>71211776</v>
      </c>
      <c r="C399">
        <v>71211775</v>
      </c>
      <c r="D399">
        <v>67878646</v>
      </c>
      <c r="E399">
        <v>27</v>
      </c>
      <c r="F399">
        <v>1</v>
      </c>
      <c r="G399">
        <v>27</v>
      </c>
      <c r="H399">
        <v>1</v>
      </c>
      <c r="I399" t="s">
        <v>565</v>
      </c>
      <c r="J399" t="s">
        <v>3</v>
      </c>
      <c r="K399" t="s">
        <v>566</v>
      </c>
      <c r="L399">
        <v>1191</v>
      </c>
      <c r="N399">
        <v>1013</v>
      </c>
      <c r="O399" t="s">
        <v>567</v>
      </c>
      <c r="P399" t="s">
        <v>567</v>
      </c>
      <c r="Q399">
        <v>1</v>
      </c>
      <c r="X399">
        <v>16.559999999999999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1</v>
      </c>
      <c r="AF399" t="s">
        <v>3</v>
      </c>
      <c r="AG399">
        <v>16.559999999999999</v>
      </c>
      <c r="AH399">
        <v>3</v>
      </c>
      <c r="AI399">
        <v>-1</v>
      </c>
      <c r="AJ399" t="s">
        <v>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2">
      <c r="A400">
        <f>ROW(Source!A370)</f>
        <v>370</v>
      </c>
      <c r="B400">
        <v>71211777</v>
      </c>
      <c r="C400">
        <v>71211775</v>
      </c>
      <c r="D400">
        <v>67890904</v>
      </c>
      <c r="E400">
        <v>1</v>
      </c>
      <c r="F400">
        <v>1</v>
      </c>
      <c r="G400">
        <v>27</v>
      </c>
      <c r="H400">
        <v>2</v>
      </c>
      <c r="I400" t="s">
        <v>685</v>
      </c>
      <c r="J400" t="s">
        <v>686</v>
      </c>
      <c r="K400" t="s">
        <v>687</v>
      </c>
      <c r="L400">
        <v>1368</v>
      </c>
      <c r="N400">
        <v>1011</v>
      </c>
      <c r="O400" t="s">
        <v>571</v>
      </c>
      <c r="P400" t="s">
        <v>571</v>
      </c>
      <c r="Q400">
        <v>1</v>
      </c>
      <c r="X400">
        <v>2.08</v>
      </c>
      <c r="Y400">
        <v>0</v>
      </c>
      <c r="Z400">
        <v>740.94</v>
      </c>
      <c r="AA400">
        <v>413.22</v>
      </c>
      <c r="AB400">
        <v>0</v>
      </c>
      <c r="AC400">
        <v>0</v>
      </c>
      <c r="AD400">
        <v>1</v>
      </c>
      <c r="AE400">
        <v>0</v>
      </c>
      <c r="AF400" t="s">
        <v>3</v>
      </c>
      <c r="AG400">
        <v>2.08</v>
      </c>
      <c r="AH400">
        <v>3</v>
      </c>
      <c r="AI400">
        <v>-1</v>
      </c>
      <c r="AJ400" t="s">
        <v>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44" x14ac:dyDescent="0.2">
      <c r="A401">
        <f>ROW(Source!A370)</f>
        <v>370</v>
      </c>
      <c r="B401">
        <v>71211778</v>
      </c>
      <c r="C401">
        <v>71211775</v>
      </c>
      <c r="D401">
        <v>67891059</v>
      </c>
      <c r="E401">
        <v>1</v>
      </c>
      <c r="F401">
        <v>1</v>
      </c>
      <c r="G401">
        <v>27</v>
      </c>
      <c r="H401">
        <v>2</v>
      </c>
      <c r="I401" t="s">
        <v>829</v>
      </c>
      <c r="J401" t="s">
        <v>830</v>
      </c>
      <c r="K401" t="s">
        <v>831</v>
      </c>
      <c r="L401">
        <v>1368</v>
      </c>
      <c r="N401">
        <v>1011</v>
      </c>
      <c r="O401" t="s">
        <v>571</v>
      </c>
      <c r="P401" t="s">
        <v>571</v>
      </c>
      <c r="Q401">
        <v>1</v>
      </c>
      <c r="X401">
        <v>2.08</v>
      </c>
      <c r="Y401">
        <v>0</v>
      </c>
      <c r="Z401">
        <v>430.32</v>
      </c>
      <c r="AA401">
        <v>215.31</v>
      </c>
      <c r="AB401">
        <v>0</v>
      </c>
      <c r="AC401">
        <v>0</v>
      </c>
      <c r="AD401">
        <v>1</v>
      </c>
      <c r="AE401">
        <v>0</v>
      </c>
      <c r="AF401" t="s">
        <v>3</v>
      </c>
      <c r="AG401">
        <v>2.08</v>
      </c>
      <c r="AH401">
        <v>3</v>
      </c>
      <c r="AI401">
        <v>-1</v>
      </c>
      <c r="AJ401" t="s">
        <v>3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44" x14ac:dyDescent="0.2">
      <c r="A402">
        <f>ROW(Source!A370)</f>
        <v>370</v>
      </c>
      <c r="B402">
        <v>71211779</v>
      </c>
      <c r="C402">
        <v>71211775</v>
      </c>
      <c r="D402">
        <v>67891062</v>
      </c>
      <c r="E402">
        <v>1</v>
      </c>
      <c r="F402">
        <v>1</v>
      </c>
      <c r="G402">
        <v>27</v>
      </c>
      <c r="H402">
        <v>2</v>
      </c>
      <c r="I402" t="s">
        <v>649</v>
      </c>
      <c r="J402" t="s">
        <v>650</v>
      </c>
      <c r="K402" t="s">
        <v>651</v>
      </c>
      <c r="L402">
        <v>1368</v>
      </c>
      <c r="N402">
        <v>1011</v>
      </c>
      <c r="O402" t="s">
        <v>571</v>
      </c>
      <c r="P402" t="s">
        <v>571</v>
      </c>
      <c r="Q402">
        <v>1</v>
      </c>
      <c r="X402">
        <v>0.81</v>
      </c>
      <c r="Y402">
        <v>0</v>
      </c>
      <c r="Z402">
        <v>2020.59</v>
      </c>
      <c r="AA402">
        <v>458.56</v>
      </c>
      <c r="AB402">
        <v>0</v>
      </c>
      <c r="AC402">
        <v>0</v>
      </c>
      <c r="AD402">
        <v>1</v>
      </c>
      <c r="AE402">
        <v>0</v>
      </c>
      <c r="AF402" t="s">
        <v>3</v>
      </c>
      <c r="AG402">
        <v>0.81</v>
      </c>
      <c r="AH402">
        <v>3</v>
      </c>
      <c r="AI402">
        <v>-1</v>
      </c>
      <c r="AJ402" t="s">
        <v>3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44" x14ac:dyDescent="0.2">
      <c r="A403">
        <f>ROW(Source!A370)</f>
        <v>370</v>
      </c>
      <c r="B403">
        <v>71211780</v>
      </c>
      <c r="C403">
        <v>71211775</v>
      </c>
      <c r="D403">
        <v>67891086</v>
      </c>
      <c r="E403">
        <v>1</v>
      </c>
      <c r="F403">
        <v>1</v>
      </c>
      <c r="G403">
        <v>27</v>
      </c>
      <c r="H403">
        <v>2</v>
      </c>
      <c r="I403" t="s">
        <v>688</v>
      </c>
      <c r="J403" t="s">
        <v>689</v>
      </c>
      <c r="K403" t="s">
        <v>690</v>
      </c>
      <c r="L403">
        <v>1368</v>
      </c>
      <c r="N403">
        <v>1011</v>
      </c>
      <c r="O403" t="s">
        <v>571</v>
      </c>
      <c r="P403" t="s">
        <v>571</v>
      </c>
      <c r="Q403">
        <v>1</v>
      </c>
      <c r="X403">
        <v>1.94</v>
      </c>
      <c r="Y403">
        <v>0</v>
      </c>
      <c r="Z403">
        <v>1412.71</v>
      </c>
      <c r="AA403">
        <v>641.32000000000005</v>
      </c>
      <c r="AB403">
        <v>0</v>
      </c>
      <c r="AC403">
        <v>0</v>
      </c>
      <c r="AD403">
        <v>1</v>
      </c>
      <c r="AE403">
        <v>0</v>
      </c>
      <c r="AF403" t="s">
        <v>3</v>
      </c>
      <c r="AG403">
        <v>1.94</v>
      </c>
      <c r="AH403">
        <v>3</v>
      </c>
      <c r="AI403">
        <v>-1</v>
      </c>
      <c r="AJ403" t="s">
        <v>3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44" x14ac:dyDescent="0.2">
      <c r="A404">
        <f>ROW(Source!A370)</f>
        <v>370</v>
      </c>
      <c r="B404">
        <v>71211781</v>
      </c>
      <c r="C404">
        <v>71211775</v>
      </c>
      <c r="D404">
        <v>67891052</v>
      </c>
      <c r="E404">
        <v>1</v>
      </c>
      <c r="F404">
        <v>1</v>
      </c>
      <c r="G404">
        <v>27</v>
      </c>
      <c r="H404">
        <v>2</v>
      </c>
      <c r="I404" t="s">
        <v>832</v>
      </c>
      <c r="J404" t="s">
        <v>833</v>
      </c>
      <c r="K404" t="s">
        <v>834</v>
      </c>
      <c r="L404">
        <v>1368</v>
      </c>
      <c r="N404">
        <v>1011</v>
      </c>
      <c r="O404" t="s">
        <v>571</v>
      </c>
      <c r="P404" t="s">
        <v>571</v>
      </c>
      <c r="Q404">
        <v>1</v>
      </c>
      <c r="X404">
        <v>0.65</v>
      </c>
      <c r="Y404">
        <v>0</v>
      </c>
      <c r="Z404">
        <v>1213.3399999999999</v>
      </c>
      <c r="AA404">
        <v>461.6</v>
      </c>
      <c r="AB404">
        <v>0</v>
      </c>
      <c r="AC404">
        <v>0</v>
      </c>
      <c r="AD404">
        <v>1</v>
      </c>
      <c r="AE404">
        <v>0</v>
      </c>
      <c r="AF404" t="s">
        <v>3</v>
      </c>
      <c r="AG404">
        <v>0.65</v>
      </c>
      <c r="AH404">
        <v>3</v>
      </c>
      <c r="AI404">
        <v>-1</v>
      </c>
      <c r="AJ404" t="s">
        <v>3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44" x14ac:dyDescent="0.2">
      <c r="A405">
        <f>ROW(Source!A370)</f>
        <v>370</v>
      </c>
      <c r="B405">
        <v>71211782</v>
      </c>
      <c r="C405">
        <v>71211775</v>
      </c>
      <c r="D405">
        <v>67893014</v>
      </c>
      <c r="E405">
        <v>1</v>
      </c>
      <c r="F405">
        <v>1</v>
      </c>
      <c r="G405">
        <v>27</v>
      </c>
      <c r="H405">
        <v>3</v>
      </c>
      <c r="I405" t="s">
        <v>835</v>
      </c>
      <c r="J405" t="s">
        <v>836</v>
      </c>
      <c r="K405" t="s">
        <v>837</v>
      </c>
      <c r="L405">
        <v>1339</v>
      </c>
      <c r="N405">
        <v>1007</v>
      </c>
      <c r="O405" t="s">
        <v>236</v>
      </c>
      <c r="P405" t="s">
        <v>236</v>
      </c>
      <c r="Q405">
        <v>1</v>
      </c>
      <c r="X405">
        <v>110</v>
      </c>
      <c r="Y405">
        <v>590.78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 t="s">
        <v>3</v>
      </c>
      <c r="AG405">
        <v>110</v>
      </c>
      <c r="AH405">
        <v>3</v>
      </c>
      <c r="AI405">
        <v>-1</v>
      </c>
      <c r="AJ405" t="s">
        <v>3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2">
      <c r="A406">
        <f>ROW(Source!A370)</f>
        <v>370</v>
      </c>
      <c r="B406">
        <v>71211783</v>
      </c>
      <c r="C406">
        <v>71211775</v>
      </c>
      <c r="D406">
        <v>67893760</v>
      </c>
      <c r="E406">
        <v>1</v>
      </c>
      <c r="F406">
        <v>1</v>
      </c>
      <c r="G406">
        <v>27</v>
      </c>
      <c r="H406">
        <v>3</v>
      </c>
      <c r="I406" t="s">
        <v>652</v>
      </c>
      <c r="J406" t="s">
        <v>653</v>
      </c>
      <c r="K406" t="s">
        <v>654</v>
      </c>
      <c r="L406">
        <v>1339</v>
      </c>
      <c r="N406">
        <v>1007</v>
      </c>
      <c r="O406" t="s">
        <v>236</v>
      </c>
      <c r="P406" t="s">
        <v>236</v>
      </c>
      <c r="Q406">
        <v>1</v>
      </c>
      <c r="X406">
        <v>5</v>
      </c>
      <c r="Y406">
        <v>35.25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 t="s">
        <v>3</v>
      </c>
      <c r="AG406">
        <v>5</v>
      </c>
      <c r="AH406">
        <v>3</v>
      </c>
      <c r="AI406">
        <v>-1</v>
      </c>
      <c r="AJ406" t="s">
        <v>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</row>
    <row r="407" spans="1:44" x14ac:dyDescent="0.2">
      <c r="A407">
        <f>ROW(Source!A371)</f>
        <v>371</v>
      </c>
      <c r="B407">
        <v>71211791</v>
      </c>
      <c r="C407">
        <v>71211784</v>
      </c>
      <c r="D407">
        <v>67878646</v>
      </c>
      <c r="E407">
        <v>27</v>
      </c>
      <c r="F407">
        <v>1</v>
      </c>
      <c r="G407">
        <v>27</v>
      </c>
      <c r="H407">
        <v>1</v>
      </c>
      <c r="I407" t="s">
        <v>565</v>
      </c>
      <c r="J407" t="s">
        <v>3</v>
      </c>
      <c r="K407" t="s">
        <v>566</v>
      </c>
      <c r="L407">
        <v>1191</v>
      </c>
      <c r="N407">
        <v>1013</v>
      </c>
      <c r="O407" t="s">
        <v>567</v>
      </c>
      <c r="P407" t="s">
        <v>567</v>
      </c>
      <c r="Q407">
        <v>1</v>
      </c>
      <c r="X407">
        <v>80.27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1</v>
      </c>
      <c r="AF407" t="s">
        <v>3</v>
      </c>
      <c r="AG407">
        <v>80.27</v>
      </c>
      <c r="AH407">
        <v>2</v>
      </c>
      <c r="AI407">
        <v>71211785</v>
      </c>
      <c r="AJ407">
        <v>64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</row>
    <row r="408" spans="1:44" x14ac:dyDescent="0.2">
      <c r="A408">
        <f>ROW(Source!A371)</f>
        <v>371</v>
      </c>
      <c r="B408">
        <v>71211792</v>
      </c>
      <c r="C408">
        <v>71211784</v>
      </c>
      <c r="D408">
        <v>67894729</v>
      </c>
      <c r="E408">
        <v>1</v>
      </c>
      <c r="F408">
        <v>1</v>
      </c>
      <c r="G408">
        <v>27</v>
      </c>
      <c r="H408">
        <v>3</v>
      </c>
      <c r="I408" t="s">
        <v>613</v>
      </c>
      <c r="J408" t="s">
        <v>614</v>
      </c>
      <c r="K408" t="s">
        <v>615</v>
      </c>
      <c r="L408">
        <v>1339</v>
      </c>
      <c r="N408">
        <v>1007</v>
      </c>
      <c r="O408" t="s">
        <v>236</v>
      </c>
      <c r="P408" t="s">
        <v>236</v>
      </c>
      <c r="Q408">
        <v>1</v>
      </c>
      <c r="X408">
        <v>5.9</v>
      </c>
      <c r="Y408">
        <v>3714.73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 t="s">
        <v>3</v>
      </c>
      <c r="AG408">
        <v>5.9</v>
      </c>
      <c r="AH408">
        <v>2</v>
      </c>
      <c r="AI408">
        <v>71211786</v>
      </c>
      <c r="AJ408">
        <v>65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44" x14ac:dyDescent="0.2">
      <c r="A409">
        <f>ROW(Source!A371)</f>
        <v>371</v>
      </c>
      <c r="B409">
        <v>71211793</v>
      </c>
      <c r="C409">
        <v>71211784</v>
      </c>
      <c r="D409">
        <v>67894805</v>
      </c>
      <c r="E409">
        <v>1</v>
      </c>
      <c r="F409">
        <v>1</v>
      </c>
      <c r="G409">
        <v>27</v>
      </c>
      <c r="H409">
        <v>3</v>
      </c>
      <c r="I409" t="s">
        <v>616</v>
      </c>
      <c r="J409" t="s">
        <v>617</v>
      </c>
      <c r="K409" t="s">
        <v>618</v>
      </c>
      <c r="L409">
        <v>1339</v>
      </c>
      <c r="N409">
        <v>1007</v>
      </c>
      <c r="O409" t="s">
        <v>236</v>
      </c>
      <c r="P409" t="s">
        <v>236</v>
      </c>
      <c r="Q409">
        <v>1</v>
      </c>
      <c r="X409">
        <v>0.06</v>
      </c>
      <c r="Y409">
        <v>3392.59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 t="s">
        <v>3</v>
      </c>
      <c r="AG409">
        <v>0.06</v>
      </c>
      <c r="AH409">
        <v>2</v>
      </c>
      <c r="AI409">
        <v>71211787</v>
      </c>
      <c r="AJ409">
        <v>66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44" x14ac:dyDescent="0.2">
      <c r="A410">
        <f>ROW(Source!A371)</f>
        <v>371</v>
      </c>
      <c r="B410">
        <v>71211794</v>
      </c>
      <c r="C410">
        <v>71211784</v>
      </c>
      <c r="D410">
        <v>67895543</v>
      </c>
      <c r="E410">
        <v>1</v>
      </c>
      <c r="F410">
        <v>1</v>
      </c>
      <c r="G410">
        <v>27</v>
      </c>
      <c r="H410">
        <v>3</v>
      </c>
      <c r="I410" t="s">
        <v>339</v>
      </c>
      <c r="J410" t="s">
        <v>341</v>
      </c>
      <c r="K410" t="s">
        <v>340</v>
      </c>
      <c r="L410">
        <v>1339</v>
      </c>
      <c r="N410">
        <v>1007</v>
      </c>
      <c r="O410" t="s">
        <v>236</v>
      </c>
      <c r="P410" t="s">
        <v>236</v>
      </c>
      <c r="Q410">
        <v>1</v>
      </c>
      <c r="X410">
        <v>4.3</v>
      </c>
      <c r="Y410">
        <v>7833.01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 t="s">
        <v>3</v>
      </c>
      <c r="AG410">
        <v>4.3</v>
      </c>
      <c r="AH410">
        <v>2</v>
      </c>
      <c r="AI410">
        <v>71211788</v>
      </c>
      <c r="AJ410">
        <v>67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44" x14ac:dyDescent="0.2">
      <c r="A411">
        <f>ROW(Source!A460)</f>
        <v>460</v>
      </c>
      <c r="B411">
        <v>71211806</v>
      </c>
      <c r="C411">
        <v>71211802</v>
      </c>
      <c r="D411">
        <v>67878646</v>
      </c>
      <c r="E411">
        <v>27</v>
      </c>
      <c r="F411">
        <v>1</v>
      </c>
      <c r="G411">
        <v>27</v>
      </c>
      <c r="H411">
        <v>1</v>
      </c>
      <c r="I411" t="s">
        <v>565</v>
      </c>
      <c r="J411" t="s">
        <v>3</v>
      </c>
      <c r="K411" t="s">
        <v>566</v>
      </c>
      <c r="L411">
        <v>1191</v>
      </c>
      <c r="N411">
        <v>1013</v>
      </c>
      <c r="O411" t="s">
        <v>567</v>
      </c>
      <c r="P411" t="s">
        <v>567</v>
      </c>
      <c r="Q411">
        <v>1</v>
      </c>
      <c r="X411">
        <v>47.72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1</v>
      </c>
      <c r="AF411" t="s">
        <v>3</v>
      </c>
      <c r="AG411">
        <v>47.72</v>
      </c>
      <c r="AH411">
        <v>2</v>
      </c>
      <c r="AI411">
        <v>71211803</v>
      </c>
      <c r="AJ411">
        <v>70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</row>
    <row r="412" spans="1:44" x14ac:dyDescent="0.2">
      <c r="A412">
        <f>ROW(Source!A460)</f>
        <v>460</v>
      </c>
      <c r="B412">
        <v>71211807</v>
      </c>
      <c r="C412">
        <v>71211802</v>
      </c>
      <c r="D412">
        <v>67891963</v>
      </c>
      <c r="E412">
        <v>1</v>
      </c>
      <c r="F412">
        <v>1</v>
      </c>
      <c r="G412">
        <v>27</v>
      </c>
      <c r="H412">
        <v>3</v>
      </c>
      <c r="I412" t="s">
        <v>619</v>
      </c>
      <c r="J412" t="s">
        <v>620</v>
      </c>
      <c r="K412" t="s">
        <v>621</v>
      </c>
      <c r="L412">
        <v>1348</v>
      </c>
      <c r="N412">
        <v>1009</v>
      </c>
      <c r="O412" t="s">
        <v>35</v>
      </c>
      <c r="P412" t="s">
        <v>35</v>
      </c>
      <c r="Q412">
        <v>1000</v>
      </c>
      <c r="X412">
        <v>0.15</v>
      </c>
      <c r="Y412">
        <v>4207.5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 t="s">
        <v>3</v>
      </c>
      <c r="AG412">
        <v>0.15</v>
      </c>
      <c r="AH412">
        <v>2</v>
      </c>
      <c r="AI412">
        <v>71211804</v>
      </c>
      <c r="AJ412">
        <v>71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44" x14ac:dyDescent="0.2">
      <c r="A413">
        <f>ROW(Source!A460)</f>
        <v>460</v>
      </c>
      <c r="B413">
        <v>71211808</v>
      </c>
      <c r="C413">
        <v>71211802</v>
      </c>
      <c r="D413">
        <v>67895752</v>
      </c>
      <c r="E413">
        <v>1</v>
      </c>
      <c r="F413">
        <v>1</v>
      </c>
      <c r="G413">
        <v>27</v>
      </c>
      <c r="H413">
        <v>3</v>
      </c>
      <c r="I413" t="s">
        <v>622</v>
      </c>
      <c r="J413" t="s">
        <v>623</v>
      </c>
      <c r="K413" t="s">
        <v>624</v>
      </c>
      <c r="L413">
        <v>1348</v>
      </c>
      <c r="N413">
        <v>1009</v>
      </c>
      <c r="O413" t="s">
        <v>35</v>
      </c>
      <c r="P413" t="s">
        <v>35</v>
      </c>
      <c r="Q413">
        <v>1000</v>
      </c>
      <c r="X413">
        <v>2.09</v>
      </c>
      <c r="Y413">
        <v>75453.460000000006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 t="s">
        <v>3</v>
      </c>
      <c r="AG413">
        <v>2.09</v>
      </c>
      <c r="AH413">
        <v>2</v>
      </c>
      <c r="AI413">
        <v>71211805</v>
      </c>
      <c r="AJ413">
        <v>72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2">
      <c r="A414">
        <f>ROW(Source!A463)</f>
        <v>463</v>
      </c>
      <c r="B414">
        <v>71211813</v>
      </c>
      <c r="C414">
        <v>71211811</v>
      </c>
      <c r="D414">
        <v>67878646</v>
      </c>
      <c r="E414">
        <v>27</v>
      </c>
      <c r="F414">
        <v>1</v>
      </c>
      <c r="G414">
        <v>27</v>
      </c>
      <c r="H414">
        <v>1</v>
      </c>
      <c r="I414" t="s">
        <v>565</v>
      </c>
      <c r="J414" t="s">
        <v>3</v>
      </c>
      <c r="K414" t="s">
        <v>566</v>
      </c>
      <c r="L414">
        <v>1191</v>
      </c>
      <c r="N414">
        <v>1013</v>
      </c>
      <c r="O414" t="s">
        <v>567</v>
      </c>
      <c r="P414" t="s">
        <v>567</v>
      </c>
      <c r="Q414">
        <v>1</v>
      </c>
      <c r="X414">
        <v>6.22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1</v>
      </c>
      <c r="AF414" t="s">
        <v>3</v>
      </c>
      <c r="AG414">
        <v>6.22</v>
      </c>
      <c r="AH414">
        <v>3</v>
      </c>
      <c r="AI414">
        <v>-1</v>
      </c>
      <c r="AJ414" t="s">
        <v>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</row>
    <row r="415" spans="1:44" x14ac:dyDescent="0.2">
      <c r="A415">
        <f>ROW(Source!A463)</f>
        <v>463</v>
      </c>
      <c r="B415">
        <v>71211814</v>
      </c>
      <c r="C415">
        <v>71211811</v>
      </c>
      <c r="D415">
        <v>67893015</v>
      </c>
      <c r="E415">
        <v>1</v>
      </c>
      <c r="F415">
        <v>1</v>
      </c>
      <c r="G415">
        <v>27</v>
      </c>
      <c r="H415">
        <v>3</v>
      </c>
      <c r="I415" t="s">
        <v>604</v>
      </c>
      <c r="J415" t="s">
        <v>605</v>
      </c>
      <c r="K415" t="s">
        <v>606</v>
      </c>
      <c r="L415">
        <v>1339</v>
      </c>
      <c r="N415">
        <v>1007</v>
      </c>
      <c r="O415" t="s">
        <v>236</v>
      </c>
      <c r="P415" t="s">
        <v>236</v>
      </c>
      <c r="Q415">
        <v>1</v>
      </c>
      <c r="X415">
        <v>0.29899999999999999</v>
      </c>
      <c r="Y415">
        <v>590.78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 t="s">
        <v>3</v>
      </c>
      <c r="AG415">
        <v>0.29899999999999999</v>
      </c>
      <c r="AH415">
        <v>3</v>
      </c>
      <c r="AI415">
        <v>-1</v>
      </c>
      <c r="AJ415" t="s">
        <v>3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2">
      <c r="A416">
        <f>ROW(Source!A463)</f>
        <v>463</v>
      </c>
      <c r="B416">
        <v>71211815</v>
      </c>
      <c r="C416">
        <v>71211811</v>
      </c>
      <c r="D416">
        <v>67891963</v>
      </c>
      <c r="E416">
        <v>1</v>
      </c>
      <c r="F416">
        <v>1</v>
      </c>
      <c r="G416">
        <v>27</v>
      </c>
      <c r="H416">
        <v>3</v>
      </c>
      <c r="I416" t="s">
        <v>619</v>
      </c>
      <c r="J416" t="s">
        <v>620</v>
      </c>
      <c r="K416" t="s">
        <v>621</v>
      </c>
      <c r="L416">
        <v>1348</v>
      </c>
      <c r="N416">
        <v>1009</v>
      </c>
      <c r="O416" t="s">
        <v>35</v>
      </c>
      <c r="P416" t="s">
        <v>35</v>
      </c>
      <c r="Q416">
        <v>1000</v>
      </c>
      <c r="X416">
        <v>0.107</v>
      </c>
      <c r="Y416">
        <v>4207.5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 t="s">
        <v>3</v>
      </c>
      <c r="AG416">
        <v>0.107</v>
      </c>
      <c r="AH416">
        <v>3</v>
      </c>
      <c r="AI416">
        <v>-1</v>
      </c>
      <c r="AJ416" t="s">
        <v>3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44" x14ac:dyDescent="0.2">
      <c r="A417">
        <f>ROW(Source!A463)</f>
        <v>463</v>
      </c>
      <c r="B417">
        <v>71211816</v>
      </c>
      <c r="C417">
        <v>71211811</v>
      </c>
      <c r="D417">
        <v>67893760</v>
      </c>
      <c r="E417">
        <v>1</v>
      </c>
      <c r="F417">
        <v>1</v>
      </c>
      <c r="G417">
        <v>27</v>
      </c>
      <c r="H417">
        <v>3</v>
      </c>
      <c r="I417" t="s">
        <v>652</v>
      </c>
      <c r="J417" t="s">
        <v>653</v>
      </c>
      <c r="K417" t="s">
        <v>654</v>
      </c>
      <c r="L417">
        <v>1339</v>
      </c>
      <c r="N417">
        <v>1007</v>
      </c>
      <c r="O417" t="s">
        <v>236</v>
      </c>
      <c r="P417" t="s">
        <v>236</v>
      </c>
      <c r="Q417">
        <v>1</v>
      </c>
      <c r="X417">
        <v>7.6999999999999999E-2</v>
      </c>
      <c r="Y417">
        <v>35.25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 t="s">
        <v>3</v>
      </c>
      <c r="AG417">
        <v>7.6999999999999999E-2</v>
      </c>
      <c r="AH417">
        <v>3</v>
      </c>
      <c r="AI417">
        <v>-1</v>
      </c>
      <c r="AJ417" t="s">
        <v>3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x14ac:dyDescent="0.2">
      <c r="A418">
        <f>ROW(Source!A463)</f>
        <v>463</v>
      </c>
      <c r="B418">
        <v>71211817</v>
      </c>
      <c r="C418">
        <v>71211811</v>
      </c>
      <c r="D418">
        <v>67896447</v>
      </c>
      <c r="E418">
        <v>1</v>
      </c>
      <c r="F418">
        <v>1</v>
      </c>
      <c r="G418">
        <v>27</v>
      </c>
      <c r="H418">
        <v>3</v>
      </c>
      <c r="I418" t="s">
        <v>383</v>
      </c>
      <c r="J418" t="s">
        <v>385</v>
      </c>
      <c r="K418" t="s">
        <v>457</v>
      </c>
      <c r="L418">
        <v>1354</v>
      </c>
      <c r="N418">
        <v>1010</v>
      </c>
      <c r="O418" t="s">
        <v>232</v>
      </c>
      <c r="P418" t="s">
        <v>232</v>
      </c>
      <c r="Q418">
        <v>1</v>
      </c>
      <c r="X418">
        <v>10</v>
      </c>
      <c r="Y418">
        <v>236.53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 t="s">
        <v>3</v>
      </c>
      <c r="AG418">
        <v>10</v>
      </c>
      <c r="AH418">
        <v>2</v>
      </c>
      <c r="AI418">
        <v>71211812</v>
      </c>
      <c r="AJ418">
        <v>73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x14ac:dyDescent="0.2">
      <c r="A419">
        <f>ROW(Source!A516)</f>
        <v>516</v>
      </c>
      <c r="B419">
        <v>71211845</v>
      </c>
      <c r="C419">
        <v>71211835</v>
      </c>
      <c r="D419">
        <v>67878646</v>
      </c>
      <c r="E419">
        <v>27</v>
      </c>
      <c r="F419">
        <v>1</v>
      </c>
      <c r="G419">
        <v>27</v>
      </c>
      <c r="H419">
        <v>1</v>
      </c>
      <c r="I419" t="s">
        <v>565</v>
      </c>
      <c r="J419" t="s">
        <v>3</v>
      </c>
      <c r="K419" t="s">
        <v>566</v>
      </c>
      <c r="L419">
        <v>1191</v>
      </c>
      <c r="N419">
        <v>1013</v>
      </c>
      <c r="O419" t="s">
        <v>567</v>
      </c>
      <c r="P419" t="s">
        <v>567</v>
      </c>
      <c r="Q419">
        <v>1</v>
      </c>
      <c r="X419">
        <v>19.899999999999999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1</v>
      </c>
      <c r="AF419" t="s">
        <v>3</v>
      </c>
      <c r="AG419">
        <v>19.899999999999999</v>
      </c>
      <c r="AH419">
        <v>2</v>
      </c>
      <c r="AI419">
        <v>71211836</v>
      </c>
      <c r="AJ419">
        <v>74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</row>
    <row r="420" spans="1:44" x14ac:dyDescent="0.2">
      <c r="A420">
        <f>ROW(Source!A516)</f>
        <v>516</v>
      </c>
      <c r="B420">
        <v>71211846</v>
      </c>
      <c r="C420">
        <v>71211835</v>
      </c>
      <c r="D420">
        <v>67891319</v>
      </c>
      <c r="E420">
        <v>1</v>
      </c>
      <c r="F420">
        <v>1</v>
      </c>
      <c r="G420">
        <v>27</v>
      </c>
      <c r="H420">
        <v>2</v>
      </c>
      <c r="I420" t="s">
        <v>625</v>
      </c>
      <c r="J420" t="s">
        <v>626</v>
      </c>
      <c r="K420" t="s">
        <v>627</v>
      </c>
      <c r="L420">
        <v>1368</v>
      </c>
      <c r="N420">
        <v>1011</v>
      </c>
      <c r="O420" t="s">
        <v>571</v>
      </c>
      <c r="P420" t="s">
        <v>571</v>
      </c>
      <c r="Q420">
        <v>1</v>
      </c>
      <c r="X420">
        <v>0.31</v>
      </c>
      <c r="Y420">
        <v>0</v>
      </c>
      <c r="Z420">
        <v>41.19</v>
      </c>
      <c r="AA420">
        <v>0.34</v>
      </c>
      <c r="AB420">
        <v>0</v>
      </c>
      <c r="AC420">
        <v>0</v>
      </c>
      <c r="AD420">
        <v>1</v>
      </c>
      <c r="AE420">
        <v>0</v>
      </c>
      <c r="AF420" t="s">
        <v>3</v>
      </c>
      <c r="AG420">
        <v>0.31</v>
      </c>
      <c r="AH420">
        <v>2</v>
      </c>
      <c r="AI420">
        <v>71211837</v>
      </c>
      <c r="AJ420">
        <v>75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44" x14ac:dyDescent="0.2">
      <c r="A421">
        <f>ROW(Source!A516)</f>
        <v>516</v>
      </c>
      <c r="B421">
        <v>71211847</v>
      </c>
      <c r="C421">
        <v>71211835</v>
      </c>
      <c r="D421">
        <v>67891725</v>
      </c>
      <c r="E421">
        <v>1</v>
      </c>
      <c r="F421">
        <v>1</v>
      </c>
      <c r="G421">
        <v>27</v>
      </c>
      <c r="H421">
        <v>2</v>
      </c>
      <c r="I421" t="s">
        <v>628</v>
      </c>
      <c r="J421" t="s">
        <v>629</v>
      </c>
      <c r="K421" t="s">
        <v>630</v>
      </c>
      <c r="L421">
        <v>1368</v>
      </c>
      <c r="N421">
        <v>1011</v>
      </c>
      <c r="O421" t="s">
        <v>571</v>
      </c>
      <c r="P421" t="s">
        <v>571</v>
      </c>
      <c r="Q421">
        <v>1</v>
      </c>
      <c r="X421">
        <v>5.56</v>
      </c>
      <c r="Y421">
        <v>0</v>
      </c>
      <c r="Z421">
        <v>27.02</v>
      </c>
      <c r="AA421">
        <v>0.03</v>
      </c>
      <c r="AB421">
        <v>0</v>
      </c>
      <c r="AC421">
        <v>0</v>
      </c>
      <c r="AD421">
        <v>1</v>
      </c>
      <c r="AE421">
        <v>0</v>
      </c>
      <c r="AF421" t="s">
        <v>3</v>
      </c>
      <c r="AG421">
        <v>5.56</v>
      </c>
      <c r="AH421">
        <v>2</v>
      </c>
      <c r="AI421">
        <v>71211838</v>
      </c>
      <c r="AJ421">
        <v>76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</row>
    <row r="422" spans="1:44" x14ac:dyDescent="0.2">
      <c r="A422">
        <f>ROW(Source!A516)</f>
        <v>516</v>
      </c>
      <c r="B422">
        <v>71211848</v>
      </c>
      <c r="C422">
        <v>71211835</v>
      </c>
      <c r="D422">
        <v>67890994</v>
      </c>
      <c r="E422">
        <v>1</v>
      </c>
      <c r="F422">
        <v>1</v>
      </c>
      <c r="G422">
        <v>27</v>
      </c>
      <c r="H422">
        <v>2</v>
      </c>
      <c r="I422" t="s">
        <v>631</v>
      </c>
      <c r="J422" t="s">
        <v>632</v>
      </c>
      <c r="K422" t="s">
        <v>633</v>
      </c>
      <c r="L422">
        <v>1368</v>
      </c>
      <c r="N422">
        <v>1011</v>
      </c>
      <c r="O422" t="s">
        <v>571</v>
      </c>
      <c r="P422" t="s">
        <v>571</v>
      </c>
      <c r="Q422">
        <v>1</v>
      </c>
      <c r="X422">
        <v>1.08</v>
      </c>
      <c r="Y422">
        <v>0</v>
      </c>
      <c r="Z422">
        <v>132.63</v>
      </c>
      <c r="AA422">
        <v>1.55</v>
      </c>
      <c r="AB422">
        <v>0</v>
      </c>
      <c r="AC422">
        <v>0</v>
      </c>
      <c r="AD422">
        <v>1</v>
      </c>
      <c r="AE422">
        <v>0</v>
      </c>
      <c r="AF422" t="s">
        <v>3</v>
      </c>
      <c r="AG422">
        <v>1.08</v>
      </c>
      <c r="AH422">
        <v>2</v>
      </c>
      <c r="AI422">
        <v>71211839</v>
      </c>
      <c r="AJ422">
        <v>77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</row>
    <row r="423" spans="1:44" x14ac:dyDescent="0.2">
      <c r="A423">
        <f>ROW(Source!A516)</f>
        <v>516</v>
      </c>
      <c r="B423">
        <v>71211849</v>
      </c>
      <c r="C423">
        <v>71211835</v>
      </c>
      <c r="D423">
        <v>67892810</v>
      </c>
      <c r="E423">
        <v>1</v>
      </c>
      <c r="F423">
        <v>1</v>
      </c>
      <c r="G423">
        <v>27</v>
      </c>
      <c r="H423">
        <v>3</v>
      </c>
      <c r="I423" t="s">
        <v>572</v>
      </c>
      <c r="J423" t="s">
        <v>573</v>
      </c>
      <c r="K423" t="s">
        <v>574</v>
      </c>
      <c r="L423">
        <v>1348</v>
      </c>
      <c r="N423">
        <v>1009</v>
      </c>
      <c r="O423" t="s">
        <v>35</v>
      </c>
      <c r="P423" t="s">
        <v>35</v>
      </c>
      <c r="Q423">
        <v>1000</v>
      </c>
      <c r="X423">
        <v>4.0000000000000001E-3</v>
      </c>
      <c r="Y423">
        <v>105084.63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 t="s">
        <v>3</v>
      </c>
      <c r="AG423">
        <v>4.0000000000000001E-3</v>
      </c>
      <c r="AH423">
        <v>2</v>
      </c>
      <c r="AI423">
        <v>71211840</v>
      </c>
      <c r="AJ423">
        <v>78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2">
      <c r="A424">
        <f>ROW(Source!A516)</f>
        <v>516</v>
      </c>
      <c r="B424">
        <v>71211850</v>
      </c>
      <c r="C424">
        <v>71211835</v>
      </c>
      <c r="D424">
        <v>67893667</v>
      </c>
      <c r="E424">
        <v>1</v>
      </c>
      <c r="F424">
        <v>1</v>
      </c>
      <c r="G424">
        <v>27</v>
      </c>
      <c r="H424">
        <v>3</v>
      </c>
      <c r="I424" t="s">
        <v>575</v>
      </c>
      <c r="J424" t="s">
        <v>576</v>
      </c>
      <c r="K424" t="s">
        <v>577</v>
      </c>
      <c r="L424">
        <v>1348</v>
      </c>
      <c r="N424">
        <v>1009</v>
      </c>
      <c r="O424" t="s">
        <v>35</v>
      </c>
      <c r="P424" t="s">
        <v>35</v>
      </c>
      <c r="Q424">
        <v>1000</v>
      </c>
      <c r="X424">
        <v>3.1E-2</v>
      </c>
      <c r="Y424">
        <v>110781.14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 t="s">
        <v>3</v>
      </c>
      <c r="AG424">
        <v>3.1E-2</v>
      </c>
      <c r="AH424">
        <v>2</v>
      </c>
      <c r="AI424">
        <v>71211841</v>
      </c>
      <c r="AJ424">
        <v>79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44" x14ac:dyDescent="0.2">
      <c r="A425">
        <f>ROW(Source!A516)</f>
        <v>516</v>
      </c>
      <c r="B425">
        <v>71211851</v>
      </c>
      <c r="C425">
        <v>71211835</v>
      </c>
      <c r="D425">
        <v>67895770</v>
      </c>
      <c r="E425">
        <v>1</v>
      </c>
      <c r="F425">
        <v>1</v>
      </c>
      <c r="G425">
        <v>27</v>
      </c>
      <c r="H425">
        <v>3</v>
      </c>
      <c r="I425" t="s">
        <v>424</v>
      </c>
      <c r="J425" t="s">
        <v>426</v>
      </c>
      <c r="K425" t="s">
        <v>425</v>
      </c>
      <c r="L425">
        <v>1348</v>
      </c>
      <c r="N425">
        <v>1009</v>
      </c>
      <c r="O425" t="s">
        <v>35</v>
      </c>
      <c r="P425" t="s">
        <v>35</v>
      </c>
      <c r="Q425">
        <v>1000</v>
      </c>
      <c r="X425">
        <v>1</v>
      </c>
      <c r="Y425">
        <v>67754.539999999994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 t="s">
        <v>3</v>
      </c>
      <c r="AG425">
        <v>1</v>
      </c>
      <c r="AH425">
        <v>2</v>
      </c>
      <c r="AI425">
        <v>71211842</v>
      </c>
      <c r="AJ425">
        <v>80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44" x14ac:dyDescent="0.2">
      <c r="A426">
        <f>ROW(Source!A516)</f>
        <v>516</v>
      </c>
      <c r="B426">
        <v>71211852</v>
      </c>
      <c r="C426">
        <v>71211835</v>
      </c>
      <c r="D426">
        <v>67895780</v>
      </c>
      <c r="E426">
        <v>1</v>
      </c>
      <c r="F426">
        <v>1</v>
      </c>
      <c r="G426">
        <v>27</v>
      </c>
      <c r="H426">
        <v>3</v>
      </c>
      <c r="I426" t="s">
        <v>634</v>
      </c>
      <c r="J426" t="s">
        <v>635</v>
      </c>
      <c r="K426" t="s">
        <v>636</v>
      </c>
      <c r="L426">
        <v>1348</v>
      </c>
      <c r="N426">
        <v>1009</v>
      </c>
      <c r="O426" t="s">
        <v>35</v>
      </c>
      <c r="P426" t="s">
        <v>35</v>
      </c>
      <c r="Q426">
        <v>1000</v>
      </c>
      <c r="X426">
        <v>5.0000000000000001E-3</v>
      </c>
      <c r="Y426">
        <v>75026.559999999998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 t="s">
        <v>3</v>
      </c>
      <c r="AG426">
        <v>5.0000000000000001E-3</v>
      </c>
      <c r="AH426">
        <v>2</v>
      </c>
      <c r="AI426">
        <v>71211843</v>
      </c>
      <c r="AJ426">
        <v>82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</row>
    <row r="427" spans="1:44" x14ac:dyDescent="0.2">
      <c r="A427">
        <f>ROW(Source!A529)</f>
        <v>529</v>
      </c>
      <c r="B427">
        <v>71211878</v>
      </c>
      <c r="C427">
        <v>71211865</v>
      </c>
      <c r="D427">
        <v>67878646</v>
      </c>
      <c r="E427">
        <v>27</v>
      </c>
      <c r="F427">
        <v>1</v>
      </c>
      <c r="G427">
        <v>27</v>
      </c>
      <c r="H427">
        <v>1</v>
      </c>
      <c r="I427" t="s">
        <v>565</v>
      </c>
      <c r="J427" t="s">
        <v>3</v>
      </c>
      <c r="K427" t="s">
        <v>566</v>
      </c>
      <c r="L427">
        <v>1191</v>
      </c>
      <c r="N427">
        <v>1013</v>
      </c>
      <c r="O427" t="s">
        <v>567</v>
      </c>
      <c r="P427" t="s">
        <v>567</v>
      </c>
      <c r="Q427">
        <v>1</v>
      </c>
      <c r="X427">
        <v>0.12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  <c r="AF427" t="s">
        <v>3</v>
      </c>
      <c r="AG427">
        <v>0.12</v>
      </c>
      <c r="AH427">
        <v>3</v>
      </c>
      <c r="AI427">
        <v>-1</v>
      </c>
      <c r="AJ427" t="s">
        <v>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</row>
    <row r="428" spans="1:44" x14ac:dyDescent="0.2">
      <c r="A428">
        <f>ROW(Source!A529)</f>
        <v>529</v>
      </c>
      <c r="B428">
        <v>71211879</v>
      </c>
      <c r="C428">
        <v>71211865</v>
      </c>
      <c r="D428">
        <v>67891314</v>
      </c>
      <c r="E428">
        <v>1</v>
      </c>
      <c r="F428">
        <v>1</v>
      </c>
      <c r="G428">
        <v>27</v>
      </c>
      <c r="H428">
        <v>2</v>
      </c>
      <c r="I428" t="s">
        <v>727</v>
      </c>
      <c r="J428" t="s">
        <v>728</v>
      </c>
      <c r="K428" t="s">
        <v>729</v>
      </c>
      <c r="L428">
        <v>1368</v>
      </c>
      <c r="N428">
        <v>1011</v>
      </c>
      <c r="O428" t="s">
        <v>571</v>
      </c>
      <c r="P428" t="s">
        <v>571</v>
      </c>
      <c r="Q428">
        <v>1</v>
      </c>
      <c r="X428">
        <v>0.02</v>
      </c>
      <c r="Y428">
        <v>0</v>
      </c>
      <c r="Z428">
        <v>351.29</v>
      </c>
      <c r="AA428">
        <v>7.02</v>
      </c>
      <c r="AB428">
        <v>0</v>
      </c>
      <c r="AC428">
        <v>0</v>
      </c>
      <c r="AD428">
        <v>1</v>
      </c>
      <c r="AE428">
        <v>0</v>
      </c>
      <c r="AF428" t="s">
        <v>3</v>
      </c>
      <c r="AG428">
        <v>0.02</v>
      </c>
      <c r="AH428">
        <v>3</v>
      </c>
      <c r="AI428">
        <v>-1</v>
      </c>
      <c r="AJ428" t="s">
        <v>3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</row>
    <row r="429" spans="1:44" x14ac:dyDescent="0.2">
      <c r="A429">
        <f>ROW(Source!A529)</f>
        <v>529</v>
      </c>
      <c r="B429">
        <v>71211880</v>
      </c>
      <c r="C429">
        <v>71211865</v>
      </c>
      <c r="D429">
        <v>67891699</v>
      </c>
      <c r="E429">
        <v>1</v>
      </c>
      <c r="F429">
        <v>1</v>
      </c>
      <c r="G429">
        <v>27</v>
      </c>
      <c r="H429">
        <v>2</v>
      </c>
      <c r="I429" t="s">
        <v>730</v>
      </c>
      <c r="J429" t="s">
        <v>731</v>
      </c>
      <c r="K429" t="s">
        <v>732</v>
      </c>
      <c r="L429">
        <v>1368</v>
      </c>
      <c r="N429">
        <v>1011</v>
      </c>
      <c r="O429" t="s">
        <v>571</v>
      </c>
      <c r="P429" t="s">
        <v>571</v>
      </c>
      <c r="Q429">
        <v>1</v>
      </c>
      <c r="X429">
        <v>0.01</v>
      </c>
      <c r="Y429">
        <v>0</v>
      </c>
      <c r="Z429">
        <v>5.94</v>
      </c>
      <c r="AA429">
        <v>0.02</v>
      </c>
      <c r="AB429">
        <v>0</v>
      </c>
      <c r="AC429">
        <v>0</v>
      </c>
      <c r="AD429">
        <v>1</v>
      </c>
      <c r="AE429">
        <v>0</v>
      </c>
      <c r="AF429" t="s">
        <v>3</v>
      </c>
      <c r="AG429">
        <v>0.01</v>
      </c>
      <c r="AH429">
        <v>3</v>
      </c>
      <c r="AI429">
        <v>-1</v>
      </c>
      <c r="AJ429" t="s">
        <v>3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</row>
    <row r="430" spans="1:44" x14ac:dyDescent="0.2">
      <c r="A430">
        <f>ROW(Source!A529)</f>
        <v>529</v>
      </c>
      <c r="B430">
        <v>71211881</v>
      </c>
      <c r="C430">
        <v>71211865</v>
      </c>
      <c r="D430">
        <v>67893667</v>
      </c>
      <c r="E430">
        <v>1</v>
      </c>
      <c r="F430">
        <v>1</v>
      </c>
      <c r="G430">
        <v>27</v>
      </c>
      <c r="H430">
        <v>3</v>
      </c>
      <c r="I430" t="s">
        <v>575</v>
      </c>
      <c r="J430" t="s">
        <v>576</v>
      </c>
      <c r="K430" t="s">
        <v>577</v>
      </c>
      <c r="L430">
        <v>1348</v>
      </c>
      <c r="N430">
        <v>1009</v>
      </c>
      <c r="O430" t="s">
        <v>35</v>
      </c>
      <c r="P430" t="s">
        <v>35</v>
      </c>
      <c r="Q430">
        <v>1000</v>
      </c>
      <c r="X430">
        <v>3.0000000000000001E-5</v>
      </c>
      <c r="Y430">
        <v>110781.14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 t="s">
        <v>3</v>
      </c>
      <c r="AG430">
        <v>3.0000000000000001E-5</v>
      </c>
      <c r="AH430">
        <v>3</v>
      </c>
      <c r="AI430">
        <v>-1</v>
      </c>
      <c r="AJ430" t="s">
        <v>3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</row>
    <row r="431" spans="1:44" x14ac:dyDescent="0.2">
      <c r="A431">
        <f>ROW(Source!A529)</f>
        <v>529</v>
      </c>
      <c r="B431">
        <v>71211882</v>
      </c>
      <c r="C431">
        <v>71211865</v>
      </c>
      <c r="D431">
        <v>67896442</v>
      </c>
      <c r="E431">
        <v>1</v>
      </c>
      <c r="F431">
        <v>1</v>
      </c>
      <c r="G431">
        <v>27</v>
      </c>
      <c r="H431">
        <v>3</v>
      </c>
      <c r="I431" t="s">
        <v>450</v>
      </c>
      <c r="J431" t="s">
        <v>452</v>
      </c>
      <c r="K431" t="s">
        <v>451</v>
      </c>
      <c r="L431">
        <v>1327</v>
      </c>
      <c r="N431">
        <v>1005</v>
      </c>
      <c r="O431" t="s">
        <v>18</v>
      </c>
      <c r="P431" t="s">
        <v>18</v>
      </c>
      <c r="Q431">
        <v>1</v>
      </c>
      <c r="X431">
        <v>1</v>
      </c>
      <c r="Y431">
        <v>931.2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 t="s">
        <v>3</v>
      </c>
      <c r="AG431">
        <v>1</v>
      </c>
      <c r="AH431">
        <v>3</v>
      </c>
      <c r="AI431">
        <v>-1</v>
      </c>
      <c r="AJ431" t="s">
        <v>3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</row>
    <row r="432" spans="1:44" x14ac:dyDescent="0.2">
      <c r="A432">
        <f>ROW(Source!A532)</f>
        <v>532</v>
      </c>
      <c r="B432">
        <v>71211898</v>
      </c>
      <c r="C432">
        <v>71211885</v>
      </c>
      <c r="D432">
        <v>67878646</v>
      </c>
      <c r="E432">
        <v>27</v>
      </c>
      <c r="F432">
        <v>1</v>
      </c>
      <c r="G432">
        <v>27</v>
      </c>
      <c r="H432">
        <v>1</v>
      </c>
      <c r="I432" t="s">
        <v>565</v>
      </c>
      <c r="J432" t="s">
        <v>3</v>
      </c>
      <c r="K432" t="s">
        <v>566</v>
      </c>
      <c r="L432">
        <v>1191</v>
      </c>
      <c r="N432">
        <v>1013</v>
      </c>
      <c r="O432" t="s">
        <v>567</v>
      </c>
      <c r="P432" t="s">
        <v>567</v>
      </c>
      <c r="Q432">
        <v>1</v>
      </c>
      <c r="X432">
        <v>6.22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1</v>
      </c>
      <c r="AF432" t="s">
        <v>3</v>
      </c>
      <c r="AG432">
        <v>6.22</v>
      </c>
      <c r="AH432">
        <v>3</v>
      </c>
      <c r="AI432">
        <v>-1</v>
      </c>
      <c r="AJ432" t="s">
        <v>3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44" x14ac:dyDescent="0.2">
      <c r="A433">
        <f>ROW(Source!A532)</f>
        <v>532</v>
      </c>
      <c r="B433">
        <v>71211899</v>
      </c>
      <c r="C433">
        <v>71211885</v>
      </c>
      <c r="D433">
        <v>67893015</v>
      </c>
      <c r="E433">
        <v>1</v>
      </c>
      <c r="F433">
        <v>1</v>
      </c>
      <c r="G433">
        <v>27</v>
      </c>
      <c r="H433">
        <v>3</v>
      </c>
      <c r="I433" t="s">
        <v>604</v>
      </c>
      <c r="J433" t="s">
        <v>605</v>
      </c>
      <c r="K433" t="s">
        <v>606</v>
      </c>
      <c r="L433">
        <v>1339</v>
      </c>
      <c r="N433">
        <v>1007</v>
      </c>
      <c r="O433" t="s">
        <v>236</v>
      </c>
      <c r="P433" t="s">
        <v>236</v>
      </c>
      <c r="Q433">
        <v>1</v>
      </c>
      <c r="X433">
        <v>0.29899999999999999</v>
      </c>
      <c r="Y433">
        <v>590.78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 t="s">
        <v>3</v>
      </c>
      <c r="AG433">
        <v>0.29899999999999999</v>
      </c>
      <c r="AH433">
        <v>3</v>
      </c>
      <c r="AI433">
        <v>-1</v>
      </c>
      <c r="AJ433" t="s">
        <v>3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</row>
    <row r="434" spans="1:44" x14ac:dyDescent="0.2">
      <c r="A434">
        <f>ROW(Source!A532)</f>
        <v>532</v>
      </c>
      <c r="B434">
        <v>71211900</v>
      </c>
      <c r="C434">
        <v>71211885</v>
      </c>
      <c r="D434">
        <v>67891963</v>
      </c>
      <c r="E434">
        <v>1</v>
      </c>
      <c r="F434">
        <v>1</v>
      </c>
      <c r="G434">
        <v>27</v>
      </c>
      <c r="H434">
        <v>3</v>
      </c>
      <c r="I434" t="s">
        <v>619</v>
      </c>
      <c r="J434" t="s">
        <v>620</v>
      </c>
      <c r="K434" t="s">
        <v>621</v>
      </c>
      <c r="L434">
        <v>1348</v>
      </c>
      <c r="N434">
        <v>1009</v>
      </c>
      <c r="O434" t="s">
        <v>35</v>
      </c>
      <c r="P434" t="s">
        <v>35</v>
      </c>
      <c r="Q434">
        <v>1000</v>
      </c>
      <c r="X434">
        <v>0.107</v>
      </c>
      <c r="Y434">
        <v>4207.5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 t="s">
        <v>3</v>
      </c>
      <c r="AG434">
        <v>0.107</v>
      </c>
      <c r="AH434">
        <v>3</v>
      </c>
      <c r="AI434">
        <v>-1</v>
      </c>
      <c r="AJ434" t="s">
        <v>3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44" x14ac:dyDescent="0.2">
      <c r="A435">
        <f>ROW(Source!A532)</f>
        <v>532</v>
      </c>
      <c r="B435">
        <v>71211901</v>
      </c>
      <c r="C435">
        <v>71211885</v>
      </c>
      <c r="D435">
        <v>67893760</v>
      </c>
      <c r="E435">
        <v>1</v>
      </c>
      <c r="F435">
        <v>1</v>
      </c>
      <c r="G435">
        <v>27</v>
      </c>
      <c r="H435">
        <v>3</v>
      </c>
      <c r="I435" t="s">
        <v>652</v>
      </c>
      <c r="J435" t="s">
        <v>653</v>
      </c>
      <c r="K435" t="s">
        <v>654</v>
      </c>
      <c r="L435">
        <v>1339</v>
      </c>
      <c r="N435">
        <v>1007</v>
      </c>
      <c r="O435" t="s">
        <v>236</v>
      </c>
      <c r="P435" t="s">
        <v>236</v>
      </c>
      <c r="Q435">
        <v>1</v>
      </c>
      <c r="X435">
        <v>7.6999999999999999E-2</v>
      </c>
      <c r="Y435">
        <v>35.25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  <c r="AF435" t="s">
        <v>3</v>
      </c>
      <c r="AG435">
        <v>7.6999999999999999E-2</v>
      </c>
      <c r="AH435">
        <v>3</v>
      </c>
      <c r="AI435">
        <v>-1</v>
      </c>
      <c r="AJ435" t="s">
        <v>3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x14ac:dyDescent="0.2">
      <c r="A436">
        <f>ROW(Source!A532)</f>
        <v>532</v>
      </c>
      <c r="B436">
        <v>71211902</v>
      </c>
      <c r="C436">
        <v>71211885</v>
      </c>
      <c r="D436">
        <v>67896447</v>
      </c>
      <c r="E436">
        <v>1</v>
      </c>
      <c r="F436">
        <v>1</v>
      </c>
      <c r="G436">
        <v>27</v>
      </c>
      <c r="H436">
        <v>3</v>
      </c>
      <c r="I436" t="s">
        <v>383</v>
      </c>
      <c r="J436" t="s">
        <v>385</v>
      </c>
      <c r="K436" t="s">
        <v>457</v>
      </c>
      <c r="L436">
        <v>1354</v>
      </c>
      <c r="N436">
        <v>1010</v>
      </c>
      <c r="O436" t="s">
        <v>232</v>
      </c>
      <c r="P436" t="s">
        <v>232</v>
      </c>
      <c r="Q436">
        <v>1</v>
      </c>
      <c r="X436">
        <v>10</v>
      </c>
      <c r="Y436">
        <v>236.53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 t="s">
        <v>3</v>
      </c>
      <c r="AG436">
        <v>10</v>
      </c>
      <c r="AH436">
        <v>3</v>
      </c>
      <c r="AI436">
        <v>-1</v>
      </c>
      <c r="AJ436" t="s">
        <v>3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</row>
    <row r="437" spans="1:44" x14ac:dyDescent="0.2">
      <c r="A437">
        <f>ROW(Source!A535)</f>
        <v>535</v>
      </c>
      <c r="B437">
        <v>71211910</v>
      </c>
      <c r="C437">
        <v>71211905</v>
      </c>
      <c r="D437">
        <v>67878646</v>
      </c>
      <c r="E437">
        <v>27</v>
      </c>
      <c r="F437">
        <v>1</v>
      </c>
      <c r="G437">
        <v>27</v>
      </c>
      <c r="H437">
        <v>1</v>
      </c>
      <c r="I437" t="s">
        <v>565</v>
      </c>
      <c r="J437" t="s">
        <v>3</v>
      </c>
      <c r="K437" t="s">
        <v>566</v>
      </c>
      <c r="L437">
        <v>1191</v>
      </c>
      <c r="N437">
        <v>1013</v>
      </c>
      <c r="O437" t="s">
        <v>567</v>
      </c>
      <c r="P437" t="s">
        <v>567</v>
      </c>
      <c r="Q437">
        <v>1</v>
      </c>
      <c r="X437">
        <v>79.349999999999994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1</v>
      </c>
      <c r="AF437" t="s">
        <v>3</v>
      </c>
      <c r="AG437">
        <v>79.349999999999994</v>
      </c>
      <c r="AH437">
        <v>3</v>
      </c>
      <c r="AI437">
        <v>-1</v>
      </c>
      <c r="AJ437" t="s">
        <v>3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</row>
    <row r="438" spans="1:44" x14ac:dyDescent="0.2">
      <c r="A438">
        <f>ROW(Source!A535)</f>
        <v>535</v>
      </c>
      <c r="B438">
        <v>71211911</v>
      </c>
      <c r="C438">
        <v>71211905</v>
      </c>
      <c r="D438">
        <v>67896533</v>
      </c>
      <c r="E438">
        <v>1</v>
      </c>
      <c r="F438">
        <v>1</v>
      </c>
      <c r="G438">
        <v>27</v>
      </c>
      <c r="H438">
        <v>3</v>
      </c>
      <c r="I438" t="s">
        <v>879</v>
      </c>
      <c r="J438" t="s">
        <v>880</v>
      </c>
      <c r="K438" t="s">
        <v>881</v>
      </c>
      <c r="L438">
        <v>1354</v>
      </c>
      <c r="N438">
        <v>1010</v>
      </c>
      <c r="O438" t="s">
        <v>232</v>
      </c>
      <c r="P438" t="s">
        <v>232</v>
      </c>
      <c r="Q438">
        <v>1</v>
      </c>
      <c r="X438">
        <v>100</v>
      </c>
      <c r="Y438">
        <v>127.21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 t="s">
        <v>3</v>
      </c>
      <c r="AG438">
        <v>100</v>
      </c>
      <c r="AH438">
        <v>3</v>
      </c>
      <c r="AI438">
        <v>-1</v>
      </c>
      <c r="AJ438" t="s">
        <v>3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44" x14ac:dyDescent="0.2">
      <c r="A439">
        <f>ROW(Source!A535)</f>
        <v>535</v>
      </c>
      <c r="B439">
        <v>71211912</v>
      </c>
      <c r="C439">
        <v>71211905</v>
      </c>
      <c r="D439">
        <v>67879372</v>
      </c>
      <c r="E439">
        <v>27</v>
      </c>
      <c r="F439">
        <v>1</v>
      </c>
      <c r="G439">
        <v>27</v>
      </c>
      <c r="H439">
        <v>3</v>
      </c>
      <c r="I439" t="s">
        <v>882</v>
      </c>
      <c r="J439" t="s">
        <v>3</v>
      </c>
      <c r="K439" t="s">
        <v>883</v>
      </c>
      <c r="L439">
        <v>1354</v>
      </c>
      <c r="N439">
        <v>1010</v>
      </c>
      <c r="O439" t="s">
        <v>232</v>
      </c>
      <c r="P439" t="s">
        <v>232</v>
      </c>
      <c r="Q439">
        <v>1</v>
      </c>
      <c r="X439">
        <v>100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t="s">
        <v>3</v>
      </c>
      <c r="AG439">
        <v>100</v>
      </c>
      <c r="AH439">
        <v>3</v>
      </c>
      <c r="AI439">
        <v>-1</v>
      </c>
      <c r="AJ439" t="s">
        <v>3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44" x14ac:dyDescent="0.2">
      <c r="A440">
        <f>ROW(Source!A537)</f>
        <v>537</v>
      </c>
      <c r="B440">
        <v>71211939</v>
      </c>
      <c r="C440">
        <v>71211914</v>
      </c>
      <c r="D440">
        <v>67878646</v>
      </c>
      <c r="E440">
        <v>27</v>
      </c>
      <c r="F440">
        <v>1</v>
      </c>
      <c r="G440">
        <v>27</v>
      </c>
      <c r="H440">
        <v>1</v>
      </c>
      <c r="I440" t="s">
        <v>565</v>
      </c>
      <c r="J440" t="s">
        <v>3</v>
      </c>
      <c r="K440" t="s">
        <v>566</v>
      </c>
      <c r="L440">
        <v>1191</v>
      </c>
      <c r="N440">
        <v>1013</v>
      </c>
      <c r="O440" t="s">
        <v>567</v>
      </c>
      <c r="P440" t="s">
        <v>567</v>
      </c>
      <c r="Q440">
        <v>1</v>
      </c>
      <c r="X440">
        <v>185.15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1</v>
      </c>
      <c r="AF440" t="s">
        <v>3</v>
      </c>
      <c r="AG440">
        <v>185.15</v>
      </c>
      <c r="AH440">
        <v>3</v>
      </c>
      <c r="AI440">
        <v>-1</v>
      </c>
      <c r="AJ440" t="s">
        <v>3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</row>
    <row r="441" spans="1:44" x14ac:dyDescent="0.2">
      <c r="A441">
        <f>ROW(Source!A537)</f>
        <v>537</v>
      </c>
      <c r="B441">
        <v>71211940</v>
      </c>
      <c r="C441">
        <v>71211914</v>
      </c>
      <c r="D441">
        <v>67891313</v>
      </c>
      <c r="E441">
        <v>1</v>
      </c>
      <c r="F441">
        <v>1</v>
      </c>
      <c r="G441">
        <v>27</v>
      </c>
      <c r="H441">
        <v>2</v>
      </c>
      <c r="I441" t="s">
        <v>691</v>
      </c>
      <c r="J441" t="s">
        <v>692</v>
      </c>
      <c r="K441" t="s">
        <v>693</v>
      </c>
      <c r="L441">
        <v>1368</v>
      </c>
      <c r="N441">
        <v>1011</v>
      </c>
      <c r="O441" t="s">
        <v>571</v>
      </c>
      <c r="P441" t="s">
        <v>571</v>
      </c>
      <c r="Q441">
        <v>1</v>
      </c>
      <c r="X441">
        <v>76.25</v>
      </c>
      <c r="Y441">
        <v>0</v>
      </c>
      <c r="Z441">
        <v>27.21</v>
      </c>
      <c r="AA441">
        <v>0.13</v>
      </c>
      <c r="AB441">
        <v>0</v>
      </c>
      <c r="AC441">
        <v>0</v>
      </c>
      <c r="AD441">
        <v>1</v>
      </c>
      <c r="AE441">
        <v>0</v>
      </c>
      <c r="AF441" t="s">
        <v>3</v>
      </c>
      <c r="AG441">
        <v>76.25</v>
      </c>
      <c r="AH441">
        <v>3</v>
      </c>
      <c r="AI441">
        <v>-1</v>
      </c>
      <c r="AJ441" t="s">
        <v>3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</row>
    <row r="442" spans="1:44" x14ac:dyDescent="0.2">
      <c r="A442">
        <f>ROW(Source!A537)</f>
        <v>537</v>
      </c>
      <c r="B442">
        <v>71211941</v>
      </c>
      <c r="C442">
        <v>71211914</v>
      </c>
      <c r="D442">
        <v>67891315</v>
      </c>
      <c r="E442">
        <v>1</v>
      </c>
      <c r="F442">
        <v>1</v>
      </c>
      <c r="G442">
        <v>27</v>
      </c>
      <c r="H442">
        <v>2</v>
      </c>
      <c r="I442" t="s">
        <v>884</v>
      </c>
      <c r="J442" t="s">
        <v>885</v>
      </c>
      <c r="K442" t="s">
        <v>886</v>
      </c>
      <c r="L442">
        <v>1368</v>
      </c>
      <c r="N442">
        <v>1011</v>
      </c>
      <c r="O442" t="s">
        <v>571</v>
      </c>
      <c r="P442" t="s">
        <v>571</v>
      </c>
      <c r="Q442">
        <v>1</v>
      </c>
      <c r="X442">
        <v>2.25</v>
      </c>
      <c r="Y442">
        <v>0</v>
      </c>
      <c r="Z442">
        <v>6.29</v>
      </c>
      <c r="AA442">
        <v>0.14000000000000001</v>
      </c>
      <c r="AB442">
        <v>0</v>
      </c>
      <c r="AC442">
        <v>0</v>
      </c>
      <c r="AD442">
        <v>1</v>
      </c>
      <c r="AE442">
        <v>0</v>
      </c>
      <c r="AF442" t="s">
        <v>3</v>
      </c>
      <c r="AG442">
        <v>2.25</v>
      </c>
      <c r="AH442">
        <v>3</v>
      </c>
      <c r="AI442">
        <v>-1</v>
      </c>
      <c r="AJ442" t="s">
        <v>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</row>
    <row r="443" spans="1:44" x14ac:dyDescent="0.2">
      <c r="A443">
        <f>ROW(Source!A537)</f>
        <v>537</v>
      </c>
      <c r="B443">
        <v>71211942</v>
      </c>
      <c r="C443">
        <v>71211914</v>
      </c>
      <c r="D443">
        <v>67891771</v>
      </c>
      <c r="E443">
        <v>1</v>
      </c>
      <c r="F443">
        <v>1</v>
      </c>
      <c r="G443">
        <v>27</v>
      </c>
      <c r="H443">
        <v>2</v>
      </c>
      <c r="I443" t="s">
        <v>589</v>
      </c>
      <c r="J443" t="s">
        <v>748</v>
      </c>
      <c r="K443" t="s">
        <v>591</v>
      </c>
      <c r="L443">
        <v>1368</v>
      </c>
      <c r="N443">
        <v>1011</v>
      </c>
      <c r="O443" t="s">
        <v>571</v>
      </c>
      <c r="P443" t="s">
        <v>571</v>
      </c>
      <c r="Q443">
        <v>1</v>
      </c>
      <c r="X443">
        <v>0.25</v>
      </c>
      <c r="Y443">
        <v>0</v>
      </c>
      <c r="Z443">
        <v>7.44</v>
      </c>
      <c r="AA443">
        <v>0.98</v>
      </c>
      <c r="AB443">
        <v>0</v>
      </c>
      <c r="AC443">
        <v>0</v>
      </c>
      <c r="AD443">
        <v>1</v>
      </c>
      <c r="AE443">
        <v>0</v>
      </c>
      <c r="AF443" t="s">
        <v>3</v>
      </c>
      <c r="AG443">
        <v>0.25</v>
      </c>
      <c r="AH443">
        <v>3</v>
      </c>
      <c r="AI443">
        <v>-1</v>
      </c>
      <c r="AJ443" t="s">
        <v>3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44" x14ac:dyDescent="0.2">
      <c r="A444">
        <f>ROW(Source!A537)</f>
        <v>537</v>
      </c>
      <c r="B444">
        <v>71211943</v>
      </c>
      <c r="C444">
        <v>71211914</v>
      </c>
      <c r="D444">
        <v>67891699</v>
      </c>
      <c r="E444">
        <v>1</v>
      </c>
      <c r="F444">
        <v>1</v>
      </c>
      <c r="G444">
        <v>27</v>
      </c>
      <c r="H444">
        <v>2</v>
      </c>
      <c r="I444" t="s">
        <v>730</v>
      </c>
      <c r="J444" t="s">
        <v>731</v>
      </c>
      <c r="K444" t="s">
        <v>732</v>
      </c>
      <c r="L444">
        <v>1368</v>
      </c>
      <c r="N444">
        <v>1011</v>
      </c>
      <c r="O444" t="s">
        <v>571</v>
      </c>
      <c r="P444" t="s">
        <v>571</v>
      </c>
      <c r="Q444">
        <v>1</v>
      </c>
      <c r="X444">
        <v>0.38</v>
      </c>
      <c r="Y444">
        <v>0</v>
      </c>
      <c r="Z444">
        <v>5.94</v>
      </c>
      <c r="AA444">
        <v>0.02</v>
      </c>
      <c r="AB444">
        <v>0</v>
      </c>
      <c r="AC444">
        <v>0</v>
      </c>
      <c r="AD444">
        <v>1</v>
      </c>
      <c r="AE444">
        <v>0</v>
      </c>
      <c r="AF444" t="s">
        <v>3</v>
      </c>
      <c r="AG444">
        <v>0.38</v>
      </c>
      <c r="AH444">
        <v>3</v>
      </c>
      <c r="AI444">
        <v>-1</v>
      </c>
      <c r="AJ444" t="s">
        <v>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44" x14ac:dyDescent="0.2">
      <c r="A445">
        <f>ROW(Source!A537)</f>
        <v>537</v>
      </c>
      <c r="B445">
        <v>71211944</v>
      </c>
      <c r="C445">
        <v>71211914</v>
      </c>
      <c r="D445">
        <v>67891739</v>
      </c>
      <c r="E445">
        <v>1</v>
      </c>
      <c r="F445">
        <v>1</v>
      </c>
      <c r="G445">
        <v>27</v>
      </c>
      <c r="H445">
        <v>2</v>
      </c>
      <c r="I445" t="s">
        <v>887</v>
      </c>
      <c r="J445" t="s">
        <v>888</v>
      </c>
      <c r="K445" t="s">
        <v>889</v>
      </c>
      <c r="L445">
        <v>1368</v>
      </c>
      <c r="N445">
        <v>1011</v>
      </c>
      <c r="O445" t="s">
        <v>571</v>
      </c>
      <c r="P445" t="s">
        <v>571</v>
      </c>
      <c r="Q445">
        <v>1</v>
      </c>
      <c r="X445">
        <v>2.62</v>
      </c>
      <c r="Y445">
        <v>0</v>
      </c>
      <c r="Z445">
        <v>671.87</v>
      </c>
      <c r="AA445">
        <v>257.87</v>
      </c>
      <c r="AB445">
        <v>0</v>
      </c>
      <c r="AC445">
        <v>0</v>
      </c>
      <c r="AD445">
        <v>1</v>
      </c>
      <c r="AE445">
        <v>0</v>
      </c>
      <c r="AF445" t="s">
        <v>3</v>
      </c>
      <c r="AG445">
        <v>2.62</v>
      </c>
      <c r="AH445">
        <v>3</v>
      </c>
      <c r="AI445">
        <v>-1</v>
      </c>
      <c r="AJ445" t="s">
        <v>3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44" x14ac:dyDescent="0.2">
      <c r="A446">
        <f>ROW(Source!A537)</f>
        <v>537</v>
      </c>
      <c r="B446">
        <v>71211945</v>
      </c>
      <c r="C446">
        <v>71211914</v>
      </c>
      <c r="D446">
        <v>67891740</v>
      </c>
      <c r="E446">
        <v>1</v>
      </c>
      <c r="F446">
        <v>1</v>
      </c>
      <c r="G446">
        <v>27</v>
      </c>
      <c r="H446">
        <v>2</v>
      </c>
      <c r="I446" t="s">
        <v>890</v>
      </c>
      <c r="J446" t="s">
        <v>891</v>
      </c>
      <c r="K446" t="s">
        <v>892</v>
      </c>
      <c r="L446">
        <v>1368</v>
      </c>
      <c r="N446">
        <v>1011</v>
      </c>
      <c r="O446" t="s">
        <v>571</v>
      </c>
      <c r="P446" t="s">
        <v>571</v>
      </c>
      <c r="Q446">
        <v>1</v>
      </c>
      <c r="X446">
        <v>1.75</v>
      </c>
      <c r="Y446">
        <v>0</v>
      </c>
      <c r="Z446">
        <v>364.4</v>
      </c>
      <c r="AA446">
        <v>325.58</v>
      </c>
      <c r="AB446">
        <v>0</v>
      </c>
      <c r="AC446">
        <v>0</v>
      </c>
      <c r="AD446">
        <v>1</v>
      </c>
      <c r="AE446">
        <v>0</v>
      </c>
      <c r="AF446" t="s">
        <v>3</v>
      </c>
      <c r="AG446">
        <v>1.75</v>
      </c>
      <c r="AH446">
        <v>3</v>
      </c>
      <c r="AI446">
        <v>-1</v>
      </c>
      <c r="AJ446" t="s">
        <v>3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</row>
    <row r="447" spans="1:44" x14ac:dyDescent="0.2">
      <c r="A447">
        <f>ROW(Source!A537)</f>
        <v>537</v>
      </c>
      <c r="B447">
        <v>71211946</v>
      </c>
      <c r="C447">
        <v>71211914</v>
      </c>
      <c r="D447">
        <v>67891744</v>
      </c>
      <c r="E447">
        <v>1</v>
      </c>
      <c r="F447">
        <v>1</v>
      </c>
      <c r="G447">
        <v>27</v>
      </c>
      <c r="H447">
        <v>2</v>
      </c>
      <c r="I447" t="s">
        <v>893</v>
      </c>
      <c r="J447" t="s">
        <v>894</v>
      </c>
      <c r="K447" t="s">
        <v>895</v>
      </c>
      <c r="L447">
        <v>1368</v>
      </c>
      <c r="N447">
        <v>1011</v>
      </c>
      <c r="O447" t="s">
        <v>571</v>
      </c>
      <c r="P447" t="s">
        <v>571</v>
      </c>
      <c r="Q447">
        <v>1</v>
      </c>
      <c r="X447">
        <v>3.75</v>
      </c>
      <c r="Y447">
        <v>0</v>
      </c>
      <c r="Z447">
        <v>806.39</v>
      </c>
      <c r="AA447">
        <v>513.54</v>
      </c>
      <c r="AB447">
        <v>0</v>
      </c>
      <c r="AC447">
        <v>0</v>
      </c>
      <c r="AD447">
        <v>1</v>
      </c>
      <c r="AE447">
        <v>0</v>
      </c>
      <c r="AF447" t="s">
        <v>3</v>
      </c>
      <c r="AG447">
        <v>3.75</v>
      </c>
      <c r="AH447">
        <v>3</v>
      </c>
      <c r="AI447">
        <v>-1</v>
      </c>
      <c r="AJ447" t="s">
        <v>3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</row>
    <row r="448" spans="1:44" x14ac:dyDescent="0.2">
      <c r="A448">
        <f>ROW(Source!A537)</f>
        <v>537</v>
      </c>
      <c r="B448">
        <v>71211947</v>
      </c>
      <c r="C448">
        <v>71211914</v>
      </c>
      <c r="D448">
        <v>67892695</v>
      </c>
      <c r="E448">
        <v>1</v>
      </c>
      <c r="F448">
        <v>1</v>
      </c>
      <c r="G448">
        <v>27</v>
      </c>
      <c r="H448">
        <v>3</v>
      </c>
      <c r="I448" t="s">
        <v>896</v>
      </c>
      <c r="J448" t="s">
        <v>897</v>
      </c>
      <c r="K448" t="s">
        <v>898</v>
      </c>
      <c r="L448">
        <v>1348</v>
      </c>
      <c r="N448">
        <v>1009</v>
      </c>
      <c r="O448" t="s">
        <v>35</v>
      </c>
      <c r="P448" t="s">
        <v>35</v>
      </c>
      <c r="Q448">
        <v>1000</v>
      </c>
      <c r="X448">
        <v>1.0640000000000001</v>
      </c>
      <c r="Y448">
        <v>37354.800000000003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 t="s">
        <v>3</v>
      </c>
      <c r="AG448">
        <v>1.0640000000000001</v>
      </c>
      <c r="AH448">
        <v>3</v>
      </c>
      <c r="AI448">
        <v>-1</v>
      </c>
      <c r="AJ448" t="s">
        <v>3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4" x14ac:dyDescent="0.2">
      <c r="A449">
        <f>ROW(Source!A537)</f>
        <v>537</v>
      </c>
      <c r="B449">
        <v>71211948</v>
      </c>
      <c r="C449">
        <v>71211914</v>
      </c>
      <c r="D449">
        <v>67893667</v>
      </c>
      <c r="E449">
        <v>1</v>
      </c>
      <c r="F449">
        <v>1</v>
      </c>
      <c r="G449">
        <v>27</v>
      </c>
      <c r="H449">
        <v>3</v>
      </c>
      <c r="I449" t="s">
        <v>575</v>
      </c>
      <c r="J449" t="s">
        <v>576</v>
      </c>
      <c r="K449" t="s">
        <v>577</v>
      </c>
      <c r="L449">
        <v>1348</v>
      </c>
      <c r="N449">
        <v>1009</v>
      </c>
      <c r="O449" t="s">
        <v>35</v>
      </c>
      <c r="P449" t="s">
        <v>35</v>
      </c>
      <c r="Q449">
        <v>1000</v>
      </c>
      <c r="X449">
        <v>4.3799999999999999E-2</v>
      </c>
      <c r="Y449">
        <v>110781.14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 t="s">
        <v>3</v>
      </c>
      <c r="AG449">
        <v>4.3799999999999999E-2</v>
      </c>
      <c r="AH449">
        <v>3</v>
      </c>
      <c r="AI449">
        <v>-1</v>
      </c>
      <c r="AJ449" t="s">
        <v>3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4" x14ac:dyDescent="0.2">
      <c r="A450">
        <f>ROW(Source!A537)</f>
        <v>537</v>
      </c>
      <c r="B450">
        <v>71211949</v>
      </c>
      <c r="C450">
        <v>71211914</v>
      </c>
      <c r="D450">
        <v>67892050</v>
      </c>
      <c r="E450">
        <v>1</v>
      </c>
      <c r="F450">
        <v>1</v>
      </c>
      <c r="G450">
        <v>27</v>
      </c>
      <c r="H450">
        <v>3</v>
      </c>
      <c r="I450" t="s">
        <v>899</v>
      </c>
      <c r="J450" t="s">
        <v>900</v>
      </c>
      <c r="K450" t="s">
        <v>901</v>
      </c>
      <c r="L450">
        <v>1339</v>
      </c>
      <c r="N450">
        <v>1007</v>
      </c>
      <c r="O450" t="s">
        <v>236</v>
      </c>
      <c r="P450" t="s">
        <v>236</v>
      </c>
      <c r="Q450">
        <v>1</v>
      </c>
      <c r="X450">
        <v>1.1000000000000001</v>
      </c>
      <c r="Y450">
        <v>53.38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 t="s">
        <v>3</v>
      </c>
      <c r="AG450">
        <v>1.1000000000000001</v>
      </c>
      <c r="AH450">
        <v>3</v>
      </c>
      <c r="AI450">
        <v>-1</v>
      </c>
      <c r="AJ450" t="s">
        <v>3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4" x14ac:dyDescent="0.2">
      <c r="A451">
        <f>ROW(Source!A537)</f>
        <v>537</v>
      </c>
      <c r="B451">
        <v>71211950</v>
      </c>
      <c r="C451">
        <v>71211914</v>
      </c>
      <c r="D451">
        <v>67892071</v>
      </c>
      <c r="E451">
        <v>1</v>
      </c>
      <c r="F451">
        <v>1</v>
      </c>
      <c r="G451">
        <v>27</v>
      </c>
      <c r="H451">
        <v>3</v>
      </c>
      <c r="I451" t="s">
        <v>902</v>
      </c>
      <c r="J451" t="s">
        <v>903</v>
      </c>
      <c r="K451" t="s">
        <v>904</v>
      </c>
      <c r="L451">
        <v>1339</v>
      </c>
      <c r="N451">
        <v>1007</v>
      </c>
      <c r="O451" t="s">
        <v>236</v>
      </c>
      <c r="P451" t="s">
        <v>236</v>
      </c>
      <c r="Q451">
        <v>1</v>
      </c>
      <c r="X451">
        <v>0.3</v>
      </c>
      <c r="Y451">
        <v>32.520000000000003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 t="s">
        <v>3</v>
      </c>
      <c r="AG451">
        <v>0.3</v>
      </c>
      <c r="AH451">
        <v>3</v>
      </c>
      <c r="AI451">
        <v>-1</v>
      </c>
      <c r="AJ451" t="s">
        <v>3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</row>
    <row r="452" spans="1:44" x14ac:dyDescent="0.2">
      <c r="A452">
        <f>ROW(Source!A538)</f>
        <v>538</v>
      </c>
      <c r="B452">
        <v>71211962</v>
      </c>
      <c r="C452">
        <v>71211951</v>
      </c>
      <c r="D452">
        <v>67878646</v>
      </c>
      <c r="E452">
        <v>27</v>
      </c>
      <c r="F452">
        <v>1</v>
      </c>
      <c r="G452">
        <v>27</v>
      </c>
      <c r="H452">
        <v>1</v>
      </c>
      <c r="I452" t="s">
        <v>565</v>
      </c>
      <c r="J452" t="s">
        <v>3</v>
      </c>
      <c r="K452" t="s">
        <v>566</v>
      </c>
      <c r="L452">
        <v>1191</v>
      </c>
      <c r="N452">
        <v>1013</v>
      </c>
      <c r="O452" t="s">
        <v>567</v>
      </c>
      <c r="P452" t="s">
        <v>567</v>
      </c>
      <c r="Q452">
        <v>1</v>
      </c>
      <c r="X452">
        <v>133.4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1</v>
      </c>
      <c r="AF452" t="s">
        <v>3</v>
      </c>
      <c r="AG452">
        <v>133.4</v>
      </c>
      <c r="AH452">
        <v>3</v>
      </c>
      <c r="AI452">
        <v>-1</v>
      </c>
      <c r="AJ452" t="s">
        <v>3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4" x14ac:dyDescent="0.2">
      <c r="A453">
        <f>ROW(Source!A538)</f>
        <v>538</v>
      </c>
      <c r="B453">
        <v>71211963</v>
      </c>
      <c r="C453">
        <v>71211951</v>
      </c>
      <c r="D453">
        <v>67890991</v>
      </c>
      <c r="E453">
        <v>1</v>
      </c>
      <c r="F453">
        <v>1</v>
      </c>
      <c r="G453">
        <v>27</v>
      </c>
      <c r="H453">
        <v>2</v>
      </c>
      <c r="I453" t="s">
        <v>568</v>
      </c>
      <c r="J453" t="s">
        <v>569</v>
      </c>
      <c r="K453" t="s">
        <v>570</v>
      </c>
      <c r="L453">
        <v>1368</v>
      </c>
      <c r="N453">
        <v>1011</v>
      </c>
      <c r="O453" t="s">
        <v>571</v>
      </c>
      <c r="P453" t="s">
        <v>571</v>
      </c>
      <c r="Q453">
        <v>1</v>
      </c>
      <c r="X453">
        <v>29</v>
      </c>
      <c r="Y453">
        <v>0</v>
      </c>
      <c r="Z453">
        <v>31</v>
      </c>
      <c r="AA453">
        <v>1.35</v>
      </c>
      <c r="AB453">
        <v>0</v>
      </c>
      <c r="AC453">
        <v>0</v>
      </c>
      <c r="AD453">
        <v>1</v>
      </c>
      <c r="AE453">
        <v>0</v>
      </c>
      <c r="AF453" t="s">
        <v>3</v>
      </c>
      <c r="AG453">
        <v>29</v>
      </c>
      <c r="AH453">
        <v>3</v>
      </c>
      <c r="AI453">
        <v>-1</v>
      </c>
      <c r="AJ453" t="s">
        <v>3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4" x14ac:dyDescent="0.2">
      <c r="A454">
        <f>ROW(Source!A538)</f>
        <v>538</v>
      </c>
      <c r="B454">
        <v>71211964</v>
      </c>
      <c r="C454">
        <v>71211951</v>
      </c>
      <c r="D454">
        <v>67892810</v>
      </c>
      <c r="E454">
        <v>1</v>
      </c>
      <c r="F454">
        <v>1</v>
      </c>
      <c r="G454">
        <v>27</v>
      </c>
      <c r="H454">
        <v>3</v>
      </c>
      <c r="I454" t="s">
        <v>572</v>
      </c>
      <c r="J454" t="s">
        <v>573</v>
      </c>
      <c r="K454" t="s">
        <v>574</v>
      </c>
      <c r="L454">
        <v>1348</v>
      </c>
      <c r="N454">
        <v>1009</v>
      </c>
      <c r="O454" t="s">
        <v>35</v>
      </c>
      <c r="P454" t="s">
        <v>35</v>
      </c>
      <c r="Q454">
        <v>1000</v>
      </c>
      <c r="X454">
        <v>6.0000000000000001E-3</v>
      </c>
      <c r="Y454">
        <v>105084.63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 t="s">
        <v>3</v>
      </c>
      <c r="AG454">
        <v>6.0000000000000001E-3</v>
      </c>
      <c r="AH454">
        <v>3</v>
      </c>
      <c r="AI454">
        <v>-1</v>
      </c>
      <c r="AJ454" t="s">
        <v>3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</row>
    <row r="455" spans="1:44" x14ac:dyDescent="0.2">
      <c r="A455">
        <f>ROW(Source!A538)</f>
        <v>538</v>
      </c>
      <c r="B455">
        <v>71211965</v>
      </c>
      <c r="C455">
        <v>71211951</v>
      </c>
      <c r="D455">
        <v>67893667</v>
      </c>
      <c r="E455">
        <v>1</v>
      </c>
      <c r="F455">
        <v>1</v>
      </c>
      <c r="G455">
        <v>27</v>
      </c>
      <c r="H455">
        <v>3</v>
      </c>
      <c r="I455" t="s">
        <v>575</v>
      </c>
      <c r="J455" t="s">
        <v>576</v>
      </c>
      <c r="K455" t="s">
        <v>577</v>
      </c>
      <c r="L455">
        <v>1348</v>
      </c>
      <c r="N455">
        <v>1009</v>
      </c>
      <c r="O455" t="s">
        <v>35</v>
      </c>
      <c r="P455" t="s">
        <v>35</v>
      </c>
      <c r="Q455">
        <v>1000</v>
      </c>
      <c r="X455">
        <v>3.0000000000000001E-3</v>
      </c>
      <c r="Y455">
        <v>110781.14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 t="s">
        <v>3</v>
      </c>
      <c r="AG455">
        <v>3.0000000000000001E-3</v>
      </c>
      <c r="AH455">
        <v>3</v>
      </c>
      <c r="AI455">
        <v>-1</v>
      </c>
      <c r="AJ455" t="s">
        <v>3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4" x14ac:dyDescent="0.2">
      <c r="A456">
        <f>ROW(Source!A538)</f>
        <v>538</v>
      </c>
      <c r="B456">
        <v>71211966</v>
      </c>
      <c r="C456">
        <v>71211951</v>
      </c>
      <c r="D456">
        <v>67895779</v>
      </c>
      <c r="E456">
        <v>1</v>
      </c>
      <c r="F456">
        <v>1</v>
      </c>
      <c r="G456">
        <v>27</v>
      </c>
      <c r="H456">
        <v>3</v>
      </c>
      <c r="I456" t="s">
        <v>578</v>
      </c>
      <c r="J456" t="s">
        <v>579</v>
      </c>
      <c r="K456" t="s">
        <v>580</v>
      </c>
      <c r="L456">
        <v>1348</v>
      </c>
      <c r="N456">
        <v>1009</v>
      </c>
      <c r="O456" t="s">
        <v>35</v>
      </c>
      <c r="P456" t="s">
        <v>35</v>
      </c>
      <c r="Q456">
        <v>1000</v>
      </c>
      <c r="X456">
        <v>1</v>
      </c>
      <c r="Y456">
        <v>79722.539999999994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 t="s">
        <v>3</v>
      </c>
      <c r="AG456">
        <v>1</v>
      </c>
      <c r="AH456">
        <v>3</v>
      </c>
      <c r="AI456">
        <v>-1</v>
      </c>
      <c r="AJ456" t="s">
        <v>3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2">
      <c r="A457">
        <f>ROW(Source!A539)</f>
        <v>539</v>
      </c>
      <c r="B457">
        <v>71211980</v>
      </c>
      <c r="C457">
        <v>71211967</v>
      </c>
      <c r="D457">
        <v>67878646</v>
      </c>
      <c r="E457">
        <v>27</v>
      </c>
      <c r="F457">
        <v>1</v>
      </c>
      <c r="G457">
        <v>27</v>
      </c>
      <c r="H457">
        <v>1</v>
      </c>
      <c r="I457" t="s">
        <v>565</v>
      </c>
      <c r="J457" t="s">
        <v>3</v>
      </c>
      <c r="K457" t="s">
        <v>566</v>
      </c>
      <c r="L457">
        <v>1191</v>
      </c>
      <c r="N457">
        <v>1013</v>
      </c>
      <c r="O457" t="s">
        <v>567</v>
      </c>
      <c r="P457" t="s">
        <v>567</v>
      </c>
      <c r="Q457">
        <v>1</v>
      </c>
      <c r="X457">
        <v>6.11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1</v>
      </c>
      <c r="AF457" t="s">
        <v>3</v>
      </c>
      <c r="AG457">
        <v>6.11</v>
      </c>
      <c r="AH457">
        <v>3</v>
      </c>
      <c r="AI457">
        <v>-1</v>
      </c>
      <c r="AJ457" t="s">
        <v>3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4" x14ac:dyDescent="0.2">
      <c r="A458">
        <f>ROW(Source!A539)</f>
        <v>539</v>
      </c>
      <c r="B458">
        <v>71211981</v>
      </c>
      <c r="C458">
        <v>71211967</v>
      </c>
      <c r="D458">
        <v>67891223</v>
      </c>
      <c r="E458">
        <v>1</v>
      </c>
      <c r="F458">
        <v>1</v>
      </c>
      <c r="G458">
        <v>27</v>
      </c>
      <c r="H458">
        <v>2</v>
      </c>
      <c r="I458" t="s">
        <v>905</v>
      </c>
      <c r="J458" t="s">
        <v>906</v>
      </c>
      <c r="K458" t="s">
        <v>907</v>
      </c>
      <c r="L458">
        <v>1368</v>
      </c>
      <c r="N458">
        <v>1011</v>
      </c>
      <c r="O458" t="s">
        <v>571</v>
      </c>
      <c r="P458" t="s">
        <v>571</v>
      </c>
      <c r="Q458">
        <v>1</v>
      </c>
      <c r="X458">
        <v>1.4</v>
      </c>
      <c r="Y458">
        <v>0</v>
      </c>
      <c r="Z458">
        <v>98.05</v>
      </c>
      <c r="AA458">
        <v>33.06</v>
      </c>
      <c r="AB458">
        <v>0</v>
      </c>
      <c r="AC458">
        <v>0</v>
      </c>
      <c r="AD458">
        <v>1</v>
      </c>
      <c r="AE458">
        <v>0</v>
      </c>
      <c r="AF458" t="s">
        <v>3</v>
      </c>
      <c r="AG458">
        <v>1.4</v>
      </c>
      <c r="AH458">
        <v>3</v>
      </c>
      <c r="AI458">
        <v>-1</v>
      </c>
      <c r="AJ458" t="s">
        <v>3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4" x14ac:dyDescent="0.2">
      <c r="A459">
        <f>ROW(Source!A539)</f>
        <v>539</v>
      </c>
      <c r="B459">
        <v>71211982</v>
      </c>
      <c r="C459">
        <v>71211967</v>
      </c>
      <c r="D459">
        <v>67890976</v>
      </c>
      <c r="E459">
        <v>1</v>
      </c>
      <c r="F459">
        <v>1</v>
      </c>
      <c r="G459">
        <v>27</v>
      </c>
      <c r="H459">
        <v>2</v>
      </c>
      <c r="I459" t="s">
        <v>697</v>
      </c>
      <c r="J459" t="s">
        <v>698</v>
      </c>
      <c r="K459" t="s">
        <v>699</v>
      </c>
      <c r="L459">
        <v>1368</v>
      </c>
      <c r="N459">
        <v>1011</v>
      </c>
      <c r="O459" t="s">
        <v>571</v>
      </c>
      <c r="P459" t="s">
        <v>571</v>
      </c>
      <c r="Q459">
        <v>1</v>
      </c>
      <c r="X459">
        <v>0.01</v>
      </c>
      <c r="Y459">
        <v>0</v>
      </c>
      <c r="Z459">
        <v>683.9</v>
      </c>
      <c r="AA459">
        <v>371.27</v>
      </c>
      <c r="AB459">
        <v>0</v>
      </c>
      <c r="AC459">
        <v>0</v>
      </c>
      <c r="AD459">
        <v>1</v>
      </c>
      <c r="AE459">
        <v>0</v>
      </c>
      <c r="AF459" t="s">
        <v>3</v>
      </c>
      <c r="AG459">
        <v>0.01</v>
      </c>
      <c r="AH459">
        <v>3</v>
      </c>
      <c r="AI459">
        <v>-1</v>
      </c>
      <c r="AJ459" t="s">
        <v>3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4" x14ac:dyDescent="0.2">
      <c r="A460">
        <f>ROW(Source!A539)</f>
        <v>539</v>
      </c>
      <c r="B460">
        <v>71211983</v>
      </c>
      <c r="C460">
        <v>71211967</v>
      </c>
      <c r="D460">
        <v>67890990</v>
      </c>
      <c r="E460">
        <v>1</v>
      </c>
      <c r="F460">
        <v>1</v>
      </c>
      <c r="G460">
        <v>27</v>
      </c>
      <c r="H460">
        <v>2</v>
      </c>
      <c r="I460" t="s">
        <v>581</v>
      </c>
      <c r="J460" t="s">
        <v>582</v>
      </c>
      <c r="K460" t="s">
        <v>583</v>
      </c>
      <c r="L460">
        <v>1368</v>
      </c>
      <c r="N460">
        <v>1011</v>
      </c>
      <c r="O460" t="s">
        <v>571</v>
      </c>
      <c r="P460" t="s">
        <v>571</v>
      </c>
      <c r="Q460">
        <v>1</v>
      </c>
      <c r="X460">
        <v>0.01</v>
      </c>
      <c r="Y460">
        <v>0</v>
      </c>
      <c r="Z460">
        <v>16.920000000000002</v>
      </c>
      <c r="AA460">
        <v>0.09</v>
      </c>
      <c r="AB460">
        <v>0</v>
      </c>
      <c r="AC460">
        <v>0</v>
      </c>
      <c r="AD460">
        <v>1</v>
      </c>
      <c r="AE460">
        <v>0</v>
      </c>
      <c r="AF460" t="s">
        <v>3</v>
      </c>
      <c r="AG460">
        <v>0.01</v>
      </c>
      <c r="AH460">
        <v>3</v>
      </c>
      <c r="AI460">
        <v>-1</v>
      </c>
      <c r="AJ460" t="s">
        <v>3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4" x14ac:dyDescent="0.2">
      <c r="A461">
        <f>ROW(Source!A539)</f>
        <v>539</v>
      </c>
      <c r="B461">
        <v>71211985</v>
      </c>
      <c r="C461">
        <v>71211967</v>
      </c>
      <c r="D461">
        <v>67880105</v>
      </c>
      <c r="E461">
        <v>27</v>
      </c>
      <c r="F461">
        <v>1</v>
      </c>
      <c r="G461">
        <v>27</v>
      </c>
      <c r="H461">
        <v>3</v>
      </c>
      <c r="I461" t="s">
        <v>908</v>
      </c>
      <c r="J461" t="s">
        <v>3</v>
      </c>
      <c r="K461" t="s">
        <v>909</v>
      </c>
      <c r="L461">
        <v>1346</v>
      </c>
      <c r="N461">
        <v>1009</v>
      </c>
      <c r="O461" t="s">
        <v>288</v>
      </c>
      <c r="P461" t="s">
        <v>288</v>
      </c>
      <c r="Q461">
        <v>1</v>
      </c>
      <c r="X461">
        <v>1.5</v>
      </c>
      <c r="Y461">
        <v>99.303030000000007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 t="s">
        <v>3</v>
      </c>
      <c r="AG461">
        <v>1.5</v>
      </c>
      <c r="AH461">
        <v>3</v>
      </c>
      <c r="AI461">
        <v>-1</v>
      </c>
      <c r="AJ461" t="s">
        <v>3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</row>
    <row r="462" spans="1:44" x14ac:dyDescent="0.2">
      <c r="A462">
        <f>ROW(Source!A539)</f>
        <v>539</v>
      </c>
      <c r="B462">
        <v>71211984</v>
      </c>
      <c r="C462">
        <v>71211967</v>
      </c>
      <c r="D462">
        <v>67892174</v>
      </c>
      <c r="E462">
        <v>1</v>
      </c>
      <c r="F462">
        <v>1</v>
      </c>
      <c r="G462">
        <v>27</v>
      </c>
      <c r="H462">
        <v>3</v>
      </c>
      <c r="I462" t="s">
        <v>910</v>
      </c>
      <c r="J462" t="s">
        <v>911</v>
      </c>
      <c r="K462" t="s">
        <v>912</v>
      </c>
      <c r="L462">
        <v>1348</v>
      </c>
      <c r="N462">
        <v>1009</v>
      </c>
      <c r="O462" t="s">
        <v>35</v>
      </c>
      <c r="P462" t="s">
        <v>35</v>
      </c>
      <c r="Q462">
        <v>1000</v>
      </c>
      <c r="X462">
        <v>8.9999999999999993E-3</v>
      </c>
      <c r="Y462">
        <v>97017.58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 t="s">
        <v>3</v>
      </c>
      <c r="AG462">
        <v>8.9999999999999993E-3</v>
      </c>
      <c r="AH462">
        <v>3</v>
      </c>
      <c r="AI462">
        <v>-1</v>
      </c>
      <c r="AJ462" t="s">
        <v>3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</row>
    <row r="463" spans="1:44" x14ac:dyDescent="0.2">
      <c r="A463">
        <f>ROW(Source!A540)</f>
        <v>540</v>
      </c>
      <c r="B463">
        <v>71211995</v>
      </c>
      <c r="C463">
        <v>71211986</v>
      </c>
      <c r="D463">
        <v>67878646</v>
      </c>
      <c r="E463">
        <v>27</v>
      </c>
      <c r="F463">
        <v>1</v>
      </c>
      <c r="G463">
        <v>27</v>
      </c>
      <c r="H463">
        <v>1</v>
      </c>
      <c r="I463" t="s">
        <v>565</v>
      </c>
      <c r="J463" t="s">
        <v>3</v>
      </c>
      <c r="K463" t="s">
        <v>566</v>
      </c>
      <c r="L463">
        <v>1191</v>
      </c>
      <c r="N463">
        <v>1013</v>
      </c>
      <c r="O463" t="s">
        <v>567</v>
      </c>
      <c r="P463" t="s">
        <v>567</v>
      </c>
      <c r="Q463">
        <v>1</v>
      </c>
      <c r="X463">
        <v>2.4500000000000002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1</v>
      </c>
      <c r="AF463" t="s">
        <v>474</v>
      </c>
      <c r="AG463">
        <v>4.9000000000000004</v>
      </c>
      <c r="AH463">
        <v>3</v>
      </c>
      <c r="AI463">
        <v>-1</v>
      </c>
      <c r="AJ463" t="s">
        <v>3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</row>
    <row r="464" spans="1:44" x14ac:dyDescent="0.2">
      <c r="A464">
        <f>ROW(Source!A540)</f>
        <v>540</v>
      </c>
      <c r="B464">
        <v>71211996</v>
      </c>
      <c r="C464">
        <v>71211986</v>
      </c>
      <c r="D464">
        <v>67890976</v>
      </c>
      <c r="E464">
        <v>1</v>
      </c>
      <c r="F464">
        <v>1</v>
      </c>
      <c r="G464">
        <v>27</v>
      </c>
      <c r="H464">
        <v>2</v>
      </c>
      <c r="I464" t="s">
        <v>697</v>
      </c>
      <c r="J464" t="s">
        <v>698</v>
      </c>
      <c r="K464" t="s">
        <v>699</v>
      </c>
      <c r="L464">
        <v>1368</v>
      </c>
      <c r="N464">
        <v>1011</v>
      </c>
      <c r="O464" t="s">
        <v>571</v>
      </c>
      <c r="P464" t="s">
        <v>571</v>
      </c>
      <c r="Q464">
        <v>1</v>
      </c>
      <c r="X464">
        <v>0.01</v>
      </c>
      <c r="Y464">
        <v>0</v>
      </c>
      <c r="Z464">
        <v>683.9</v>
      </c>
      <c r="AA464">
        <v>371.27</v>
      </c>
      <c r="AB464">
        <v>0</v>
      </c>
      <c r="AC464">
        <v>0</v>
      </c>
      <c r="AD464">
        <v>1</v>
      </c>
      <c r="AE464">
        <v>0</v>
      </c>
      <c r="AF464" t="s">
        <v>474</v>
      </c>
      <c r="AG464">
        <v>0.02</v>
      </c>
      <c r="AH464">
        <v>3</v>
      </c>
      <c r="AI464">
        <v>-1</v>
      </c>
      <c r="AJ464" t="s">
        <v>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</row>
    <row r="465" spans="1:44" x14ac:dyDescent="0.2">
      <c r="A465">
        <f>ROW(Source!A540)</f>
        <v>540</v>
      </c>
      <c r="B465">
        <v>71211997</v>
      </c>
      <c r="C465">
        <v>71211986</v>
      </c>
      <c r="D465">
        <v>67892272</v>
      </c>
      <c r="E465">
        <v>1</v>
      </c>
      <c r="F465">
        <v>1</v>
      </c>
      <c r="G465">
        <v>27</v>
      </c>
      <c r="H465">
        <v>3</v>
      </c>
      <c r="I465" t="s">
        <v>913</v>
      </c>
      <c r="J465" t="s">
        <v>914</v>
      </c>
      <c r="K465" t="s">
        <v>915</v>
      </c>
      <c r="L465">
        <v>1348</v>
      </c>
      <c r="N465">
        <v>1009</v>
      </c>
      <c r="O465" t="s">
        <v>35</v>
      </c>
      <c r="P465" t="s">
        <v>35</v>
      </c>
      <c r="Q465">
        <v>1000</v>
      </c>
      <c r="X465">
        <v>1.48E-3</v>
      </c>
      <c r="Y465">
        <v>63195.54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0</v>
      </c>
      <c r="AF465" t="s">
        <v>474</v>
      </c>
      <c r="AG465">
        <v>2.96E-3</v>
      </c>
      <c r="AH465">
        <v>3</v>
      </c>
      <c r="AI465">
        <v>-1</v>
      </c>
      <c r="AJ465" t="s">
        <v>3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</row>
    <row r="466" spans="1:44" x14ac:dyDescent="0.2">
      <c r="A466">
        <f>ROW(Source!A540)</f>
        <v>540</v>
      </c>
      <c r="B466">
        <v>71211998</v>
      </c>
      <c r="C466">
        <v>71211986</v>
      </c>
      <c r="D466">
        <v>67892297</v>
      </c>
      <c r="E466">
        <v>1</v>
      </c>
      <c r="F466">
        <v>1</v>
      </c>
      <c r="G466">
        <v>27</v>
      </c>
      <c r="H466">
        <v>3</v>
      </c>
      <c r="I466" t="s">
        <v>916</v>
      </c>
      <c r="J466" t="s">
        <v>917</v>
      </c>
      <c r="K466" t="s">
        <v>918</v>
      </c>
      <c r="L466">
        <v>1346</v>
      </c>
      <c r="N466">
        <v>1009</v>
      </c>
      <c r="O466" t="s">
        <v>288</v>
      </c>
      <c r="P466" t="s">
        <v>288</v>
      </c>
      <c r="Q466">
        <v>1</v>
      </c>
      <c r="X466">
        <v>9</v>
      </c>
      <c r="Y466">
        <v>105.32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0</v>
      </c>
      <c r="AF466" t="s">
        <v>474</v>
      </c>
      <c r="AG466">
        <v>18</v>
      </c>
      <c r="AH466">
        <v>3</v>
      </c>
      <c r="AI466">
        <v>-1</v>
      </c>
      <c r="AJ466" t="s">
        <v>3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</row>
    <row r="467" spans="1:44" x14ac:dyDescent="0.2">
      <c r="A467">
        <f>ROW(Source!A541)</f>
        <v>541</v>
      </c>
      <c r="B467">
        <v>71212014</v>
      </c>
      <c r="C467">
        <v>71211999</v>
      </c>
      <c r="D467">
        <v>67878646</v>
      </c>
      <c r="E467">
        <v>27</v>
      </c>
      <c r="F467">
        <v>1</v>
      </c>
      <c r="G467">
        <v>27</v>
      </c>
      <c r="H467">
        <v>1</v>
      </c>
      <c r="I467" t="s">
        <v>565</v>
      </c>
      <c r="J467" t="s">
        <v>3</v>
      </c>
      <c r="K467" t="s">
        <v>566</v>
      </c>
      <c r="L467">
        <v>1191</v>
      </c>
      <c r="N467">
        <v>1013</v>
      </c>
      <c r="O467" t="s">
        <v>567</v>
      </c>
      <c r="P467" t="s">
        <v>567</v>
      </c>
      <c r="Q467">
        <v>1</v>
      </c>
      <c r="X467">
        <v>77.86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1</v>
      </c>
      <c r="AF467" t="s">
        <v>3</v>
      </c>
      <c r="AG467">
        <v>77.86</v>
      </c>
      <c r="AH467">
        <v>3</v>
      </c>
      <c r="AI467">
        <v>-1</v>
      </c>
      <c r="AJ467" t="s">
        <v>3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</row>
    <row r="468" spans="1:44" x14ac:dyDescent="0.2">
      <c r="A468">
        <f>ROW(Source!A541)</f>
        <v>541</v>
      </c>
      <c r="B468">
        <v>71212015</v>
      </c>
      <c r="C468">
        <v>71211999</v>
      </c>
      <c r="D468">
        <v>67892835</v>
      </c>
      <c r="E468">
        <v>1</v>
      </c>
      <c r="F468">
        <v>1</v>
      </c>
      <c r="G468">
        <v>27</v>
      </c>
      <c r="H468">
        <v>3</v>
      </c>
      <c r="I468" t="s">
        <v>703</v>
      </c>
      <c r="J468" t="s">
        <v>704</v>
      </c>
      <c r="K468" t="s">
        <v>705</v>
      </c>
      <c r="L468">
        <v>1348</v>
      </c>
      <c r="N468">
        <v>1009</v>
      </c>
      <c r="O468" t="s">
        <v>35</v>
      </c>
      <c r="P468" t="s">
        <v>35</v>
      </c>
      <c r="Q468">
        <v>1000</v>
      </c>
      <c r="X468">
        <v>1.2E-2</v>
      </c>
      <c r="Y468">
        <v>49736.04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 t="s">
        <v>3</v>
      </c>
      <c r="AG468">
        <v>1.2E-2</v>
      </c>
      <c r="AH468">
        <v>3</v>
      </c>
      <c r="AI468">
        <v>-1</v>
      </c>
      <c r="AJ468" t="s">
        <v>3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</row>
    <row r="469" spans="1:44" x14ac:dyDescent="0.2">
      <c r="A469">
        <f>ROW(Source!A541)</f>
        <v>541</v>
      </c>
      <c r="B469">
        <v>71212016</v>
      </c>
      <c r="C469">
        <v>71211999</v>
      </c>
      <c r="D469">
        <v>67892873</v>
      </c>
      <c r="E469">
        <v>1</v>
      </c>
      <c r="F469">
        <v>1</v>
      </c>
      <c r="G469">
        <v>27</v>
      </c>
      <c r="H469">
        <v>3</v>
      </c>
      <c r="I469" t="s">
        <v>919</v>
      </c>
      <c r="J469" t="s">
        <v>920</v>
      </c>
      <c r="K469" t="s">
        <v>921</v>
      </c>
      <c r="L469">
        <v>1348</v>
      </c>
      <c r="N469">
        <v>1009</v>
      </c>
      <c r="O469" t="s">
        <v>35</v>
      </c>
      <c r="P469" t="s">
        <v>35</v>
      </c>
      <c r="Q469">
        <v>1000</v>
      </c>
      <c r="X469">
        <v>3.5000000000000003E-2</v>
      </c>
      <c r="Y469">
        <v>44670.03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0</v>
      </c>
      <c r="AF469" t="s">
        <v>3</v>
      </c>
      <c r="AG469">
        <v>3.5000000000000003E-2</v>
      </c>
      <c r="AH469">
        <v>3</v>
      </c>
      <c r="AI469">
        <v>-1</v>
      </c>
      <c r="AJ469" t="s">
        <v>3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2">
      <c r="A470">
        <f>ROW(Source!A541)</f>
        <v>541</v>
      </c>
      <c r="B470">
        <v>71212017</v>
      </c>
      <c r="C470">
        <v>71211999</v>
      </c>
      <c r="D470">
        <v>67896946</v>
      </c>
      <c r="E470">
        <v>1</v>
      </c>
      <c r="F470">
        <v>1</v>
      </c>
      <c r="G470">
        <v>27</v>
      </c>
      <c r="H470">
        <v>3</v>
      </c>
      <c r="I470" t="s">
        <v>478</v>
      </c>
      <c r="J470" t="s">
        <v>480</v>
      </c>
      <c r="K470" t="s">
        <v>479</v>
      </c>
      <c r="L470">
        <v>1301</v>
      </c>
      <c r="N470">
        <v>1003</v>
      </c>
      <c r="O470" t="s">
        <v>455</v>
      </c>
      <c r="P470" t="s">
        <v>455</v>
      </c>
      <c r="Q470">
        <v>1</v>
      </c>
      <c r="X470">
        <v>400</v>
      </c>
      <c r="Y470">
        <v>9.0399999999999991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  <c r="AF470" t="s">
        <v>3</v>
      </c>
      <c r="AG470">
        <v>400</v>
      </c>
      <c r="AH470">
        <v>3</v>
      </c>
      <c r="AI470">
        <v>-1</v>
      </c>
      <c r="AJ470" t="s">
        <v>3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</row>
    <row r="471" spans="1:44" x14ac:dyDescent="0.2">
      <c r="A471">
        <f>ROW(Source!A544)</f>
        <v>544</v>
      </c>
      <c r="B471">
        <v>71212025</v>
      </c>
      <c r="C471">
        <v>71212020</v>
      </c>
      <c r="D471">
        <v>67878646</v>
      </c>
      <c r="E471">
        <v>27</v>
      </c>
      <c r="F471">
        <v>1</v>
      </c>
      <c r="G471">
        <v>27</v>
      </c>
      <c r="H471">
        <v>1</v>
      </c>
      <c r="I471" t="s">
        <v>565</v>
      </c>
      <c r="J471" t="s">
        <v>3</v>
      </c>
      <c r="K471" t="s">
        <v>566</v>
      </c>
      <c r="L471">
        <v>1191</v>
      </c>
      <c r="N471">
        <v>1013</v>
      </c>
      <c r="O471" t="s">
        <v>567</v>
      </c>
      <c r="P471" t="s">
        <v>567</v>
      </c>
      <c r="Q471">
        <v>1</v>
      </c>
      <c r="X471">
        <v>35.18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1</v>
      </c>
      <c r="AF471" t="s">
        <v>3</v>
      </c>
      <c r="AG471">
        <v>35.18</v>
      </c>
      <c r="AH471">
        <v>3</v>
      </c>
      <c r="AI471">
        <v>-1</v>
      </c>
      <c r="AJ471" t="s">
        <v>3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2">
      <c r="A472">
        <f>ROW(Source!A544)</f>
        <v>544</v>
      </c>
      <c r="B472">
        <v>71212026</v>
      </c>
      <c r="C472">
        <v>71212020</v>
      </c>
      <c r="D472">
        <v>67891710</v>
      </c>
      <c r="E472">
        <v>1</v>
      </c>
      <c r="F472">
        <v>1</v>
      </c>
      <c r="G472">
        <v>27</v>
      </c>
      <c r="H472">
        <v>2</v>
      </c>
      <c r="I472" t="s">
        <v>745</v>
      </c>
      <c r="J472" t="s">
        <v>746</v>
      </c>
      <c r="K472" t="s">
        <v>747</v>
      </c>
      <c r="L472">
        <v>1368</v>
      </c>
      <c r="N472">
        <v>1011</v>
      </c>
      <c r="O472" t="s">
        <v>571</v>
      </c>
      <c r="P472" t="s">
        <v>571</v>
      </c>
      <c r="Q472">
        <v>1</v>
      </c>
      <c r="X472">
        <v>30.18</v>
      </c>
      <c r="Y472">
        <v>0</v>
      </c>
      <c r="Z472">
        <v>6.22</v>
      </c>
      <c r="AA472">
        <v>0.01</v>
      </c>
      <c r="AB472">
        <v>0</v>
      </c>
      <c r="AC472">
        <v>0</v>
      </c>
      <c r="AD472">
        <v>1</v>
      </c>
      <c r="AE472">
        <v>0</v>
      </c>
      <c r="AF472" t="s">
        <v>3</v>
      </c>
      <c r="AG472">
        <v>30.18</v>
      </c>
      <c r="AH472">
        <v>3</v>
      </c>
      <c r="AI472">
        <v>-1</v>
      </c>
      <c r="AJ472" t="s">
        <v>3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</row>
    <row r="473" spans="1:44" x14ac:dyDescent="0.2">
      <c r="A473">
        <f>ROW(Source!A545)</f>
        <v>545</v>
      </c>
      <c r="B473">
        <v>71212046</v>
      </c>
      <c r="C473">
        <v>71212027</v>
      </c>
      <c r="D473">
        <v>67878646</v>
      </c>
      <c r="E473">
        <v>27</v>
      </c>
      <c r="F473">
        <v>1</v>
      </c>
      <c r="G473">
        <v>27</v>
      </c>
      <c r="H473">
        <v>1</v>
      </c>
      <c r="I473" t="s">
        <v>565</v>
      </c>
      <c r="J473" t="s">
        <v>3</v>
      </c>
      <c r="K473" t="s">
        <v>566</v>
      </c>
      <c r="L473">
        <v>1191</v>
      </c>
      <c r="N473">
        <v>1013</v>
      </c>
      <c r="O473" t="s">
        <v>567</v>
      </c>
      <c r="P473" t="s">
        <v>567</v>
      </c>
      <c r="Q473">
        <v>1</v>
      </c>
      <c r="X473">
        <v>6.11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1</v>
      </c>
      <c r="AF473" t="s">
        <v>487</v>
      </c>
      <c r="AG473">
        <v>3.0550000000000002</v>
      </c>
      <c r="AH473">
        <v>3</v>
      </c>
      <c r="AI473">
        <v>-1</v>
      </c>
      <c r="AJ473" t="s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</row>
    <row r="474" spans="1:44" x14ac:dyDescent="0.2">
      <c r="A474">
        <f>ROW(Source!A545)</f>
        <v>545</v>
      </c>
      <c r="B474">
        <v>71212047</v>
      </c>
      <c r="C474">
        <v>71212027</v>
      </c>
      <c r="D474">
        <v>67891223</v>
      </c>
      <c r="E474">
        <v>1</v>
      </c>
      <c r="F474">
        <v>1</v>
      </c>
      <c r="G474">
        <v>27</v>
      </c>
      <c r="H474">
        <v>2</v>
      </c>
      <c r="I474" t="s">
        <v>905</v>
      </c>
      <c r="J474" t="s">
        <v>906</v>
      </c>
      <c r="K474" t="s">
        <v>907</v>
      </c>
      <c r="L474">
        <v>1368</v>
      </c>
      <c r="N474">
        <v>1011</v>
      </c>
      <c r="O474" t="s">
        <v>571</v>
      </c>
      <c r="P474" t="s">
        <v>571</v>
      </c>
      <c r="Q474">
        <v>1</v>
      </c>
      <c r="X474">
        <v>1.4</v>
      </c>
      <c r="Y474">
        <v>0</v>
      </c>
      <c r="Z474">
        <v>98.05</v>
      </c>
      <c r="AA474">
        <v>33.06</v>
      </c>
      <c r="AB474">
        <v>0</v>
      </c>
      <c r="AC474">
        <v>0</v>
      </c>
      <c r="AD474">
        <v>1</v>
      </c>
      <c r="AE474">
        <v>0</v>
      </c>
      <c r="AF474" t="s">
        <v>487</v>
      </c>
      <c r="AG474">
        <v>0.7</v>
      </c>
      <c r="AH474">
        <v>3</v>
      </c>
      <c r="AI474">
        <v>-1</v>
      </c>
      <c r="AJ474" t="s">
        <v>3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</row>
    <row r="475" spans="1:44" x14ac:dyDescent="0.2">
      <c r="A475">
        <f>ROW(Source!A545)</f>
        <v>545</v>
      </c>
      <c r="B475">
        <v>71212048</v>
      </c>
      <c r="C475">
        <v>71212027</v>
      </c>
      <c r="D475">
        <v>67890976</v>
      </c>
      <c r="E475">
        <v>1</v>
      </c>
      <c r="F475">
        <v>1</v>
      </c>
      <c r="G475">
        <v>27</v>
      </c>
      <c r="H475">
        <v>2</v>
      </c>
      <c r="I475" t="s">
        <v>697</v>
      </c>
      <c r="J475" t="s">
        <v>698</v>
      </c>
      <c r="K475" t="s">
        <v>699</v>
      </c>
      <c r="L475">
        <v>1368</v>
      </c>
      <c r="N475">
        <v>1011</v>
      </c>
      <c r="O475" t="s">
        <v>571</v>
      </c>
      <c r="P475" t="s">
        <v>571</v>
      </c>
      <c r="Q475">
        <v>1</v>
      </c>
      <c r="X475">
        <v>0.01</v>
      </c>
      <c r="Y475">
        <v>0</v>
      </c>
      <c r="Z475">
        <v>683.9</v>
      </c>
      <c r="AA475">
        <v>371.27</v>
      </c>
      <c r="AB475">
        <v>0</v>
      </c>
      <c r="AC475">
        <v>0</v>
      </c>
      <c r="AD475">
        <v>1</v>
      </c>
      <c r="AE475">
        <v>0</v>
      </c>
      <c r="AF475" t="s">
        <v>487</v>
      </c>
      <c r="AG475">
        <v>5.0000000000000001E-3</v>
      </c>
      <c r="AH475">
        <v>3</v>
      </c>
      <c r="AI475">
        <v>-1</v>
      </c>
      <c r="AJ475" t="s">
        <v>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</row>
    <row r="476" spans="1:44" x14ac:dyDescent="0.2">
      <c r="A476">
        <f>ROW(Source!A545)</f>
        <v>545</v>
      </c>
      <c r="B476">
        <v>71212049</v>
      </c>
      <c r="C476">
        <v>71212027</v>
      </c>
      <c r="D476">
        <v>67890990</v>
      </c>
      <c r="E476">
        <v>1</v>
      </c>
      <c r="F476">
        <v>1</v>
      </c>
      <c r="G476">
        <v>27</v>
      </c>
      <c r="H476">
        <v>2</v>
      </c>
      <c r="I476" t="s">
        <v>581</v>
      </c>
      <c r="J476" t="s">
        <v>582</v>
      </c>
      <c r="K476" t="s">
        <v>583</v>
      </c>
      <c r="L476">
        <v>1368</v>
      </c>
      <c r="N476">
        <v>1011</v>
      </c>
      <c r="O476" t="s">
        <v>571</v>
      </c>
      <c r="P476" t="s">
        <v>571</v>
      </c>
      <c r="Q476">
        <v>1</v>
      </c>
      <c r="X476">
        <v>0.01</v>
      </c>
      <c r="Y476">
        <v>0</v>
      </c>
      <c r="Z476">
        <v>16.920000000000002</v>
      </c>
      <c r="AA476">
        <v>0.09</v>
      </c>
      <c r="AB476">
        <v>0</v>
      </c>
      <c r="AC476">
        <v>0</v>
      </c>
      <c r="AD476">
        <v>1</v>
      </c>
      <c r="AE476">
        <v>0</v>
      </c>
      <c r="AF476" t="s">
        <v>487</v>
      </c>
      <c r="AG476">
        <v>5.0000000000000001E-3</v>
      </c>
      <c r="AH476">
        <v>3</v>
      </c>
      <c r="AI476">
        <v>-1</v>
      </c>
      <c r="AJ476" t="s">
        <v>3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</row>
    <row r="477" spans="1:44" x14ac:dyDescent="0.2">
      <c r="A477">
        <f>ROW(Source!A545)</f>
        <v>545</v>
      </c>
      <c r="B477">
        <v>71212051</v>
      </c>
      <c r="C477">
        <v>71212027</v>
      </c>
      <c r="D477">
        <v>67880105</v>
      </c>
      <c r="E477">
        <v>27</v>
      </c>
      <c r="F477">
        <v>1</v>
      </c>
      <c r="G477">
        <v>27</v>
      </c>
      <c r="H477">
        <v>3</v>
      </c>
      <c r="I477" t="s">
        <v>908</v>
      </c>
      <c r="J477" t="s">
        <v>3</v>
      </c>
      <c r="K477" t="s">
        <v>909</v>
      </c>
      <c r="L477">
        <v>1346</v>
      </c>
      <c r="N477">
        <v>1009</v>
      </c>
      <c r="O477" t="s">
        <v>288</v>
      </c>
      <c r="P477" t="s">
        <v>288</v>
      </c>
      <c r="Q477">
        <v>1</v>
      </c>
      <c r="X477">
        <v>1.5</v>
      </c>
      <c r="Y477">
        <v>99.303030000000007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 t="s">
        <v>487</v>
      </c>
      <c r="AG477">
        <v>0.75</v>
      </c>
      <c r="AH477">
        <v>3</v>
      </c>
      <c r="AI477">
        <v>-1</v>
      </c>
      <c r="AJ477" t="s">
        <v>3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</row>
    <row r="478" spans="1:44" x14ac:dyDescent="0.2">
      <c r="A478">
        <f>ROW(Source!A545)</f>
        <v>545</v>
      </c>
      <c r="B478">
        <v>71212050</v>
      </c>
      <c r="C478">
        <v>71212027</v>
      </c>
      <c r="D478">
        <v>67892174</v>
      </c>
      <c r="E478">
        <v>1</v>
      </c>
      <c r="F478">
        <v>1</v>
      </c>
      <c r="G478">
        <v>27</v>
      </c>
      <c r="H478">
        <v>3</v>
      </c>
      <c r="I478" t="s">
        <v>910</v>
      </c>
      <c r="J478" t="s">
        <v>911</v>
      </c>
      <c r="K478" t="s">
        <v>912</v>
      </c>
      <c r="L478">
        <v>1348</v>
      </c>
      <c r="N478">
        <v>1009</v>
      </c>
      <c r="O478" t="s">
        <v>35</v>
      </c>
      <c r="P478" t="s">
        <v>35</v>
      </c>
      <c r="Q478">
        <v>1000</v>
      </c>
      <c r="X478">
        <v>8.9999999999999993E-3</v>
      </c>
      <c r="Y478">
        <v>97017.58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 t="s">
        <v>487</v>
      </c>
      <c r="AG478">
        <v>4.4999999999999997E-3</v>
      </c>
      <c r="AH478">
        <v>3</v>
      </c>
      <c r="AI478">
        <v>-1</v>
      </c>
      <c r="AJ478" t="s">
        <v>3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</row>
    <row r="479" spans="1:44" x14ac:dyDescent="0.2">
      <c r="A479">
        <f>ROW(Source!A546)</f>
        <v>546</v>
      </c>
      <c r="B479">
        <v>71212061</v>
      </c>
      <c r="C479">
        <v>71212052</v>
      </c>
      <c r="D479">
        <v>67878646</v>
      </c>
      <c r="E479">
        <v>27</v>
      </c>
      <c r="F479">
        <v>1</v>
      </c>
      <c r="G479">
        <v>27</v>
      </c>
      <c r="H479">
        <v>1</v>
      </c>
      <c r="I479" t="s">
        <v>565</v>
      </c>
      <c r="J479" t="s">
        <v>3</v>
      </c>
      <c r="K479" t="s">
        <v>566</v>
      </c>
      <c r="L479">
        <v>1191</v>
      </c>
      <c r="N479">
        <v>1013</v>
      </c>
      <c r="O479" t="s">
        <v>567</v>
      </c>
      <c r="P479" t="s">
        <v>567</v>
      </c>
      <c r="Q479">
        <v>1</v>
      </c>
      <c r="X479">
        <v>2.4500000000000002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1</v>
      </c>
      <c r="AF479" t="s">
        <v>489</v>
      </c>
      <c r="AG479">
        <v>2.4500000000000002</v>
      </c>
      <c r="AH479">
        <v>3</v>
      </c>
      <c r="AI479">
        <v>-1</v>
      </c>
      <c r="AJ479" t="s">
        <v>3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</row>
    <row r="480" spans="1:44" x14ac:dyDescent="0.2">
      <c r="A480">
        <f>ROW(Source!A546)</f>
        <v>546</v>
      </c>
      <c r="B480">
        <v>71212062</v>
      </c>
      <c r="C480">
        <v>71212052</v>
      </c>
      <c r="D480">
        <v>67890976</v>
      </c>
      <c r="E480">
        <v>1</v>
      </c>
      <c r="F480">
        <v>1</v>
      </c>
      <c r="G480">
        <v>27</v>
      </c>
      <c r="H480">
        <v>2</v>
      </c>
      <c r="I480" t="s">
        <v>697</v>
      </c>
      <c r="J480" t="s">
        <v>698</v>
      </c>
      <c r="K480" t="s">
        <v>699</v>
      </c>
      <c r="L480">
        <v>1368</v>
      </c>
      <c r="N480">
        <v>1011</v>
      </c>
      <c r="O480" t="s">
        <v>571</v>
      </c>
      <c r="P480" t="s">
        <v>571</v>
      </c>
      <c r="Q480">
        <v>1</v>
      </c>
      <c r="X480">
        <v>0.01</v>
      </c>
      <c r="Y480">
        <v>0</v>
      </c>
      <c r="Z480">
        <v>683.9</v>
      </c>
      <c r="AA480">
        <v>371.27</v>
      </c>
      <c r="AB480">
        <v>0</v>
      </c>
      <c r="AC480">
        <v>0</v>
      </c>
      <c r="AD480">
        <v>1</v>
      </c>
      <c r="AE480">
        <v>0</v>
      </c>
      <c r="AF480" t="s">
        <v>489</v>
      </c>
      <c r="AG480">
        <v>0.01</v>
      </c>
      <c r="AH480">
        <v>3</v>
      </c>
      <c r="AI480">
        <v>-1</v>
      </c>
      <c r="AJ480" t="s">
        <v>3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</row>
    <row r="481" spans="1:44" x14ac:dyDescent="0.2">
      <c r="A481">
        <f>ROW(Source!A546)</f>
        <v>546</v>
      </c>
      <c r="B481">
        <v>71212063</v>
      </c>
      <c r="C481">
        <v>71212052</v>
      </c>
      <c r="D481">
        <v>67892272</v>
      </c>
      <c r="E481">
        <v>1</v>
      </c>
      <c r="F481">
        <v>1</v>
      </c>
      <c r="G481">
        <v>27</v>
      </c>
      <c r="H481">
        <v>3</v>
      </c>
      <c r="I481" t="s">
        <v>913</v>
      </c>
      <c r="J481" t="s">
        <v>914</v>
      </c>
      <c r="K481" t="s">
        <v>915</v>
      </c>
      <c r="L481">
        <v>1348</v>
      </c>
      <c r="N481">
        <v>1009</v>
      </c>
      <c r="O481" t="s">
        <v>35</v>
      </c>
      <c r="P481" t="s">
        <v>35</v>
      </c>
      <c r="Q481">
        <v>1000</v>
      </c>
      <c r="X481">
        <v>1.48E-3</v>
      </c>
      <c r="Y481">
        <v>63195.54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 t="s">
        <v>489</v>
      </c>
      <c r="AG481">
        <v>1.48E-3</v>
      </c>
      <c r="AH481">
        <v>3</v>
      </c>
      <c r="AI481">
        <v>-1</v>
      </c>
      <c r="AJ481" t="s">
        <v>3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</row>
    <row r="482" spans="1:44" x14ac:dyDescent="0.2">
      <c r="A482">
        <f>ROW(Source!A546)</f>
        <v>546</v>
      </c>
      <c r="B482">
        <v>71212064</v>
      </c>
      <c r="C482">
        <v>71212052</v>
      </c>
      <c r="D482">
        <v>67892297</v>
      </c>
      <c r="E482">
        <v>1</v>
      </c>
      <c r="F482">
        <v>1</v>
      </c>
      <c r="G482">
        <v>27</v>
      </c>
      <c r="H482">
        <v>3</v>
      </c>
      <c r="I482" t="s">
        <v>916</v>
      </c>
      <c r="J482" t="s">
        <v>917</v>
      </c>
      <c r="K482" t="s">
        <v>918</v>
      </c>
      <c r="L482">
        <v>1346</v>
      </c>
      <c r="N482">
        <v>1009</v>
      </c>
      <c r="O482" t="s">
        <v>288</v>
      </c>
      <c r="P482" t="s">
        <v>288</v>
      </c>
      <c r="Q482">
        <v>1</v>
      </c>
      <c r="X482">
        <v>9</v>
      </c>
      <c r="Y482">
        <v>105.32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 t="s">
        <v>489</v>
      </c>
      <c r="AG482">
        <v>9</v>
      </c>
      <c r="AH482">
        <v>3</v>
      </c>
      <c r="AI482">
        <v>-1</v>
      </c>
      <c r="AJ482" t="s">
        <v>3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</row>
    <row r="483" spans="1:44" x14ac:dyDescent="0.2">
      <c r="A483">
        <f>ROW(Source!A547)</f>
        <v>547</v>
      </c>
      <c r="B483">
        <v>71212090</v>
      </c>
      <c r="C483">
        <v>71212065</v>
      </c>
      <c r="D483">
        <v>67878646</v>
      </c>
      <c r="E483">
        <v>27</v>
      </c>
      <c r="F483">
        <v>1</v>
      </c>
      <c r="G483">
        <v>27</v>
      </c>
      <c r="H483">
        <v>1</v>
      </c>
      <c r="I483" t="s">
        <v>565</v>
      </c>
      <c r="J483" t="s">
        <v>3</v>
      </c>
      <c r="K483" t="s">
        <v>566</v>
      </c>
      <c r="L483">
        <v>1191</v>
      </c>
      <c r="N483">
        <v>1013</v>
      </c>
      <c r="O483" t="s">
        <v>567</v>
      </c>
      <c r="P483" t="s">
        <v>567</v>
      </c>
      <c r="Q483">
        <v>1</v>
      </c>
      <c r="X483">
        <v>6.11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1</v>
      </c>
      <c r="AF483" t="s">
        <v>3</v>
      </c>
      <c r="AG483">
        <v>6.11</v>
      </c>
      <c r="AH483">
        <v>3</v>
      </c>
      <c r="AI483">
        <v>-1</v>
      </c>
      <c r="AJ483" t="s">
        <v>3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</row>
    <row r="484" spans="1:44" x14ac:dyDescent="0.2">
      <c r="A484">
        <f>ROW(Source!A547)</f>
        <v>547</v>
      </c>
      <c r="B484">
        <v>71212091</v>
      </c>
      <c r="C484">
        <v>71212065</v>
      </c>
      <c r="D484">
        <v>67891223</v>
      </c>
      <c r="E484">
        <v>1</v>
      </c>
      <c r="F484">
        <v>1</v>
      </c>
      <c r="G484">
        <v>27</v>
      </c>
      <c r="H484">
        <v>2</v>
      </c>
      <c r="I484" t="s">
        <v>905</v>
      </c>
      <c r="J484" t="s">
        <v>906</v>
      </c>
      <c r="K484" t="s">
        <v>907</v>
      </c>
      <c r="L484">
        <v>1368</v>
      </c>
      <c r="N484">
        <v>1011</v>
      </c>
      <c r="O484" t="s">
        <v>571</v>
      </c>
      <c r="P484" t="s">
        <v>571</v>
      </c>
      <c r="Q484">
        <v>1</v>
      </c>
      <c r="X484">
        <v>1.4</v>
      </c>
      <c r="Y484">
        <v>0</v>
      </c>
      <c r="Z484">
        <v>98.05</v>
      </c>
      <c r="AA484">
        <v>33.06</v>
      </c>
      <c r="AB484">
        <v>0</v>
      </c>
      <c r="AC484">
        <v>0</v>
      </c>
      <c r="AD484">
        <v>1</v>
      </c>
      <c r="AE484">
        <v>0</v>
      </c>
      <c r="AF484" t="s">
        <v>3</v>
      </c>
      <c r="AG484">
        <v>1.4</v>
      </c>
      <c r="AH484">
        <v>3</v>
      </c>
      <c r="AI484">
        <v>-1</v>
      </c>
      <c r="AJ484" t="s">
        <v>3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</row>
    <row r="485" spans="1:44" x14ac:dyDescent="0.2">
      <c r="A485">
        <f>ROW(Source!A547)</f>
        <v>547</v>
      </c>
      <c r="B485">
        <v>71212092</v>
      </c>
      <c r="C485">
        <v>71212065</v>
      </c>
      <c r="D485">
        <v>67890976</v>
      </c>
      <c r="E485">
        <v>1</v>
      </c>
      <c r="F485">
        <v>1</v>
      </c>
      <c r="G485">
        <v>27</v>
      </c>
      <c r="H485">
        <v>2</v>
      </c>
      <c r="I485" t="s">
        <v>697</v>
      </c>
      <c r="J485" t="s">
        <v>698</v>
      </c>
      <c r="K485" t="s">
        <v>699</v>
      </c>
      <c r="L485">
        <v>1368</v>
      </c>
      <c r="N485">
        <v>1011</v>
      </c>
      <c r="O485" t="s">
        <v>571</v>
      </c>
      <c r="P485" t="s">
        <v>571</v>
      </c>
      <c r="Q485">
        <v>1</v>
      </c>
      <c r="X485">
        <v>0.01</v>
      </c>
      <c r="Y485">
        <v>0</v>
      </c>
      <c r="Z485">
        <v>683.9</v>
      </c>
      <c r="AA485">
        <v>371.27</v>
      </c>
      <c r="AB485">
        <v>0</v>
      </c>
      <c r="AC485">
        <v>0</v>
      </c>
      <c r="AD485">
        <v>1</v>
      </c>
      <c r="AE485">
        <v>0</v>
      </c>
      <c r="AF485" t="s">
        <v>3</v>
      </c>
      <c r="AG485">
        <v>0.01</v>
      </c>
      <c r="AH485">
        <v>3</v>
      </c>
      <c r="AI485">
        <v>-1</v>
      </c>
      <c r="AJ485" t="s">
        <v>3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</row>
    <row r="486" spans="1:44" x14ac:dyDescent="0.2">
      <c r="A486">
        <f>ROW(Source!A547)</f>
        <v>547</v>
      </c>
      <c r="B486">
        <v>71212093</v>
      </c>
      <c r="C486">
        <v>71212065</v>
      </c>
      <c r="D486">
        <v>67890990</v>
      </c>
      <c r="E486">
        <v>1</v>
      </c>
      <c r="F486">
        <v>1</v>
      </c>
      <c r="G486">
        <v>27</v>
      </c>
      <c r="H486">
        <v>2</v>
      </c>
      <c r="I486" t="s">
        <v>581</v>
      </c>
      <c r="J486" t="s">
        <v>582</v>
      </c>
      <c r="K486" t="s">
        <v>583</v>
      </c>
      <c r="L486">
        <v>1368</v>
      </c>
      <c r="N486">
        <v>1011</v>
      </c>
      <c r="O486" t="s">
        <v>571</v>
      </c>
      <c r="P486" t="s">
        <v>571</v>
      </c>
      <c r="Q486">
        <v>1</v>
      </c>
      <c r="X486">
        <v>0.01</v>
      </c>
      <c r="Y486">
        <v>0</v>
      </c>
      <c r="Z486">
        <v>16.920000000000002</v>
      </c>
      <c r="AA486">
        <v>0.09</v>
      </c>
      <c r="AB486">
        <v>0</v>
      </c>
      <c r="AC486">
        <v>0</v>
      </c>
      <c r="AD486">
        <v>1</v>
      </c>
      <c r="AE486">
        <v>0</v>
      </c>
      <c r="AF486" t="s">
        <v>3</v>
      </c>
      <c r="AG486">
        <v>0.01</v>
      </c>
      <c r="AH486">
        <v>3</v>
      </c>
      <c r="AI486">
        <v>-1</v>
      </c>
      <c r="AJ486" t="s">
        <v>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</row>
    <row r="487" spans="1:44" x14ac:dyDescent="0.2">
      <c r="A487">
        <f>ROW(Source!A547)</f>
        <v>547</v>
      </c>
      <c r="B487">
        <v>71212095</v>
      </c>
      <c r="C487">
        <v>71212065</v>
      </c>
      <c r="D487">
        <v>67880105</v>
      </c>
      <c r="E487">
        <v>27</v>
      </c>
      <c r="F487">
        <v>1</v>
      </c>
      <c r="G487">
        <v>27</v>
      </c>
      <c r="H487">
        <v>3</v>
      </c>
      <c r="I487" t="s">
        <v>908</v>
      </c>
      <c r="J487" t="s">
        <v>3</v>
      </c>
      <c r="K487" t="s">
        <v>909</v>
      </c>
      <c r="L487">
        <v>1346</v>
      </c>
      <c r="N487">
        <v>1009</v>
      </c>
      <c r="O487" t="s">
        <v>288</v>
      </c>
      <c r="P487" t="s">
        <v>288</v>
      </c>
      <c r="Q487">
        <v>1</v>
      </c>
      <c r="X487">
        <v>1.5</v>
      </c>
      <c r="Y487">
        <v>99.303030000000007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 t="s">
        <v>3</v>
      </c>
      <c r="AG487">
        <v>1.5</v>
      </c>
      <c r="AH487">
        <v>3</v>
      </c>
      <c r="AI487">
        <v>-1</v>
      </c>
      <c r="AJ487" t="s">
        <v>3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</row>
    <row r="488" spans="1:44" x14ac:dyDescent="0.2">
      <c r="A488">
        <f>ROW(Source!A547)</f>
        <v>547</v>
      </c>
      <c r="B488">
        <v>71212094</v>
      </c>
      <c r="C488">
        <v>71212065</v>
      </c>
      <c r="D488">
        <v>67892174</v>
      </c>
      <c r="E488">
        <v>1</v>
      </c>
      <c r="F488">
        <v>1</v>
      </c>
      <c r="G488">
        <v>27</v>
      </c>
      <c r="H488">
        <v>3</v>
      </c>
      <c r="I488" t="s">
        <v>910</v>
      </c>
      <c r="J488" t="s">
        <v>911</v>
      </c>
      <c r="K488" t="s">
        <v>912</v>
      </c>
      <c r="L488">
        <v>1348</v>
      </c>
      <c r="N488">
        <v>1009</v>
      </c>
      <c r="O488" t="s">
        <v>35</v>
      </c>
      <c r="P488" t="s">
        <v>35</v>
      </c>
      <c r="Q488">
        <v>1000</v>
      </c>
      <c r="X488">
        <v>8.9999999999999993E-3</v>
      </c>
      <c r="Y488">
        <v>97017.58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 t="s">
        <v>3</v>
      </c>
      <c r="AG488">
        <v>8.9999999999999993E-3</v>
      </c>
      <c r="AH488">
        <v>3</v>
      </c>
      <c r="AI488">
        <v>-1</v>
      </c>
      <c r="AJ488" t="s">
        <v>3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4" x14ac:dyDescent="0.2">
      <c r="A489">
        <f>ROW(Source!A548)</f>
        <v>548</v>
      </c>
      <c r="B489">
        <v>71212113</v>
      </c>
      <c r="C489">
        <v>71212096</v>
      </c>
      <c r="D489">
        <v>67878646</v>
      </c>
      <c r="E489">
        <v>27</v>
      </c>
      <c r="F489">
        <v>1</v>
      </c>
      <c r="G489">
        <v>27</v>
      </c>
      <c r="H489">
        <v>1</v>
      </c>
      <c r="I489" t="s">
        <v>565</v>
      </c>
      <c r="J489" t="s">
        <v>3</v>
      </c>
      <c r="K489" t="s">
        <v>566</v>
      </c>
      <c r="L489">
        <v>1191</v>
      </c>
      <c r="N489">
        <v>1013</v>
      </c>
      <c r="O489" t="s">
        <v>567</v>
      </c>
      <c r="P489" t="s">
        <v>567</v>
      </c>
      <c r="Q489">
        <v>1</v>
      </c>
      <c r="X489">
        <v>2.4500000000000002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1</v>
      </c>
      <c r="AF489" t="s">
        <v>474</v>
      </c>
      <c r="AG489">
        <v>4.9000000000000004</v>
      </c>
      <c r="AH489">
        <v>3</v>
      </c>
      <c r="AI489">
        <v>-1</v>
      </c>
      <c r="AJ489" t="s">
        <v>3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</row>
    <row r="490" spans="1:44" x14ac:dyDescent="0.2">
      <c r="A490">
        <f>ROW(Source!A548)</f>
        <v>548</v>
      </c>
      <c r="B490">
        <v>71212114</v>
      </c>
      <c r="C490">
        <v>71212096</v>
      </c>
      <c r="D490">
        <v>67890976</v>
      </c>
      <c r="E490">
        <v>1</v>
      </c>
      <c r="F490">
        <v>1</v>
      </c>
      <c r="G490">
        <v>27</v>
      </c>
      <c r="H490">
        <v>2</v>
      </c>
      <c r="I490" t="s">
        <v>697</v>
      </c>
      <c r="J490" t="s">
        <v>698</v>
      </c>
      <c r="K490" t="s">
        <v>699</v>
      </c>
      <c r="L490">
        <v>1368</v>
      </c>
      <c r="N490">
        <v>1011</v>
      </c>
      <c r="O490" t="s">
        <v>571</v>
      </c>
      <c r="P490" t="s">
        <v>571</v>
      </c>
      <c r="Q490">
        <v>1</v>
      </c>
      <c r="X490">
        <v>0.01</v>
      </c>
      <c r="Y490">
        <v>0</v>
      </c>
      <c r="Z490">
        <v>683.9</v>
      </c>
      <c r="AA490">
        <v>371.27</v>
      </c>
      <c r="AB490">
        <v>0</v>
      </c>
      <c r="AC490">
        <v>0</v>
      </c>
      <c r="AD490">
        <v>1</v>
      </c>
      <c r="AE490">
        <v>0</v>
      </c>
      <c r="AF490" t="s">
        <v>474</v>
      </c>
      <c r="AG490">
        <v>0.02</v>
      </c>
      <c r="AH490">
        <v>3</v>
      </c>
      <c r="AI490">
        <v>-1</v>
      </c>
      <c r="AJ490" t="s">
        <v>3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</row>
    <row r="491" spans="1:44" x14ac:dyDescent="0.2">
      <c r="A491">
        <f>ROW(Source!A548)</f>
        <v>548</v>
      </c>
      <c r="B491">
        <v>71212115</v>
      </c>
      <c r="C491">
        <v>71212096</v>
      </c>
      <c r="D491">
        <v>67892272</v>
      </c>
      <c r="E491">
        <v>1</v>
      </c>
      <c r="F491">
        <v>1</v>
      </c>
      <c r="G491">
        <v>27</v>
      </c>
      <c r="H491">
        <v>3</v>
      </c>
      <c r="I491" t="s">
        <v>913</v>
      </c>
      <c r="J491" t="s">
        <v>914</v>
      </c>
      <c r="K491" t="s">
        <v>915</v>
      </c>
      <c r="L491">
        <v>1348</v>
      </c>
      <c r="N491">
        <v>1009</v>
      </c>
      <c r="O491" t="s">
        <v>35</v>
      </c>
      <c r="P491" t="s">
        <v>35</v>
      </c>
      <c r="Q491">
        <v>1000</v>
      </c>
      <c r="X491">
        <v>1.48E-3</v>
      </c>
      <c r="Y491">
        <v>63195.54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 t="s">
        <v>474</v>
      </c>
      <c r="AG491">
        <v>2.96E-3</v>
      </c>
      <c r="AH491">
        <v>3</v>
      </c>
      <c r="AI491">
        <v>-1</v>
      </c>
      <c r="AJ491" t="s">
        <v>3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</row>
    <row r="492" spans="1:44" x14ac:dyDescent="0.2">
      <c r="A492">
        <f>ROW(Source!A548)</f>
        <v>548</v>
      </c>
      <c r="B492">
        <v>71212116</v>
      </c>
      <c r="C492">
        <v>71212096</v>
      </c>
      <c r="D492">
        <v>67892297</v>
      </c>
      <c r="E492">
        <v>1</v>
      </c>
      <c r="F492">
        <v>1</v>
      </c>
      <c r="G492">
        <v>27</v>
      </c>
      <c r="H492">
        <v>3</v>
      </c>
      <c r="I492" t="s">
        <v>916</v>
      </c>
      <c r="J492" t="s">
        <v>917</v>
      </c>
      <c r="K492" t="s">
        <v>918</v>
      </c>
      <c r="L492">
        <v>1346</v>
      </c>
      <c r="N492">
        <v>1009</v>
      </c>
      <c r="O492" t="s">
        <v>288</v>
      </c>
      <c r="P492" t="s">
        <v>288</v>
      </c>
      <c r="Q492">
        <v>1</v>
      </c>
      <c r="X492">
        <v>9</v>
      </c>
      <c r="Y492">
        <v>105.32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 t="s">
        <v>474</v>
      </c>
      <c r="AG492">
        <v>18</v>
      </c>
      <c r="AH492">
        <v>3</v>
      </c>
      <c r="AI492">
        <v>-1</v>
      </c>
      <c r="AJ492" t="s">
        <v>3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</row>
    <row r="493" spans="1:44" x14ac:dyDescent="0.2">
      <c r="A493">
        <f>ROW(Source!A549)</f>
        <v>549</v>
      </c>
      <c r="B493">
        <v>71212131</v>
      </c>
      <c r="C493">
        <v>71212117</v>
      </c>
      <c r="D493">
        <v>67878646</v>
      </c>
      <c r="E493">
        <v>27</v>
      </c>
      <c r="F493">
        <v>1</v>
      </c>
      <c r="G493">
        <v>27</v>
      </c>
      <c r="H493">
        <v>1</v>
      </c>
      <c r="I493" t="s">
        <v>565</v>
      </c>
      <c r="J493" t="s">
        <v>3</v>
      </c>
      <c r="K493" t="s">
        <v>566</v>
      </c>
      <c r="L493">
        <v>1191</v>
      </c>
      <c r="N493">
        <v>1013</v>
      </c>
      <c r="O493" t="s">
        <v>567</v>
      </c>
      <c r="P493" t="s">
        <v>567</v>
      </c>
      <c r="Q493">
        <v>1</v>
      </c>
      <c r="X493">
        <v>79.349999999999994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1</v>
      </c>
      <c r="AF493" t="s">
        <v>3</v>
      </c>
      <c r="AG493">
        <v>79.349999999999994</v>
      </c>
      <c r="AH493">
        <v>3</v>
      </c>
      <c r="AI493">
        <v>-1</v>
      </c>
      <c r="AJ493" t="s">
        <v>3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</row>
    <row r="494" spans="1:44" x14ac:dyDescent="0.2">
      <c r="A494">
        <f>ROW(Source!A549)</f>
        <v>549</v>
      </c>
      <c r="B494">
        <v>71212132</v>
      </c>
      <c r="C494">
        <v>71212117</v>
      </c>
      <c r="D494">
        <v>67896533</v>
      </c>
      <c r="E494">
        <v>1</v>
      </c>
      <c r="F494">
        <v>1</v>
      </c>
      <c r="G494">
        <v>27</v>
      </c>
      <c r="H494">
        <v>3</v>
      </c>
      <c r="I494" t="s">
        <v>879</v>
      </c>
      <c r="J494" t="s">
        <v>880</v>
      </c>
      <c r="K494" t="s">
        <v>881</v>
      </c>
      <c r="L494">
        <v>1354</v>
      </c>
      <c r="N494">
        <v>1010</v>
      </c>
      <c r="O494" t="s">
        <v>232</v>
      </c>
      <c r="P494" t="s">
        <v>232</v>
      </c>
      <c r="Q494">
        <v>1</v>
      </c>
      <c r="X494">
        <v>100</v>
      </c>
      <c r="Y494">
        <v>127.21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 t="s">
        <v>3</v>
      </c>
      <c r="AG494">
        <v>100</v>
      </c>
      <c r="AH494">
        <v>3</v>
      </c>
      <c r="AI494">
        <v>-1</v>
      </c>
      <c r="AJ494" t="s">
        <v>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</row>
    <row r="495" spans="1:44" x14ac:dyDescent="0.2">
      <c r="A495">
        <f>ROW(Source!A549)</f>
        <v>549</v>
      </c>
      <c r="B495">
        <v>71212133</v>
      </c>
      <c r="C495">
        <v>71212117</v>
      </c>
      <c r="D495">
        <v>67879372</v>
      </c>
      <c r="E495">
        <v>27</v>
      </c>
      <c r="F495">
        <v>1</v>
      </c>
      <c r="G495">
        <v>27</v>
      </c>
      <c r="H495">
        <v>3</v>
      </c>
      <c r="I495" t="s">
        <v>882</v>
      </c>
      <c r="J495" t="s">
        <v>3</v>
      </c>
      <c r="K495" t="s">
        <v>883</v>
      </c>
      <c r="L495">
        <v>1354</v>
      </c>
      <c r="N495">
        <v>1010</v>
      </c>
      <c r="O495" t="s">
        <v>232</v>
      </c>
      <c r="P495" t="s">
        <v>232</v>
      </c>
      <c r="Q495">
        <v>1</v>
      </c>
      <c r="X495">
        <v>100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t="s">
        <v>3</v>
      </c>
      <c r="AG495">
        <v>100</v>
      </c>
      <c r="AH495">
        <v>3</v>
      </c>
      <c r="AI495">
        <v>-1</v>
      </c>
      <c r="AJ495" t="s">
        <v>3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</row>
    <row r="496" spans="1:44" x14ac:dyDescent="0.2">
      <c r="A496">
        <f>ROW(Source!A556)</f>
        <v>556</v>
      </c>
      <c r="B496">
        <v>71212171</v>
      </c>
      <c r="C496">
        <v>71212140</v>
      </c>
      <c r="D496">
        <v>67878646</v>
      </c>
      <c r="E496">
        <v>27</v>
      </c>
      <c r="F496">
        <v>1</v>
      </c>
      <c r="G496">
        <v>27</v>
      </c>
      <c r="H496">
        <v>1</v>
      </c>
      <c r="I496" t="s">
        <v>565</v>
      </c>
      <c r="J496" t="s">
        <v>3</v>
      </c>
      <c r="K496" t="s">
        <v>566</v>
      </c>
      <c r="L496">
        <v>1191</v>
      </c>
      <c r="N496">
        <v>1013</v>
      </c>
      <c r="O496" t="s">
        <v>567</v>
      </c>
      <c r="P496" t="s">
        <v>567</v>
      </c>
      <c r="Q496">
        <v>1</v>
      </c>
      <c r="X496">
        <v>188.73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1</v>
      </c>
      <c r="AF496" t="s">
        <v>3</v>
      </c>
      <c r="AG496">
        <v>188.73</v>
      </c>
      <c r="AH496">
        <v>3</v>
      </c>
      <c r="AI496">
        <v>-1</v>
      </c>
      <c r="AJ496" t="s">
        <v>3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</row>
    <row r="497" spans="1:44" x14ac:dyDescent="0.2">
      <c r="A497">
        <f>ROW(Source!A556)</f>
        <v>556</v>
      </c>
      <c r="B497">
        <v>71212172</v>
      </c>
      <c r="C497">
        <v>71212140</v>
      </c>
      <c r="D497">
        <v>67891132</v>
      </c>
      <c r="E497">
        <v>1</v>
      </c>
      <c r="F497">
        <v>1</v>
      </c>
      <c r="G497">
        <v>27</v>
      </c>
      <c r="H497">
        <v>2</v>
      </c>
      <c r="I497" t="s">
        <v>922</v>
      </c>
      <c r="J497" t="s">
        <v>923</v>
      </c>
      <c r="K497" t="s">
        <v>924</v>
      </c>
      <c r="L497">
        <v>1368</v>
      </c>
      <c r="N497">
        <v>1011</v>
      </c>
      <c r="O497" t="s">
        <v>571</v>
      </c>
      <c r="P497" t="s">
        <v>571</v>
      </c>
      <c r="Q497">
        <v>1</v>
      </c>
      <c r="X497">
        <v>0.59</v>
      </c>
      <c r="Y497">
        <v>0</v>
      </c>
      <c r="Z497">
        <v>295.69</v>
      </c>
      <c r="AA497">
        <v>274.11</v>
      </c>
      <c r="AB497">
        <v>0</v>
      </c>
      <c r="AC497">
        <v>0</v>
      </c>
      <c r="AD497">
        <v>1</v>
      </c>
      <c r="AE497">
        <v>0</v>
      </c>
      <c r="AF497" t="s">
        <v>3</v>
      </c>
      <c r="AG497">
        <v>0.59</v>
      </c>
      <c r="AH497">
        <v>3</v>
      </c>
      <c r="AI497">
        <v>-1</v>
      </c>
      <c r="AJ497" t="s">
        <v>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4" x14ac:dyDescent="0.2">
      <c r="A498">
        <f>ROW(Source!A556)</f>
        <v>556</v>
      </c>
      <c r="B498">
        <v>71212173</v>
      </c>
      <c r="C498">
        <v>71212140</v>
      </c>
      <c r="D498">
        <v>67893760</v>
      </c>
      <c r="E498">
        <v>1</v>
      </c>
      <c r="F498">
        <v>1</v>
      </c>
      <c r="G498">
        <v>27</v>
      </c>
      <c r="H498">
        <v>3</v>
      </c>
      <c r="I498" t="s">
        <v>652</v>
      </c>
      <c r="J498" t="s">
        <v>653</v>
      </c>
      <c r="K498" t="s">
        <v>654</v>
      </c>
      <c r="L498">
        <v>1339</v>
      </c>
      <c r="N498">
        <v>1007</v>
      </c>
      <c r="O498" t="s">
        <v>236</v>
      </c>
      <c r="P498" t="s">
        <v>236</v>
      </c>
      <c r="Q498">
        <v>1</v>
      </c>
      <c r="X498">
        <v>0.38</v>
      </c>
      <c r="Y498">
        <v>35.25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 t="s">
        <v>3</v>
      </c>
      <c r="AG498">
        <v>0.38</v>
      </c>
      <c r="AH498">
        <v>3</v>
      </c>
      <c r="AI498">
        <v>-1</v>
      </c>
      <c r="AJ498" t="s">
        <v>3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</row>
    <row r="499" spans="1:44" x14ac:dyDescent="0.2">
      <c r="A499">
        <f>ROW(Source!A556)</f>
        <v>556</v>
      </c>
      <c r="B499">
        <v>71212174</v>
      </c>
      <c r="C499">
        <v>71212140</v>
      </c>
      <c r="D499">
        <v>67893936</v>
      </c>
      <c r="E499">
        <v>1</v>
      </c>
      <c r="F499">
        <v>1</v>
      </c>
      <c r="G499">
        <v>27</v>
      </c>
      <c r="H499">
        <v>3</v>
      </c>
      <c r="I499" t="s">
        <v>800</v>
      </c>
      <c r="J499" t="s">
        <v>801</v>
      </c>
      <c r="K499" t="s">
        <v>802</v>
      </c>
      <c r="L499">
        <v>1346</v>
      </c>
      <c r="N499">
        <v>1009</v>
      </c>
      <c r="O499" t="s">
        <v>288</v>
      </c>
      <c r="P499" t="s">
        <v>288</v>
      </c>
      <c r="Q499">
        <v>1</v>
      </c>
      <c r="X499">
        <v>80</v>
      </c>
      <c r="Y499">
        <v>84.54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 t="s">
        <v>3</v>
      </c>
      <c r="AG499">
        <v>80</v>
      </c>
      <c r="AH499">
        <v>3</v>
      </c>
      <c r="AI499">
        <v>-1</v>
      </c>
      <c r="AJ499" t="s">
        <v>3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</row>
    <row r="500" spans="1:44" x14ac:dyDescent="0.2">
      <c r="A500">
        <f>ROW(Source!A556)</f>
        <v>556</v>
      </c>
      <c r="B500">
        <v>71212175</v>
      </c>
      <c r="C500">
        <v>71212140</v>
      </c>
      <c r="D500">
        <v>67894787</v>
      </c>
      <c r="E500">
        <v>1</v>
      </c>
      <c r="F500">
        <v>1</v>
      </c>
      <c r="G500">
        <v>27</v>
      </c>
      <c r="H500">
        <v>3</v>
      </c>
      <c r="I500" t="s">
        <v>803</v>
      </c>
      <c r="J500" t="s">
        <v>804</v>
      </c>
      <c r="K500" t="s">
        <v>805</v>
      </c>
      <c r="L500">
        <v>1339</v>
      </c>
      <c r="N500">
        <v>1007</v>
      </c>
      <c r="O500" t="s">
        <v>236</v>
      </c>
      <c r="P500" t="s">
        <v>236</v>
      </c>
      <c r="Q500">
        <v>1</v>
      </c>
      <c r="X500">
        <v>0.55000000000000004</v>
      </c>
      <c r="Y500">
        <v>2967.84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 t="s">
        <v>3</v>
      </c>
      <c r="AG500">
        <v>0.55000000000000004</v>
      </c>
      <c r="AH500">
        <v>3</v>
      </c>
      <c r="AI500">
        <v>-1</v>
      </c>
      <c r="AJ500" t="s">
        <v>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</row>
    <row r="501" spans="1:44" x14ac:dyDescent="0.2">
      <c r="A501">
        <f>ROW(Source!A556)</f>
        <v>556</v>
      </c>
      <c r="B501">
        <v>71212176</v>
      </c>
      <c r="C501">
        <v>71212140</v>
      </c>
      <c r="D501">
        <v>67894836</v>
      </c>
      <c r="E501">
        <v>1</v>
      </c>
      <c r="F501">
        <v>1</v>
      </c>
      <c r="G501">
        <v>27</v>
      </c>
      <c r="H501">
        <v>3</v>
      </c>
      <c r="I501" t="s">
        <v>925</v>
      </c>
      <c r="J501" t="s">
        <v>926</v>
      </c>
      <c r="K501" t="s">
        <v>927</v>
      </c>
      <c r="L501">
        <v>1348</v>
      </c>
      <c r="N501">
        <v>1009</v>
      </c>
      <c r="O501" t="s">
        <v>35</v>
      </c>
      <c r="P501" t="s">
        <v>35</v>
      </c>
      <c r="Q501">
        <v>1000</v>
      </c>
      <c r="X501">
        <v>2.5499999999999998</v>
      </c>
      <c r="Y501">
        <v>3801.85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 t="s">
        <v>3</v>
      </c>
      <c r="AG501">
        <v>2.5499999999999998</v>
      </c>
      <c r="AH501">
        <v>3</v>
      </c>
      <c r="AI501">
        <v>-1</v>
      </c>
      <c r="AJ501" t="s">
        <v>3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</row>
    <row r="502" spans="1:44" x14ac:dyDescent="0.2">
      <c r="A502">
        <f>ROW(Source!A556)</f>
        <v>556</v>
      </c>
      <c r="B502">
        <v>71212177</v>
      </c>
      <c r="C502">
        <v>71212140</v>
      </c>
      <c r="D502">
        <v>67895696</v>
      </c>
      <c r="E502">
        <v>1</v>
      </c>
      <c r="F502">
        <v>1</v>
      </c>
      <c r="G502">
        <v>27</v>
      </c>
      <c r="H502">
        <v>3</v>
      </c>
      <c r="I502" t="s">
        <v>508</v>
      </c>
      <c r="J502" t="s">
        <v>510</v>
      </c>
      <c r="K502" t="s">
        <v>509</v>
      </c>
      <c r="L502">
        <v>1339</v>
      </c>
      <c r="N502">
        <v>1007</v>
      </c>
      <c r="O502" t="s">
        <v>236</v>
      </c>
      <c r="P502" t="s">
        <v>236</v>
      </c>
      <c r="Q502">
        <v>1</v>
      </c>
      <c r="X502">
        <v>59</v>
      </c>
      <c r="Y502">
        <v>9099.09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 t="s">
        <v>3</v>
      </c>
      <c r="AG502">
        <v>59</v>
      </c>
      <c r="AH502">
        <v>3</v>
      </c>
      <c r="AI502">
        <v>-1</v>
      </c>
      <c r="AJ502" t="s">
        <v>3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</row>
    <row r="503" spans="1:44" x14ac:dyDescent="0.2">
      <c r="A503">
        <f>ROW(Source!A559)</f>
        <v>559</v>
      </c>
      <c r="B503">
        <v>71212197</v>
      </c>
      <c r="C503">
        <v>71212180</v>
      </c>
      <c r="D503">
        <v>67878646</v>
      </c>
      <c r="E503">
        <v>27</v>
      </c>
      <c r="F503">
        <v>1</v>
      </c>
      <c r="G503">
        <v>27</v>
      </c>
      <c r="H503">
        <v>1</v>
      </c>
      <c r="I503" t="s">
        <v>565</v>
      </c>
      <c r="J503" t="s">
        <v>3</v>
      </c>
      <c r="K503" t="s">
        <v>566</v>
      </c>
      <c r="L503">
        <v>1191</v>
      </c>
      <c r="N503">
        <v>1013</v>
      </c>
      <c r="O503" t="s">
        <v>567</v>
      </c>
      <c r="P503" t="s">
        <v>567</v>
      </c>
      <c r="Q503">
        <v>1</v>
      </c>
      <c r="X503">
        <v>18.649999999999999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1</v>
      </c>
      <c r="AF503" t="s">
        <v>3</v>
      </c>
      <c r="AG503">
        <v>18.649999999999999</v>
      </c>
      <c r="AH503">
        <v>3</v>
      </c>
      <c r="AI503">
        <v>-1</v>
      </c>
      <c r="AJ503" t="s">
        <v>3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</row>
    <row r="504" spans="1:44" x14ac:dyDescent="0.2">
      <c r="A504">
        <f>ROW(Source!A559)</f>
        <v>559</v>
      </c>
      <c r="B504">
        <v>71212198</v>
      </c>
      <c r="C504">
        <v>71212180</v>
      </c>
      <c r="D504">
        <v>67892835</v>
      </c>
      <c r="E504">
        <v>1</v>
      </c>
      <c r="F504">
        <v>1</v>
      </c>
      <c r="G504">
        <v>27</v>
      </c>
      <c r="H504">
        <v>3</v>
      </c>
      <c r="I504" t="s">
        <v>703</v>
      </c>
      <c r="J504" t="s">
        <v>704</v>
      </c>
      <c r="K504" t="s">
        <v>705</v>
      </c>
      <c r="L504">
        <v>1348</v>
      </c>
      <c r="N504">
        <v>1009</v>
      </c>
      <c r="O504" t="s">
        <v>35</v>
      </c>
      <c r="P504" t="s">
        <v>35</v>
      </c>
      <c r="Q504">
        <v>1000</v>
      </c>
      <c r="X504">
        <v>1.132E-2</v>
      </c>
      <c r="Y504">
        <v>49736.04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 t="s">
        <v>3</v>
      </c>
      <c r="AG504">
        <v>1.132E-2</v>
      </c>
      <c r="AH504">
        <v>3</v>
      </c>
      <c r="AI504">
        <v>-1</v>
      </c>
      <c r="AJ504" t="s">
        <v>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</row>
    <row r="505" spans="1:44" x14ac:dyDescent="0.2">
      <c r="A505">
        <f>ROW(Source!A559)</f>
        <v>559</v>
      </c>
      <c r="B505">
        <v>71212199</v>
      </c>
      <c r="C505">
        <v>71212180</v>
      </c>
      <c r="D505">
        <v>67892461</v>
      </c>
      <c r="E505">
        <v>1</v>
      </c>
      <c r="F505">
        <v>1</v>
      </c>
      <c r="G505">
        <v>27</v>
      </c>
      <c r="H505">
        <v>3</v>
      </c>
      <c r="I505" t="s">
        <v>928</v>
      </c>
      <c r="J505" t="s">
        <v>929</v>
      </c>
      <c r="K505" t="s">
        <v>930</v>
      </c>
      <c r="L505">
        <v>1339</v>
      </c>
      <c r="N505">
        <v>1007</v>
      </c>
      <c r="O505" t="s">
        <v>236</v>
      </c>
      <c r="P505" t="s">
        <v>236</v>
      </c>
      <c r="Q505">
        <v>1</v>
      </c>
      <c r="X505">
        <v>3.01</v>
      </c>
      <c r="Y505">
        <v>7103.4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0</v>
      </c>
      <c r="AF505" t="s">
        <v>3</v>
      </c>
      <c r="AG505">
        <v>3.01</v>
      </c>
      <c r="AH505">
        <v>3</v>
      </c>
      <c r="AI505">
        <v>-1</v>
      </c>
      <c r="AJ505" t="s">
        <v>3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</row>
    <row r="506" spans="1:44" x14ac:dyDescent="0.2">
      <c r="A506">
        <f>ROW(Source!A559)</f>
        <v>559</v>
      </c>
      <c r="B506">
        <v>71212200</v>
      </c>
      <c r="C506">
        <v>71212180</v>
      </c>
      <c r="D506">
        <v>67892462</v>
      </c>
      <c r="E506">
        <v>1</v>
      </c>
      <c r="F506">
        <v>1</v>
      </c>
      <c r="G506">
        <v>27</v>
      </c>
      <c r="H506">
        <v>3</v>
      </c>
      <c r="I506" t="s">
        <v>518</v>
      </c>
      <c r="J506" t="s">
        <v>520</v>
      </c>
      <c r="K506" t="s">
        <v>519</v>
      </c>
      <c r="L506">
        <v>1339</v>
      </c>
      <c r="N506">
        <v>1007</v>
      </c>
      <c r="O506" t="s">
        <v>236</v>
      </c>
      <c r="P506" t="s">
        <v>236</v>
      </c>
      <c r="Q506">
        <v>1</v>
      </c>
      <c r="X506">
        <v>0.72</v>
      </c>
      <c r="Y506">
        <v>7098.7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 t="s">
        <v>3</v>
      </c>
      <c r="AG506">
        <v>0.72</v>
      </c>
      <c r="AH506">
        <v>3</v>
      </c>
      <c r="AI506">
        <v>-1</v>
      </c>
      <c r="AJ506" t="s">
        <v>3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</row>
    <row r="507" spans="1:44" x14ac:dyDescent="0.2">
      <c r="A507">
        <f>ROW(Source!A560)</f>
        <v>560</v>
      </c>
      <c r="B507">
        <v>71212220</v>
      </c>
      <c r="C507">
        <v>71212201</v>
      </c>
      <c r="D507">
        <v>67878646</v>
      </c>
      <c r="E507">
        <v>27</v>
      </c>
      <c r="F507">
        <v>1</v>
      </c>
      <c r="G507">
        <v>27</v>
      </c>
      <c r="H507">
        <v>1</v>
      </c>
      <c r="I507" t="s">
        <v>565</v>
      </c>
      <c r="J507" t="s">
        <v>3</v>
      </c>
      <c r="K507" t="s">
        <v>566</v>
      </c>
      <c r="L507">
        <v>1191</v>
      </c>
      <c r="N507">
        <v>1013</v>
      </c>
      <c r="O507" t="s">
        <v>567</v>
      </c>
      <c r="P507" t="s">
        <v>567</v>
      </c>
      <c r="Q507">
        <v>1</v>
      </c>
      <c r="X507">
        <v>37.950000000000003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1</v>
      </c>
      <c r="AF507" t="s">
        <v>3</v>
      </c>
      <c r="AG507">
        <v>37.950000000000003</v>
      </c>
      <c r="AH507">
        <v>3</v>
      </c>
      <c r="AI507">
        <v>-1</v>
      </c>
      <c r="AJ507" t="s">
        <v>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</row>
    <row r="508" spans="1:44" x14ac:dyDescent="0.2">
      <c r="A508">
        <f>ROW(Source!A560)</f>
        <v>560</v>
      </c>
      <c r="B508">
        <v>71212221</v>
      </c>
      <c r="C508">
        <v>71212201</v>
      </c>
      <c r="D508">
        <v>67892835</v>
      </c>
      <c r="E508">
        <v>1</v>
      </c>
      <c r="F508">
        <v>1</v>
      </c>
      <c r="G508">
        <v>27</v>
      </c>
      <c r="H508">
        <v>3</v>
      </c>
      <c r="I508" t="s">
        <v>703</v>
      </c>
      <c r="J508" t="s">
        <v>704</v>
      </c>
      <c r="K508" t="s">
        <v>705</v>
      </c>
      <c r="L508">
        <v>1348</v>
      </c>
      <c r="N508">
        <v>1009</v>
      </c>
      <c r="O508" t="s">
        <v>35</v>
      </c>
      <c r="P508" t="s">
        <v>35</v>
      </c>
      <c r="Q508">
        <v>1000</v>
      </c>
      <c r="X508">
        <v>1.4E-2</v>
      </c>
      <c r="Y508">
        <v>49736.04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 t="s">
        <v>3</v>
      </c>
      <c r="AG508">
        <v>1.4E-2</v>
      </c>
      <c r="AH508">
        <v>3</v>
      </c>
      <c r="AI508">
        <v>-1</v>
      </c>
      <c r="AJ508" t="s">
        <v>3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</row>
    <row r="509" spans="1:44" x14ac:dyDescent="0.2">
      <c r="A509">
        <f>ROW(Source!A560)</f>
        <v>560</v>
      </c>
      <c r="B509">
        <v>71212222</v>
      </c>
      <c r="C509">
        <v>71212201</v>
      </c>
      <c r="D509">
        <v>67892391</v>
      </c>
      <c r="E509">
        <v>1</v>
      </c>
      <c r="F509">
        <v>1</v>
      </c>
      <c r="G509">
        <v>27</v>
      </c>
      <c r="H509">
        <v>3</v>
      </c>
      <c r="I509" t="s">
        <v>931</v>
      </c>
      <c r="J509" t="s">
        <v>932</v>
      </c>
      <c r="K509" t="s">
        <v>933</v>
      </c>
      <c r="L509">
        <v>1348</v>
      </c>
      <c r="N509">
        <v>1009</v>
      </c>
      <c r="O509" t="s">
        <v>35</v>
      </c>
      <c r="P509" t="s">
        <v>35</v>
      </c>
      <c r="Q509">
        <v>1000</v>
      </c>
      <c r="X509">
        <v>7.3999999999999996E-2</v>
      </c>
      <c r="Y509">
        <v>254256.45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 t="s">
        <v>3</v>
      </c>
      <c r="AG509">
        <v>7.3999999999999996E-2</v>
      </c>
      <c r="AH509">
        <v>3</v>
      </c>
      <c r="AI509">
        <v>-1</v>
      </c>
      <c r="AJ509" t="s">
        <v>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</row>
    <row r="510" spans="1:44" x14ac:dyDescent="0.2">
      <c r="A510">
        <f>ROW(Source!A560)</f>
        <v>560</v>
      </c>
      <c r="B510">
        <v>71212223</v>
      </c>
      <c r="C510">
        <v>71212201</v>
      </c>
      <c r="D510">
        <v>67892462</v>
      </c>
      <c r="E510">
        <v>1</v>
      </c>
      <c r="F510">
        <v>1</v>
      </c>
      <c r="G510">
        <v>27</v>
      </c>
      <c r="H510">
        <v>3</v>
      </c>
      <c r="I510" t="s">
        <v>518</v>
      </c>
      <c r="J510" t="s">
        <v>520</v>
      </c>
      <c r="K510" t="s">
        <v>519</v>
      </c>
      <c r="L510">
        <v>1339</v>
      </c>
      <c r="N510">
        <v>1007</v>
      </c>
      <c r="O510" t="s">
        <v>236</v>
      </c>
      <c r="P510" t="s">
        <v>236</v>
      </c>
      <c r="Q510">
        <v>1</v>
      </c>
      <c r="X510">
        <v>4.2</v>
      </c>
      <c r="Y510">
        <v>7098.7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 t="s">
        <v>3</v>
      </c>
      <c r="AG510">
        <v>4.2</v>
      </c>
      <c r="AH510">
        <v>3</v>
      </c>
      <c r="AI510">
        <v>-1</v>
      </c>
      <c r="AJ510" t="s">
        <v>3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</row>
    <row r="511" spans="1:44" x14ac:dyDescent="0.2">
      <c r="A511">
        <f>ROW(Source!A563)</f>
        <v>563</v>
      </c>
      <c r="B511">
        <v>71212246</v>
      </c>
      <c r="C511">
        <v>71212226</v>
      </c>
      <c r="D511">
        <v>67878646</v>
      </c>
      <c r="E511">
        <v>27</v>
      </c>
      <c r="F511">
        <v>1</v>
      </c>
      <c r="G511">
        <v>27</v>
      </c>
      <c r="H511">
        <v>1</v>
      </c>
      <c r="I511" t="s">
        <v>565</v>
      </c>
      <c r="J511" t="s">
        <v>3</v>
      </c>
      <c r="K511" t="s">
        <v>566</v>
      </c>
      <c r="L511">
        <v>1191</v>
      </c>
      <c r="N511">
        <v>1013</v>
      </c>
      <c r="O511" t="s">
        <v>567</v>
      </c>
      <c r="P511" t="s">
        <v>567</v>
      </c>
      <c r="Q511">
        <v>1</v>
      </c>
      <c r="X511">
        <v>2.85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1</v>
      </c>
      <c r="AF511" t="s">
        <v>3</v>
      </c>
      <c r="AG511">
        <v>2.85</v>
      </c>
      <c r="AH511">
        <v>3</v>
      </c>
      <c r="AI511">
        <v>-1</v>
      </c>
      <c r="AJ511" t="s">
        <v>3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</row>
    <row r="512" spans="1:44" x14ac:dyDescent="0.2">
      <c r="A512">
        <f>ROW(Source!A563)</f>
        <v>563</v>
      </c>
      <c r="B512">
        <v>71212247</v>
      </c>
      <c r="C512">
        <v>71212226</v>
      </c>
      <c r="D512">
        <v>67891771</v>
      </c>
      <c r="E512">
        <v>1</v>
      </c>
      <c r="F512">
        <v>1</v>
      </c>
      <c r="G512">
        <v>27</v>
      </c>
      <c r="H512">
        <v>2</v>
      </c>
      <c r="I512" t="s">
        <v>589</v>
      </c>
      <c r="J512" t="s">
        <v>748</v>
      </c>
      <c r="K512" t="s">
        <v>591</v>
      </c>
      <c r="L512">
        <v>1368</v>
      </c>
      <c r="N512">
        <v>1011</v>
      </c>
      <c r="O512" t="s">
        <v>571</v>
      </c>
      <c r="P512" t="s">
        <v>571</v>
      </c>
      <c r="Q512">
        <v>1</v>
      </c>
      <c r="X512">
        <v>0.15</v>
      </c>
      <c r="Y512">
        <v>0</v>
      </c>
      <c r="Z512">
        <v>7.44</v>
      </c>
      <c r="AA512">
        <v>0.98</v>
      </c>
      <c r="AB512">
        <v>0</v>
      </c>
      <c r="AC512">
        <v>0</v>
      </c>
      <c r="AD512">
        <v>1</v>
      </c>
      <c r="AE512">
        <v>0</v>
      </c>
      <c r="AF512" t="s">
        <v>3</v>
      </c>
      <c r="AG512">
        <v>0.15</v>
      </c>
      <c r="AH512">
        <v>3</v>
      </c>
      <c r="AI512">
        <v>-1</v>
      </c>
      <c r="AJ512" t="s">
        <v>3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</row>
    <row r="513" spans="1:44" x14ac:dyDescent="0.2">
      <c r="A513">
        <f>ROW(Source!A563)</f>
        <v>563</v>
      </c>
      <c r="B513">
        <v>71212248</v>
      </c>
      <c r="C513">
        <v>71212226</v>
      </c>
      <c r="D513">
        <v>67892873</v>
      </c>
      <c r="E513">
        <v>1</v>
      </c>
      <c r="F513">
        <v>1</v>
      </c>
      <c r="G513">
        <v>27</v>
      </c>
      <c r="H513">
        <v>3</v>
      </c>
      <c r="I513" t="s">
        <v>919</v>
      </c>
      <c r="J513" t="s">
        <v>920</v>
      </c>
      <c r="K513" t="s">
        <v>921</v>
      </c>
      <c r="L513">
        <v>1348</v>
      </c>
      <c r="N513">
        <v>1009</v>
      </c>
      <c r="O513" t="s">
        <v>35</v>
      </c>
      <c r="P513" t="s">
        <v>35</v>
      </c>
      <c r="Q513">
        <v>1000</v>
      </c>
      <c r="X513">
        <v>1.49E-3</v>
      </c>
      <c r="Y513">
        <v>44670.03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 t="s">
        <v>3</v>
      </c>
      <c r="AG513">
        <v>1.49E-3</v>
      </c>
      <c r="AH513">
        <v>3</v>
      </c>
      <c r="AI513">
        <v>-1</v>
      </c>
      <c r="AJ513" t="s">
        <v>3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</row>
    <row r="514" spans="1:44" x14ac:dyDescent="0.2">
      <c r="A514">
        <f>ROW(Source!A563)</f>
        <v>563</v>
      </c>
      <c r="B514">
        <v>71212249</v>
      </c>
      <c r="C514">
        <v>71212226</v>
      </c>
      <c r="D514">
        <v>67891963</v>
      </c>
      <c r="E514">
        <v>1</v>
      </c>
      <c r="F514">
        <v>1</v>
      </c>
      <c r="G514">
        <v>27</v>
      </c>
      <c r="H514">
        <v>3</v>
      </c>
      <c r="I514" t="s">
        <v>619</v>
      </c>
      <c r="J514" t="s">
        <v>620</v>
      </c>
      <c r="K514" t="s">
        <v>621</v>
      </c>
      <c r="L514">
        <v>1348</v>
      </c>
      <c r="N514">
        <v>1009</v>
      </c>
      <c r="O514" t="s">
        <v>35</v>
      </c>
      <c r="P514" t="s">
        <v>35</v>
      </c>
      <c r="Q514">
        <v>1000</v>
      </c>
      <c r="X514">
        <v>1E-3</v>
      </c>
      <c r="Y514">
        <v>4207.5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0</v>
      </c>
      <c r="AF514" t="s">
        <v>3</v>
      </c>
      <c r="AG514">
        <v>1E-3</v>
      </c>
      <c r="AH514">
        <v>3</v>
      </c>
      <c r="AI514">
        <v>-1</v>
      </c>
      <c r="AJ514" t="s">
        <v>3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</row>
    <row r="515" spans="1:44" x14ac:dyDescent="0.2">
      <c r="A515">
        <f>ROW(Source!A563)</f>
        <v>563</v>
      </c>
      <c r="B515">
        <v>71212250</v>
      </c>
      <c r="C515">
        <v>71212226</v>
      </c>
      <c r="D515">
        <v>67892441</v>
      </c>
      <c r="E515">
        <v>1</v>
      </c>
      <c r="F515">
        <v>1</v>
      </c>
      <c r="G515">
        <v>27</v>
      </c>
      <c r="H515">
        <v>3</v>
      </c>
      <c r="I515" t="s">
        <v>595</v>
      </c>
      <c r="J515" t="s">
        <v>815</v>
      </c>
      <c r="K515" t="s">
        <v>597</v>
      </c>
      <c r="L515">
        <v>1339</v>
      </c>
      <c r="N515">
        <v>1007</v>
      </c>
      <c r="O515" t="s">
        <v>236</v>
      </c>
      <c r="P515" t="s">
        <v>236</v>
      </c>
      <c r="Q515">
        <v>1</v>
      </c>
      <c r="X515">
        <v>8.0000000000000007E-5</v>
      </c>
      <c r="Y515">
        <v>6232.67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 t="s">
        <v>3</v>
      </c>
      <c r="AG515">
        <v>8.0000000000000007E-5</v>
      </c>
      <c r="AH515">
        <v>3</v>
      </c>
      <c r="AI515">
        <v>-1</v>
      </c>
      <c r="AJ515" t="s">
        <v>3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</row>
    <row r="516" spans="1:44" x14ac:dyDescent="0.2">
      <c r="A516">
        <f>ROW(Source!A563)</f>
        <v>563</v>
      </c>
      <c r="B516">
        <v>71212251</v>
      </c>
      <c r="C516">
        <v>71212226</v>
      </c>
      <c r="D516">
        <v>67879479</v>
      </c>
      <c r="E516">
        <v>27</v>
      </c>
      <c r="F516">
        <v>1</v>
      </c>
      <c r="G516">
        <v>27</v>
      </c>
      <c r="H516">
        <v>3</v>
      </c>
      <c r="I516" t="s">
        <v>934</v>
      </c>
      <c r="J516" t="s">
        <v>3</v>
      </c>
      <c r="K516" t="s">
        <v>935</v>
      </c>
      <c r="L516">
        <v>1354</v>
      </c>
      <c r="N516">
        <v>1010</v>
      </c>
      <c r="O516" t="s">
        <v>232</v>
      </c>
      <c r="P516" t="s">
        <v>232</v>
      </c>
      <c r="Q516">
        <v>1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t="s">
        <v>3</v>
      </c>
      <c r="AG516">
        <v>1</v>
      </c>
      <c r="AH516">
        <v>3</v>
      </c>
      <c r="AI516">
        <v>-1</v>
      </c>
      <c r="AJ516" t="s">
        <v>3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</row>
    <row r="517" spans="1:44" x14ac:dyDescent="0.2">
      <c r="A517">
        <f>ROW(Source!A634)</f>
        <v>634</v>
      </c>
      <c r="B517">
        <v>71212259</v>
      </c>
      <c r="C517">
        <v>71212253</v>
      </c>
      <c r="D517">
        <v>67878646</v>
      </c>
      <c r="E517">
        <v>27</v>
      </c>
      <c r="F517">
        <v>1</v>
      </c>
      <c r="G517">
        <v>27</v>
      </c>
      <c r="H517">
        <v>1</v>
      </c>
      <c r="I517" t="s">
        <v>565</v>
      </c>
      <c r="J517" t="s">
        <v>3</v>
      </c>
      <c r="K517" t="s">
        <v>566</v>
      </c>
      <c r="L517">
        <v>1191</v>
      </c>
      <c r="N517">
        <v>1013</v>
      </c>
      <c r="O517" t="s">
        <v>567</v>
      </c>
      <c r="P517" t="s">
        <v>567</v>
      </c>
      <c r="Q517">
        <v>1</v>
      </c>
      <c r="X517">
        <v>5.57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1</v>
      </c>
      <c r="AF517" t="s">
        <v>3</v>
      </c>
      <c r="AG517">
        <v>5.57</v>
      </c>
      <c r="AH517">
        <v>2</v>
      </c>
      <c r="AI517">
        <v>71212254</v>
      </c>
      <c r="AJ517">
        <v>83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</row>
    <row r="518" spans="1:44" x14ac:dyDescent="0.2">
      <c r="A518">
        <f>ROW(Source!A634)</f>
        <v>634</v>
      </c>
      <c r="B518">
        <v>71212260</v>
      </c>
      <c r="C518">
        <v>71212253</v>
      </c>
      <c r="D518">
        <v>67891471</v>
      </c>
      <c r="E518">
        <v>1</v>
      </c>
      <c r="F518">
        <v>1</v>
      </c>
      <c r="G518">
        <v>27</v>
      </c>
      <c r="H518">
        <v>2</v>
      </c>
      <c r="I518" t="s">
        <v>637</v>
      </c>
      <c r="J518" t="s">
        <v>638</v>
      </c>
      <c r="K518" t="s">
        <v>639</v>
      </c>
      <c r="L518">
        <v>1368</v>
      </c>
      <c r="N518">
        <v>1011</v>
      </c>
      <c r="O518" t="s">
        <v>571</v>
      </c>
      <c r="P518" t="s">
        <v>571</v>
      </c>
      <c r="Q518">
        <v>1</v>
      </c>
      <c r="X518">
        <v>0.25</v>
      </c>
      <c r="Y518">
        <v>0</v>
      </c>
      <c r="Z518">
        <v>27.58</v>
      </c>
      <c r="AA518">
        <v>12.08</v>
      </c>
      <c r="AB518">
        <v>0</v>
      </c>
      <c r="AC518">
        <v>0</v>
      </c>
      <c r="AD518">
        <v>1</v>
      </c>
      <c r="AE518">
        <v>0</v>
      </c>
      <c r="AF518" t="s">
        <v>3</v>
      </c>
      <c r="AG518">
        <v>0.25</v>
      </c>
      <c r="AH518">
        <v>2</v>
      </c>
      <c r="AI518">
        <v>71212255</v>
      </c>
      <c r="AJ518">
        <v>84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</row>
    <row r="519" spans="1:44" x14ac:dyDescent="0.2">
      <c r="A519">
        <f>ROW(Source!A634)</f>
        <v>634</v>
      </c>
      <c r="B519">
        <v>71212261</v>
      </c>
      <c r="C519">
        <v>71212253</v>
      </c>
      <c r="D519">
        <v>67890910</v>
      </c>
      <c r="E519">
        <v>1</v>
      </c>
      <c r="F519">
        <v>1</v>
      </c>
      <c r="G519">
        <v>27</v>
      </c>
      <c r="H519">
        <v>2</v>
      </c>
      <c r="I519" t="s">
        <v>640</v>
      </c>
      <c r="J519" t="s">
        <v>641</v>
      </c>
      <c r="K519" t="s">
        <v>642</v>
      </c>
      <c r="L519">
        <v>1368</v>
      </c>
      <c r="N519">
        <v>1011</v>
      </c>
      <c r="O519" t="s">
        <v>571</v>
      </c>
      <c r="P519" t="s">
        <v>571</v>
      </c>
      <c r="Q519">
        <v>1</v>
      </c>
      <c r="X519">
        <v>0.25</v>
      </c>
      <c r="Y519">
        <v>0</v>
      </c>
      <c r="Z519">
        <v>991.89</v>
      </c>
      <c r="AA519">
        <v>360.79</v>
      </c>
      <c r="AB519">
        <v>0</v>
      </c>
      <c r="AC519">
        <v>0</v>
      </c>
      <c r="AD519">
        <v>1</v>
      </c>
      <c r="AE519">
        <v>0</v>
      </c>
      <c r="AF519" t="s">
        <v>3</v>
      </c>
      <c r="AG519">
        <v>0.25</v>
      </c>
      <c r="AH519">
        <v>2</v>
      </c>
      <c r="AI519">
        <v>71212256</v>
      </c>
      <c r="AJ519">
        <v>85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x14ac:dyDescent="0.2">
      <c r="A520">
        <f>ROW(Source!A634)</f>
        <v>634</v>
      </c>
      <c r="B520">
        <v>71212262</v>
      </c>
      <c r="C520">
        <v>71212253</v>
      </c>
      <c r="D520">
        <v>67895498</v>
      </c>
      <c r="E520">
        <v>1</v>
      </c>
      <c r="F520">
        <v>1</v>
      </c>
      <c r="G520">
        <v>27</v>
      </c>
      <c r="H520">
        <v>3</v>
      </c>
      <c r="I520" t="s">
        <v>643</v>
      </c>
      <c r="J520" t="s">
        <v>644</v>
      </c>
      <c r="K520" t="s">
        <v>645</v>
      </c>
      <c r="L520">
        <v>1339</v>
      </c>
      <c r="N520">
        <v>1007</v>
      </c>
      <c r="O520" t="s">
        <v>236</v>
      </c>
      <c r="P520" t="s">
        <v>236</v>
      </c>
      <c r="Q520">
        <v>1</v>
      </c>
      <c r="X520">
        <v>0.2</v>
      </c>
      <c r="Y520">
        <v>810.33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 t="s">
        <v>3</v>
      </c>
      <c r="AG520">
        <v>0.2</v>
      </c>
      <c r="AH520">
        <v>2</v>
      </c>
      <c r="AI520">
        <v>71212257</v>
      </c>
      <c r="AJ520">
        <v>86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4" x14ac:dyDescent="0.2">
      <c r="A521">
        <f>ROW(Source!A634)</f>
        <v>634</v>
      </c>
      <c r="B521">
        <v>71212263</v>
      </c>
      <c r="C521">
        <v>71212253</v>
      </c>
      <c r="D521">
        <v>67895489</v>
      </c>
      <c r="E521">
        <v>1</v>
      </c>
      <c r="F521">
        <v>1</v>
      </c>
      <c r="G521">
        <v>27</v>
      </c>
      <c r="H521">
        <v>3</v>
      </c>
      <c r="I521" t="s">
        <v>646</v>
      </c>
      <c r="J521" t="s">
        <v>647</v>
      </c>
      <c r="K521" t="s">
        <v>648</v>
      </c>
      <c r="L521">
        <v>1339</v>
      </c>
      <c r="N521">
        <v>1007</v>
      </c>
      <c r="O521" t="s">
        <v>236</v>
      </c>
      <c r="P521" t="s">
        <v>236</v>
      </c>
      <c r="Q521">
        <v>1</v>
      </c>
      <c r="X521">
        <v>0.7</v>
      </c>
      <c r="Y521">
        <v>753.67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 t="s">
        <v>3</v>
      </c>
      <c r="AG521">
        <v>0.7</v>
      </c>
      <c r="AH521">
        <v>2</v>
      </c>
      <c r="AI521">
        <v>71212258</v>
      </c>
      <c r="AJ521">
        <v>87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x14ac:dyDescent="0.2">
      <c r="A522">
        <f>ROW(Source!A635)</f>
        <v>635</v>
      </c>
      <c r="B522">
        <v>71212268</v>
      </c>
      <c r="C522">
        <v>71212264</v>
      </c>
      <c r="D522">
        <v>67878646</v>
      </c>
      <c r="E522">
        <v>27</v>
      </c>
      <c r="F522">
        <v>1</v>
      </c>
      <c r="G522">
        <v>27</v>
      </c>
      <c r="H522">
        <v>1</v>
      </c>
      <c r="I522" t="s">
        <v>565</v>
      </c>
      <c r="J522" t="s">
        <v>3</v>
      </c>
      <c r="K522" t="s">
        <v>566</v>
      </c>
      <c r="L522">
        <v>1191</v>
      </c>
      <c r="N522">
        <v>1013</v>
      </c>
      <c r="O522" t="s">
        <v>567</v>
      </c>
      <c r="P522" t="s">
        <v>567</v>
      </c>
      <c r="Q522">
        <v>1</v>
      </c>
      <c r="X522">
        <v>9.3000000000000007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1</v>
      </c>
      <c r="AF522" t="s">
        <v>3</v>
      </c>
      <c r="AG522">
        <v>9.3000000000000007</v>
      </c>
      <c r="AH522">
        <v>2</v>
      </c>
      <c r="AI522">
        <v>71212265</v>
      </c>
      <c r="AJ522">
        <v>88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4" x14ac:dyDescent="0.2">
      <c r="A523">
        <f>ROW(Source!A635)</f>
        <v>635</v>
      </c>
      <c r="B523">
        <v>71212269</v>
      </c>
      <c r="C523">
        <v>71212264</v>
      </c>
      <c r="D523">
        <v>67895498</v>
      </c>
      <c r="E523">
        <v>1</v>
      </c>
      <c r="F523">
        <v>1</v>
      </c>
      <c r="G523">
        <v>27</v>
      </c>
      <c r="H523">
        <v>3</v>
      </c>
      <c r="I523" t="s">
        <v>643</v>
      </c>
      <c r="J523" t="s">
        <v>644</v>
      </c>
      <c r="K523" t="s">
        <v>645</v>
      </c>
      <c r="L523">
        <v>1339</v>
      </c>
      <c r="N523">
        <v>1007</v>
      </c>
      <c r="O523" t="s">
        <v>236</v>
      </c>
      <c r="P523" t="s">
        <v>236</v>
      </c>
      <c r="Q523">
        <v>1</v>
      </c>
      <c r="X523">
        <v>0.2</v>
      </c>
      <c r="Y523">
        <v>810.33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 t="s">
        <v>3</v>
      </c>
      <c r="AG523">
        <v>0.2</v>
      </c>
      <c r="AH523">
        <v>2</v>
      </c>
      <c r="AI523">
        <v>71212266</v>
      </c>
      <c r="AJ523">
        <v>89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4" x14ac:dyDescent="0.2">
      <c r="A524">
        <f>ROW(Source!A635)</f>
        <v>635</v>
      </c>
      <c r="B524">
        <v>71212270</v>
      </c>
      <c r="C524">
        <v>71212264</v>
      </c>
      <c r="D524">
        <v>67895489</v>
      </c>
      <c r="E524">
        <v>1</v>
      </c>
      <c r="F524">
        <v>1</v>
      </c>
      <c r="G524">
        <v>27</v>
      </c>
      <c r="H524">
        <v>3</v>
      </c>
      <c r="I524" t="s">
        <v>646</v>
      </c>
      <c r="J524" t="s">
        <v>647</v>
      </c>
      <c r="K524" t="s">
        <v>648</v>
      </c>
      <c r="L524">
        <v>1339</v>
      </c>
      <c r="N524">
        <v>1007</v>
      </c>
      <c r="O524" t="s">
        <v>236</v>
      </c>
      <c r="P524" t="s">
        <v>236</v>
      </c>
      <c r="Q524">
        <v>1</v>
      </c>
      <c r="X524">
        <v>0.7</v>
      </c>
      <c r="Y524">
        <v>753.67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 t="s">
        <v>3</v>
      </c>
      <c r="AG524">
        <v>0.7</v>
      </c>
      <c r="AH524">
        <v>2</v>
      </c>
      <c r="AI524">
        <v>71212267</v>
      </c>
      <c r="AJ524">
        <v>90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4" x14ac:dyDescent="0.2">
      <c r="A525">
        <f>ROW(Source!A636)</f>
        <v>636</v>
      </c>
      <c r="B525">
        <v>71212276</v>
      </c>
      <c r="C525">
        <v>71212271</v>
      </c>
      <c r="D525">
        <v>67878646</v>
      </c>
      <c r="E525">
        <v>27</v>
      </c>
      <c r="F525">
        <v>1</v>
      </c>
      <c r="G525">
        <v>27</v>
      </c>
      <c r="H525">
        <v>1</v>
      </c>
      <c r="I525" t="s">
        <v>565</v>
      </c>
      <c r="J525" t="s">
        <v>3</v>
      </c>
      <c r="K525" t="s">
        <v>566</v>
      </c>
      <c r="L525">
        <v>1191</v>
      </c>
      <c r="N525">
        <v>1013</v>
      </c>
      <c r="O525" t="s">
        <v>567</v>
      </c>
      <c r="P525" t="s">
        <v>567</v>
      </c>
      <c r="Q525">
        <v>1</v>
      </c>
      <c r="X525">
        <v>4.51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1</v>
      </c>
      <c r="AF525" t="s">
        <v>3</v>
      </c>
      <c r="AG525">
        <v>4.51</v>
      </c>
      <c r="AH525">
        <v>2</v>
      </c>
      <c r="AI525">
        <v>71212272</v>
      </c>
      <c r="AJ525">
        <v>91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x14ac:dyDescent="0.2">
      <c r="A526">
        <f>ROW(Source!A636)</f>
        <v>636</v>
      </c>
      <c r="B526">
        <v>71212277</v>
      </c>
      <c r="C526">
        <v>71212271</v>
      </c>
      <c r="D526">
        <v>67891062</v>
      </c>
      <c r="E526">
        <v>1</v>
      </c>
      <c r="F526">
        <v>1</v>
      </c>
      <c r="G526">
        <v>27</v>
      </c>
      <c r="H526">
        <v>2</v>
      </c>
      <c r="I526" t="s">
        <v>649</v>
      </c>
      <c r="J526" t="s">
        <v>650</v>
      </c>
      <c r="K526" t="s">
        <v>651</v>
      </c>
      <c r="L526">
        <v>1368</v>
      </c>
      <c r="N526">
        <v>1011</v>
      </c>
      <c r="O526" t="s">
        <v>571</v>
      </c>
      <c r="P526" t="s">
        <v>571</v>
      </c>
      <c r="Q526">
        <v>1</v>
      </c>
      <c r="X526">
        <v>0.32</v>
      </c>
      <c r="Y526">
        <v>0</v>
      </c>
      <c r="Z526">
        <v>2020.59</v>
      </c>
      <c r="AA526">
        <v>458.56</v>
      </c>
      <c r="AB526">
        <v>0</v>
      </c>
      <c r="AC526">
        <v>0</v>
      </c>
      <c r="AD526">
        <v>1</v>
      </c>
      <c r="AE526">
        <v>0</v>
      </c>
      <c r="AF526" t="s">
        <v>3</v>
      </c>
      <c r="AG526">
        <v>0.32</v>
      </c>
      <c r="AH526">
        <v>2</v>
      </c>
      <c r="AI526">
        <v>71212273</v>
      </c>
      <c r="AJ526">
        <v>92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</row>
    <row r="527" spans="1:44" x14ac:dyDescent="0.2">
      <c r="A527">
        <f>ROW(Source!A636)</f>
        <v>636</v>
      </c>
      <c r="B527">
        <v>71212278</v>
      </c>
      <c r="C527">
        <v>71212271</v>
      </c>
      <c r="D527">
        <v>67893760</v>
      </c>
      <c r="E527">
        <v>1</v>
      </c>
      <c r="F527">
        <v>1</v>
      </c>
      <c r="G527">
        <v>27</v>
      </c>
      <c r="H527">
        <v>3</v>
      </c>
      <c r="I527" t="s">
        <v>652</v>
      </c>
      <c r="J527" t="s">
        <v>653</v>
      </c>
      <c r="K527" t="s">
        <v>654</v>
      </c>
      <c r="L527">
        <v>1339</v>
      </c>
      <c r="N527">
        <v>1007</v>
      </c>
      <c r="O527" t="s">
        <v>236</v>
      </c>
      <c r="P527" t="s">
        <v>236</v>
      </c>
      <c r="Q527">
        <v>1</v>
      </c>
      <c r="X527">
        <v>1.07</v>
      </c>
      <c r="Y527">
        <v>35.25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 t="s">
        <v>3</v>
      </c>
      <c r="AG527">
        <v>1.07</v>
      </c>
      <c r="AH527">
        <v>2</v>
      </c>
      <c r="AI527">
        <v>71212274</v>
      </c>
      <c r="AJ527">
        <v>93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</row>
    <row r="528" spans="1:44" x14ac:dyDescent="0.2">
      <c r="A528">
        <f>ROW(Source!A636)</f>
        <v>636</v>
      </c>
      <c r="B528">
        <v>71212279</v>
      </c>
      <c r="C528">
        <v>71212271</v>
      </c>
      <c r="D528">
        <v>67878725</v>
      </c>
      <c r="E528">
        <v>27</v>
      </c>
      <c r="F528">
        <v>1</v>
      </c>
      <c r="G528">
        <v>27</v>
      </c>
      <c r="H528">
        <v>3</v>
      </c>
      <c r="I528" t="s">
        <v>936</v>
      </c>
      <c r="J528" t="s">
        <v>3</v>
      </c>
      <c r="K528" t="s">
        <v>937</v>
      </c>
      <c r="L528">
        <v>1354</v>
      </c>
      <c r="N528">
        <v>1010</v>
      </c>
      <c r="O528" t="s">
        <v>232</v>
      </c>
      <c r="P528" t="s">
        <v>232</v>
      </c>
      <c r="Q528">
        <v>1</v>
      </c>
      <c r="X528">
        <v>10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t="s">
        <v>3</v>
      </c>
      <c r="AG528">
        <v>10</v>
      </c>
      <c r="AH528">
        <v>3</v>
      </c>
      <c r="AI528">
        <v>-1</v>
      </c>
      <c r="AJ528" t="s">
        <v>3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2">
      <c r="A529">
        <f>ROW(Source!A673)</f>
        <v>673</v>
      </c>
      <c r="B529">
        <v>71212286</v>
      </c>
      <c r="C529">
        <v>71212281</v>
      </c>
      <c r="D529">
        <v>67878646</v>
      </c>
      <c r="E529">
        <v>27</v>
      </c>
      <c r="F529">
        <v>1</v>
      </c>
      <c r="G529">
        <v>27</v>
      </c>
      <c r="H529">
        <v>1</v>
      </c>
      <c r="I529" t="s">
        <v>565</v>
      </c>
      <c r="J529" t="s">
        <v>3</v>
      </c>
      <c r="K529" t="s">
        <v>566</v>
      </c>
      <c r="L529">
        <v>1191</v>
      </c>
      <c r="N529">
        <v>1013</v>
      </c>
      <c r="O529" t="s">
        <v>567</v>
      </c>
      <c r="P529" t="s">
        <v>567</v>
      </c>
      <c r="Q529">
        <v>1</v>
      </c>
      <c r="X529">
        <v>30.8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1</v>
      </c>
      <c r="AF529" t="s">
        <v>3</v>
      </c>
      <c r="AG529">
        <v>30.8</v>
      </c>
      <c r="AH529">
        <v>3</v>
      </c>
      <c r="AI529">
        <v>-1</v>
      </c>
      <c r="AJ529" t="s">
        <v>3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</row>
    <row r="530" spans="1:44" x14ac:dyDescent="0.2">
      <c r="A530">
        <f>ROW(Source!A673)</f>
        <v>673</v>
      </c>
      <c r="B530">
        <v>71212287</v>
      </c>
      <c r="C530">
        <v>71212281</v>
      </c>
      <c r="D530">
        <v>67891460</v>
      </c>
      <c r="E530">
        <v>1</v>
      </c>
      <c r="F530">
        <v>1</v>
      </c>
      <c r="G530">
        <v>27</v>
      </c>
      <c r="H530">
        <v>2</v>
      </c>
      <c r="I530" t="s">
        <v>938</v>
      </c>
      <c r="J530" t="s">
        <v>939</v>
      </c>
      <c r="K530" t="s">
        <v>940</v>
      </c>
      <c r="L530">
        <v>1368</v>
      </c>
      <c r="N530">
        <v>1011</v>
      </c>
      <c r="O530" t="s">
        <v>571</v>
      </c>
      <c r="P530" t="s">
        <v>571</v>
      </c>
      <c r="Q530">
        <v>1</v>
      </c>
      <c r="X530">
        <v>0.06</v>
      </c>
      <c r="Y530">
        <v>0</v>
      </c>
      <c r="Z530">
        <v>20.7</v>
      </c>
      <c r="AA530">
        <v>9.74</v>
      </c>
      <c r="AB530">
        <v>0</v>
      </c>
      <c r="AC530">
        <v>0</v>
      </c>
      <c r="AD530">
        <v>1</v>
      </c>
      <c r="AE530">
        <v>0</v>
      </c>
      <c r="AF530" t="s">
        <v>3</v>
      </c>
      <c r="AG530">
        <v>0.06</v>
      </c>
      <c r="AH530">
        <v>3</v>
      </c>
      <c r="AI530">
        <v>-1</v>
      </c>
      <c r="AJ530" t="s">
        <v>3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</row>
    <row r="531" spans="1:44" x14ac:dyDescent="0.2">
      <c r="A531">
        <f>ROW(Source!A673)</f>
        <v>673</v>
      </c>
      <c r="B531">
        <v>71212288</v>
      </c>
      <c r="C531">
        <v>71212281</v>
      </c>
      <c r="D531">
        <v>67890910</v>
      </c>
      <c r="E531">
        <v>1</v>
      </c>
      <c r="F531">
        <v>1</v>
      </c>
      <c r="G531">
        <v>27</v>
      </c>
      <c r="H531">
        <v>2</v>
      </c>
      <c r="I531" t="s">
        <v>640</v>
      </c>
      <c r="J531" t="s">
        <v>641</v>
      </c>
      <c r="K531" t="s">
        <v>642</v>
      </c>
      <c r="L531">
        <v>1368</v>
      </c>
      <c r="N531">
        <v>1011</v>
      </c>
      <c r="O531" t="s">
        <v>571</v>
      </c>
      <c r="P531" t="s">
        <v>571</v>
      </c>
      <c r="Q531">
        <v>1</v>
      </c>
      <c r="X531">
        <v>0.06</v>
      </c>
      <c r="Y531">
        <v>0</v>
      </c>
      <c r="Z531">
        <v>991.89</v>
      </c>
      <c r="AA531">
        <v>360.79</v>
      </c>
      <c r="AB531">
        <v>0</v>
      </c>
      <c r="AC531">
        <v>0</v>
      </c>
      <c r="AD531">
        <v>1</v>
      </c>
      <c r="AE531">
        <v>0</v>
      </c>
      <c r="AF531" t="s">
        <v>3</v>
      </c>
      <c r="AG531">
        <v>0.06</v>
      </c>
      <c r="AH531">
        <v>3</v>
      </c>
      <c r="AI531">
        <v>-1</v>
      </c>
      <c r="AJ531" t="s">
        <v>3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</row>
    <row r="532" spans="1:44" x14ac:dyDescent="0.2">
      <c r="A532">
        <f>ROW(Source!A673)</f>
        <v>673</v>
      </c>
      <c r="B532">
        <v>71212289</v>
      </c>
      <c r="C532">
        <v>71212281</v>
      </c>
      <c r="D532">
        <v>67895489</v>
      </c>
      <c r="E532">
        <v>1</v>
      </c>
      <c r="F532">
        <v>1</v>
      </c>
      <c r="G532">
        <v>27</v>
      </c>
      <c r="H532">
        <v>3</v>
      </c>
      <c r="I532" t="s">
        <v>646</v>
      </c>
      <c r="J532" t="s">
        <v>647</v>
      </c>
      <c r="K532" t="s">
        <v>648</v>
      </c>
      <c r="L532">
        <v>1339</v>
      </c>
      <c r="N532">
        <v>1007</v>
      </c>
      <c r="O532" t="s">
        <v>236</v>
      </c>
      <c r="P532" t="s">
        <v>236</v>
      </c>
      <c r="Q532">
        <v>1</v>
      </c>
      <c r="X532">
        <v>15</v>
      </c>
      <c r="Y532">
        <v>753.67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 t="s">
        <v>3</v>
      </c>
      <c r="AG532">
        <v>15</v>
      </c>
      <c r="AH532">
        <v>3</v>
      </c>
      <c r="AI532">
        <v>-1</v>
      </c>
      <c r="AJ532" t="s">
        <v>3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x14ac:dyDescent="0.2">
      <c r="A533">
        <f>ROW(Source!A674)</f>
        <v>674</v>
      </c>
      <c r="B533">
        <v>71212293</v>
      </c>
      <c r="C533">
        <v>71212290</v>
      </c>
      <c r="D533">
        <v>67878646</v>
      </c>
      <c r="E533">
        <v>27</v>
      </c>
      <c r="F533">
        <v>1</v>
      </c>
      <c r="G533">
        <v>27</v>
      </c>
      <c r="H533">
        <v>1</v>
      </c>
      <c r="I533" t="s">
        <v>565</v>
      </c>
      <c r="J533" t="s">
        <v>3</v>
      </c>
      <c r="K533" t="s">
        <v>566</v>
      </c>
      <c r="L533">
        <v>1191</v>
      </c>
      <c r="N533">
        <v>1013</v>
      </c>
      <c r="O533" t="s">
        <v>567</v>
      </c>
      <c r="P533" t="s">
        <v>567</v>
      </c>
      <c r="Q533">
        <v>1</v>
      </c>
      <c r="X533">
        <v>46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</v>
      </c>
      <c r="AE533">
        <v>1</v>
      </c>
      <c r="AF533" t="s">
        <v>3</v>
      </c>
      <c r="AG533">
        <v>46</v>
      </c>
      <c r="AH533">
        <v>3</v>
      </c>
      <c r="AI533">
        <v>-1</v>
      </c>
      <c r="AJ533" t="s">
        <v>3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</row>
    <row r="534" spans="1:44" x14ac:dyDescent="0.2">
      <c r="A534">
        <f>ROW(Source!A674)</f>
        <v>674</v>
      </c>
      <c r="B534">
        <v>71212294</v>
      </c>
      <c r="C534">
        <v>71212290</v>
      </c>
      <c r="D534">
        <v>67895489</v>
      </c>
      <c r="E534">
        <v>1</v>
      </c>
      <c r="F534">
        <v>1</v>
      </c>
      <c r="G534">
        <v>27</v>
      </c>
      <c r="H534">
        <v>3</v>
      </c>
      <c r="I534" t="s">
        <v>646</v>
      </c>
      <c r="J534" t="s">
        <v>647</v>
      </c>
      <c r="K534" t="s">
        <v>648</v>
      </c>
      <c r="L534">
        <v>1339</v>
      </c>
      <c r="N534">
        <v>1007</v>
      </c>
      <c r="O534" t="s">
        <v>236</v>
      </c>
      <c r="P534" t="s">
        <v>236</v>
      </c>
      <c r="Q534">
        <v>1</v>
      </c>
      <c r="X534">
        <v>15</v>
      </c>
      <c r="Y534">
        <v>753.67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 t="s">
        <v>3</v>
      </c>
      <c r="AG534">
        <v>15</v>
      </c>
      <c r="AH534">
        <v>3</v>
      </c>
      <c r="AI534">
        <v>-1</v>
      </c>
      <c r="AJ534" t="s">
        <v>3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</row>
    <row r="535" spans="1:44" x14ac:dyDescent="0.2">
      <c r="A535">
        <f>ROW(Source!A675)</f>
        <v>675</v>
      </c>
      <c r="B535">
        <v>71212298</v>
      </c>
      <c r="C535">
        <v>71212295</v>
      </c>
      <c r="D535">
        <v>67878646</v>
      </c>
      <c r="E535">
        <v>27</v>
      </c>
      <c r="F535">
        <v>1</v>
      </c>
      <c r="G535">
        <v>27</v>
      </c>
      <c r="H535">
        <v>1</v>
      </c>
      <c r="I535" t="s">
        <v>565</v>
      </c>
      <c r="J535" t="s">
        <v>3</v>
      </c>
      <c r="K535" t="s">
        <v>566</v>
      </c>
      <c r="L535">
        <v>1191</v>
      </c>
      <c r="N535">
        <v>1013</v>
      </c>
      <c r="O535" t="s">
        <v>567</v>
      </c>
      <c r="P535" t="s">
        <v>567</v>
      </c>
      <c r="Q535">
        <v>1</v>
      </c>
      <c r="X535">
        <v>6.29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</v>
      </c>
      <c r="AE535">
        <v>1</v>
      </c>
      <c r="AF535" t="s">
        <v>3</v>
      </c>
      <c r="AG535">
        <v>6.29</v>
      </c>
      <c r="AH535">
        <v>3</v>
      </c>
      <c r="AI535">
        <v>-1</v>
      </c>
      <c r="AJ535" t="s">
        <v>3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2">
      <c r="A536">
        <f>ROW(Source!A675)</f>
        <v>675</v>
      </c>
      <c r="B536">
        <v>71212299</v>
      </c>
      <c r="C536">
        <v>71212295</v>
      </c>
      <c r="D536">
        <v>67895489</v>
      </c>
      <c r="E536">
        <v>1</v>
      </c>
      <c r="F536">
        <v>1</v>
      </c>
      <c r="G536">
        <v>27</v>
      </c>
      <c r="H536">
        <v>3</v>
      </c>
      <c r="I536" t="s">
        <v>646</v>
      </c>
      <c r="J536" t="s">
        <v>647</v>
      </c>
      <c r="K536" t="s">
        <v>648</v>
      </c>
      <c r="L536">
        <v>1339</v>
      </c>
      <c r="N536">
        <v>1007</v>
      </c>
      <c r="O536" t="s">
        <v>236</v>
      </c>
      <c r="P536" t="s">
        <v>236</v>
      </c>
      <c r="Q536">
        <v>1</v>
      </c>
      <c r="X536">
        <v>5</v>
      </c>
      <c r="Y536">
        <v>753.67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 t="s">
        <v>3</v>
      </c>
      <c r="AG536">
        <v>5</v>
      </c>
      <c r="AH536">
        <v>3</v>
      </c>
      <c r="AI536">
        <v>-1</v>
      </c>
      <c r="AJ536" t="s">
        <v>3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</row>
    <row r="537" spans="1:44" x14ac:dyDescent="0.2">
      <c r="A537">
        <f>ROW(Source!A676)</f>
        <v>676</v>
      </c>
      <c r="B537">
        <v>71212304</v>
      </c>
      <c r="C537">
        <v>71212300</v>
      </c>
      <c r="D537">
        <v>67878646</v>
      </c>
      <c r="E537">
        <v>27</v>
      </c>
      <c r="F537">
        <v>1</v>
      </c>
      <c r="G537">
        <v>27</v>
      </c>
      <c r="H537">
        <v>1</v>
      </c>
      <c r="I537" t="s">
        <v>565</v>
      </c>
      <c r="J537" t="s">
        <v>3</v>
      </c>
      <c r="K537" t="s">
        <v>566</v>
      </c>
      <c r="L537">
        <v>1191</v>
      </c>
      <c r="N537">
        <v>1013</v>
      </c>
      <c r="O537" t="s">
        <v>567</v>
      </c>
      <c r="P537" t="s">
        <v>567</v>
      </c>
      <c r="Q537">
        <v>1</v>
      </c>
      <c r="X537">
        <v>6.04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1</v>
      </c>
      <c r="AF537" t="s">
        <v>3</v>
      </c>
      <c r="AG537">
        <v>6.04</v>
      </c>
      <c r="AH537">
        <v>3</v>
      </c>
      <c r="AI537">
        <v>-1</v>
      </c>
      <c r="AJ537" t="s">
        <v>3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2">
      <c r="A538">
        <f>ROW(Source!A676)</f>
        <v>676</v>
      </c>
      <c r="B538">
        <v>71212305</v>
      </c>
      <c r="C538">
        <v>71212300</v>
      </c>
      <c r="D538">
        <v>67893760</v>
      </c>
      <c r="E538">
        <v>1</v>
      </c>
      <c r="F538">
        <v>1</v>
      </c>
      <c r="G538">
        <v>27</v>
      </c>
      <c r="H538">
        <v>3</v>
      </c>
      <c r="I538" t="s">
        <v>652</v>
      </c>
      <c r="J538" t="s">
        <v>653</v>
      </c>
      <c r="K538" t="s">
        <v>654</v>
      </c>
      <c r="L538">
        <v>1339</v>
      </c>
      <c r="N538">
        <v>1007</v>
      </c>
      <c r="O538" t="s">
        <v>236</v>
      </c>
      <c r="P538" t="s">
        <v>236</v>
      </c>
      <c r="Q538">
        <v>1</v>
      </c>
      <c r="X538">
        <v>10</v>
      </c>
      <c r="Y538">
        <v>35.25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 t="s">
        <v>3</v>
      </c>
      <c r="AG538">
        <v>10</v>
      </c>
      <c r="AH538">
        <v>3</v>
      </c>
      <c r="AI538">
        <v>-1</v>
      </c>
      <c r="AJ538" t="s">
        <v>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2">
      <c r="A539">
        <f>ROW(Source!A676)</f>
        <v>676</v>
      </c>
      <c r="B539">
        <v>71212306</v>
      </c>
      <c r="C539">
        <v>71212300</v>
      </c>
      <c r="D539">
        <v>67895494</v>
      </c>
      <c r="E539">
        <v>1</v>
      </c>
      <c r="F539">
        <v>1</v>
      </c>
      <c r="G539">
        <v>27</v>
      </c>
      <c r="H539">
        <v>3</v>
      </c>
      <c r="I539" t="s">
        <v>941</v>
      </c>
      <c r="J539" t="s">
        <v>942</v>
      </c>
      <c r="K539" t="s">
        <v>943</v>
      </c>
      <c r="L539">
        <v>1346</v>
      </c>
      <c r="N539">
        <v>1009</v>
      </c>
      <c r="O539" t="s">
        <v>288</v>
      </c>
      <c r="P539" t="s">
        <v>288</v>
      </c>
      <c r="Q539">
        <v>1</v>
      </c>
      <c r="X539">
        <v>4</v>
      </c>
      <c r="Y539">
        <v>303.08999999999997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 t="s">
        <v>3</v>
      </c>
      <c r="AG539">
        <v>4</v>
      </c>
      <c r="AH539">
        <v>3</v>
      </c>
      <c r="AI539">
        <v>-1</v>
      </c>
      <c r="AJ539" t="s">
        <v>3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Смета СН-2012 по гл. 1-5</vt:lpstr>
      <vt:lpstr>Ведомость объемов работ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'Смета СН-2012 по гл. 1-5'!Заголовки_для_печати</vt:lpstr>
      <vt:lpstr>'Ведомость объемов работ'!Область_печати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Конкина Е.М.. Екатерина Михайловна</cp:lastModifiedBy>
  <cp:lastPrinted>2021-03-18T14:37:28Z</cp:lastPrinted>
  <dcterms:created xsi:type="dcterms:W3CDTF">2021-03-18T06:28:25Z</dcterms:created>
  <dcterms:modified xsi:type="dcterms:W3CDTF">2021-03-18T14:37:29Z</dcterms:modified>
</cp:coreProperties>
</file>